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3"/>
    <sheet state="visible" name="Timeline" sheetId="2" r:id="rId4"/>
    <sheet state="visible" name="Infection stats" sheetId="3" r:id="rId5"/>
    <sheet state="visible" name="Comparisons" sheetId="4" r:id="rId6"/>
    <sheet state="visible" name="Mar1017Jan12 flies" sheetId="5" r:id="rId7"/>
    <sheet state="visible" name="17Jan12 wild bats" sheetId="6" r:id="rId8"/>
    <sheet state="visible" name="Flies" sheetId="7" r:id="rId9"/>
    <sheet state="visible" name="Frequency" sheetId="8" r:id="rId10"/>
    <sheet state="visible" name="Prevalence" sheetId="9" r:id="rId11"/>
    <sheet state="visible" name="Phylogenetic distance" sheetId="10" r:id="rId12"/>
    <sheet state="visible" name="Coinfections" sheetId="11" r:id="rId13"/>
    <sheet state="visible" name="07-28-09" sheetId="12" r:id="rId14"/>
    <sheet state="visible" name="11-05-09" sheetId="13" r:id="rId15"/>
    <sheet state="visible" name="01-28-10" sheetId="14" r:id="rId16"/>
    <sheet state="visible" name="03-06-10" sheetId="15" r:id="rId17"/>
    <sheet state="visible" name="05-21-10" sheetId="16" r:id="rId18"/>
    <sheet state="visible" name="07-14-10" sheetId="17" r:id="rId19"/>
    <sheet state="visible" name="09-23-10" sheetId="18" r:id="rId20"/>
    <sheet state="visible" name="11-05-10" sheetId="19" r:id="rId21"/>
    <sheet state="visible" name="03-04-11" sheetId="20" r:id="rId22"/>
    <sheet state="visible" name="07-13-11" sheetId="21" r:id="rId23"/>
    <sheet state="visible" name="01-17-12" sheetId="22" r:id="rId24"/>
    <sheet state="visible" name="01-31-12" sheetId="23" r:id="rId25"/>
    <sheet state="visible" name="02-14-12" sheetId="24" r:id="rId26"/>
    <sheet state="visible" name="03-15-12" sheetId="25" r:id="rId27"/>
  </sheets>
  <definedNames>
    <definedName hidden="1" localSheetId="2" name="_xlnm._FilterDatabase">'Infection stats'!$A$1:$AC$113</definedName>
    <definedName hidden="1" localSheetId="3" name="_xlnm._FilterDatabase">Comparisons!$A$1:$AL$113</definedName>
    <definedName hidden="1" localSheetId="10" name="_xlnm._FilterDatabase">Coinfections!$M$38:$T$94</definedName>
  </definedNames>
  <calcPr/>
</workbook>
</file>

<file path=xl/sharedStrings.xml><?xml version="1.0" encoding="utf-8"?>
<sst xmlns="http://schemas.openxmlformats.org/spreadsheetml/2006/main" count="52657" uniqueCount="1946">
  <si>
    <t>ID</t>
  </si>
  <si>
    <t>Cohort</t>
  </si>
  <si>
    <t>Collar</t>
  </si>
  <si>
    <t>Age</t>
  </si>
  <si>
    <t>Sex</t>
  </si>
  <si>
    <t>Bat1</t>
  </si>
  <si>
    <t>A197</t>
  </si>
  <si>
    <t>A</t>
  </si>
  <si>
    <t>M</t>
  </si>
  <si>
    <t>P68</t>
  </si>
  <si>
    <t>Q113</t>
  </si>
  <si>
    <t>R3</t>
  </si>
  <si>
    <t>Bat2</t>
  </si>
  <si>
    <t>A190</t>
  </si>
  <si>
    <t>P70</t>
  </si>
  <si>
    <t>Q120</t>
  </si>
  <si>
    <t>R10</t>
  </si>
  <si>
    <t>NA</t>
  </si>
  <si>
    <t>Bat3</t>
  </si>
  <si>
    <t>A193</t>
  </si>
  <si>
    <t>P72</t>
  </si>
  <si>
    <t>Q117</t>
  </si>
  <si>
    <t>R16</t>
  </si>
  <si>
    <t>Bat4</t>
  </si>
  <si>
    <t>A189</t>
  </si>
  <si>
    <t>P73</t>
  </si>
  <si>
    <t>Q121</t>
  </si>
  <si>
    <t>R11</t>
  </si>
  <si>
    <t>Bat5</t>
  </si>
  <si>
    <t>A195</t>
  </si>
  <si>
    <t>P74</t>
  </si>
  <si>
    <t>Q115</t>
  </si>
  <si>
    <t>R19</t>
  </si>
  <si>
    <t>Bat6</t>
  </si>
  <si>
    <t>P75</t>
  </si>
  <si>
    <t>Bat7</t>
  </si>
  <si>
    <t>A196</t>
  </si>
  <si>
    <t>SI</t>
  </si>
  <si>
    <t>P85</t>
  </si>
  <si>
    <t>Q114</t>
  </si>
  <si>
    <t>R14</t>
  </si>
  <si>
    <t>Bat8</t>
  </si>
  <si>
    <t>A192</t>
  </si>
  <si>
    <t>P87</t>
  </si>
  <si>
    <t>Q118</t>
  </si>
  <si>
    <t>R15</t>
  </si>
  <si>
    <t>Bat9</t>
  </si>
  <si>
    <t>P89</t>
  </si>
  <si>
    <t>Bat10</t>
  </si>
  <si>
    <t>A191</t>
  </si>
  <si>
    <t>P91</t>
  </si>
  <si>
    <t>Q119</t>
  </si>
  <si>
    <t>R22</t>
  </si>
  <si>
    <t>Bat11</t>
  </si>
  <si>
    <t>A198</t>
  </si>
  <si>
    <t>P98</t>
  </si>
  <si>
    <t>Q112</t>
  </si>
  <si>
    <t>R7</t>
  </si>
  <si>
    <t>Bat12</t>
  </si>
  <si>
    <t>P100</t>
  </si>
  <si>
    <t>Bat13</t>
  </si>
  <si>
    <t>A101</t>
  </si>
  <si>
    <t>JUV</t>
  </si>
  <si>
    <t>Q126</t>
  </si>
  <si>
    <t>R5</t>
  </si>
  <si>
    <t>Bat14</t>
  </si>
  <si>
    <t>A102</t>
  </si>
  <si>
    <t>F</t>
  </si>
  <si>
    <t>Q127</t>
  </si>
  <si>
    <t>R2</t>
  </si>
  <si>
    <t>Bat15</t>
  </si>
  <si>
    <t>A092/A103</t>
  </si>
  <si>
    <t>Q128</t>
  </si>
  <si>
    <t>R17</t>
  </si>
  <si>
    <t>A103</t>
  </si>
  <si>
    <t>A092</t>
  </si>
  <si>
    <t>Bat16</t>
  </si>
  <si>
    <t>A104</t>
  </si>
  <si>
    <t>Q129</t>
  </si>
  <si>
    <t>Bat17</t>
  </si>
  <si>
    <t>A105</t>
  </si>
  <si>
    <t>Q130</t>
  </si>
  <si>
    <t>R20</t>
  </si>
  <si>
    <t>Bat18</t>
  </si>
  <si>
    <t>A106</t>
  </si>
  <si>
    <t>Q131</t>
  </si>
  <si>
    <t>R12</t>
  </si>
  <si>
    <t>Bat19</t>
  </si>
  <si>
    <t>A107/A090</t>
  </si>
  <si>
    <t>Q132</t>
  </si>
  <si>
    <t>R1</t>
  </si>
  <si>
    <t>A107</t>
  </si>
  <si>
    <t>A090</t>
  </si>
  <si>
    <t>Bat20</t>
  </si>
  <si>
    <t>A108</t>
  </si>
  <si>
    <t>Q133</t>
  </si>
  <si>
    <t>R9</t>
  </si>
  <si>
    <t>Bat21</t>
  </si>
  <si>
    <t>A109</t>
  </si>
  <si>
    <t>Q134</t>
  </si>
  <si>
    <t>Bat22</t>
  </si>
  <si>
    <t>A110</t>
  </si>
  <si>
    <t>Q135</t>
  </si>
  <si>
    <t>R4</t>
  </si>
  <si>
    <t>Bat23</t>
  </si>
  <si>
    <t>A111</t>
  </si>
  <si>
    <t>Q136</t>
  </si>
  <si>
    <t>R18</t>
  </si>
  <si>
    <t>Bat24</t>
  </si>
  <si>
    <t>A112</t>
  </si>
  <si>
    <t>Q137</t>
  </si>
  <si>
    <t>R6</t>
  </si>
  <si>
    <t>Bat25</t>
  </si>
  <si>
    <t>A113</t>
  </si>
  <si>
    <t>Q138</t>
  </si>
  <si>
    <t>R8</t>
  </si>
  <si>
    <t>Bat26</t>
  </si>
  <si>
    <t>A114</t>
  </si>
  <si>
    <t>R24</t>
  </si>
  <si>
    <t>Bat27</t>
  </si>
  <si>
    <t>A115</t>
  </si>
  <si>
    <t>R25</t>
  </si>
  <si>
    <t>Bat28</t>
  </si>
  <si>
    <t>A117</t>
  </si>
  <si>
    <t>R26</t>
  </si>
  <si>
    <t>Bat29</t>
  </si>
  <si>
    <t>A118</t>
  </si>
  <si>
    <t>R27</t>
  </si>
  <si>
    <t>Bat30</t>
  </si>
  <si>
    <t>A119</t>
  </si>
  <si>
    <t>R28</t>
  </si>
  <si>
    <t>Bat31</t>
  </si>
  <si>
    <t>A120</t>
  </si>
  <si>
    <t>R29</t>
  </si>
  <si>
    <t>Bat32</t>
  </si>
  <si>
    <t>A121</t>
  </si>
  <si>
    <t>R30</t>
  </si>
  <si>
    <t>Bat33</t>
  </si>
  <si>
    <t>A122</t>
  </si>
  <si>
    <t>R31</t>
  </si>
  <si>
    <t>Bat34</t>
  </si>
  <si>
    <t>A123</t>
  </si>
  <si>
    <t>R32</t>
  </si>
  <si>
    <t>Bat35</t>
  </si>
  <si>
    <t>A124</t>
  </si>
  <si>
    <t>R33</t>
  </si>
  <si>
    <t>Bat36</t>
  </si>
  <si>
    <t>A125/A096/A095</t>
  </si>
  <si>
    <t>R34</t>
  </si>
  <si>
    <t>A096</t>
  </si>
  <si>
    <t>A095</t>
  </si>
  <si>
    <t>Bat37</t>
  </si>
  <si>
    <t>A126</t>
  </si>
  <si>
    <t>R35</t>
  </si>
  <si>
    <t>Bat38</t>
  </si>
  <si>
    <t>A127</t>
  </si>
  <si>
    <t>R36</t>
  </si>
  <si>
    <t>Bat39</t>
  </si>
  <si>
    <t>A128</t>
  </si>
  <si>
    <t>R37</t>
  </si>
  <si>
    <t>Bat40</t>
  </si>
  <si>
    <t>A129/A099</t>
  </si>
  <si>
    <t>R38</t>
  </si>
  <si>
    <t>A099</t>
  </si>
  <si>
    <t>Bat41</t>
  </si>
  <si>
    <t>A130</t>
  </si>
  <si>
    <t>R39</t>
  </si>
  <si>
    <t>Bat42</t>
  </si>
  <si>
    <t>A131</t>
  </si>
  <si>
    <t>R40</t>
  </si>
  <si>
    <t>Bat43</t>
  </si>
  <si>
    <t>A132</t>
  </si>
  <si>
    <t>R41</t>
  </si>
  <si>
    <t>Bat44</t>
  </si>
  <si>
    <t>A133</t>
  </si>
  <si>
    <t>R42</t>
  </si>
  <si>
    <t>Bat45</t>
  </si>
  <si>
    <t>A134</t>
  </si>
  <si>
    <t>R43</t>
  </si>
  <si>
    <t>Bat46</t>
  </si>
  <si>
    <t>A135</t>
  </si>
  <si>
    <t>R44</t>
  </si>
  <si>
    <t>Bat47</t>
  </si>
  <si>
    <t>A136</t>
  </si>
  <si>
    <t>R45</t>
  </si>
  <si>
    <t>Bat48</t>
  </si>
  <si>
    <t>A138</t>
  </si>
  <si>
    <t>R51</t>
  </si>
  <si>
    <t>Bat49</t>
  </si>
  <si>
    <t>A139</t>
  </si>
  <si>
    <t>R52</t>
  </si>
  <si>
    <t>Bat50</t>
  </si>
  <si>
    <t>A140</t>
  </si>
  <si>
    <t>R54</t>
  </si>
  <si>
    <t>Bat51</t>
  </si>
  <si>
    <t>A141</t>
  </si>
  <si>
    <t>R55</t>
  </si>
  <si>
    <t>Bat52</t>
  </si>
  <si>
    <t>A142</t>
  </si>
  <si>
    <t>R56</t>
  </si>
  <si>
    <t>Bat53</t>
  </si>
  <si>
    <t>A143</t>
  </si>
  <si>
    <t>R57</t>
  </si>
  <si>
    <t>Bat54</t>
  </si>
  <si>
    <t>A144</t>
  </si>
  <si>
    <t>R63</t>
  </si>
  <si>
    <t>Bat55</t>
  </si>
  <si>
    <t>A145</t>
  </si>
  <si>
    <t>R66</t>
  </si>
  <si>
    <t>Bat56</t>
  </si>
  <si>
    <t>A146</t>
  </si>
  <si>
    <t>R67</t>
  </si>
  <si>
    <t>Bat57</t>
  </si>
  <si>
    <t>A147</t>
  </si>
  <si>
    <t>R68</t>
  </si>
  <si>
    <t>Bat58</t>
  </si>
  <si>
    <t>A148</t>
  </si>
  <si>
    <t>R70</t>
  </si>
  <si>
    <t>Bat59</t>
  </si>
  <si>
    <t>A149</t>
  </si>
  <si>
    <t>R71</t>
  </si>
  <si>
    <t>Bat60</t>
  </si>
  <si>
    <t>A150</t>
  </si>
  <si>
    <t>R73</t>
  </si>
  <si>
    <t>Bat61</t>
  </si>
  <si>
    <t>A151</t>
  </si>
  <si>
    <t>R74</t>
  </si>
  <si>
    <t>Bat62</t>
  </si>
  <si>
    <t>A152</t>
  </si>
  <si>
    <t>R78</t>
  </si>
  <si>
    <t>Bat63</t>
  </si>
  <si>
    <t>A153</t>
  </si>
  <si>
    <t>R79</t>
  </si>
  <si>
    <t>Bat64</t>
  </si>
  <si>
    <t>A154/A188</t>
  </si>
  <si>
    <t>R89</t>
  </si>
  <si>
    <t>A188</t>
  </si>
  <si>
    <t>Bat65</t>
  </si>
  <si>
    <t>A155</t>
  </si>
  <si>
    <t>R92</t>
  </si>
  <si>
    <t>Bat66</t>
  </si>
  <si>
    <t>A156</t>
  </si>
  <si>
    <t>R94</t>
  </si>
  <si>
    <t>Bat67</t>
  </si>
  <si>
    <t>A157</t>
  </si>
  <si>
    <t>R97</t>
  </si>
  <si>
    <t>Bat68</t>
  </si>
  <si>
    <t>A158</t>
  </si>
  <si>
    <t>R98</t>
  </si>
  <si>
    <t>Bat69</t>
  </si>
  <si>
    <t>A159</t>
  </si>
  <si>
    <t>R100</t>
  </si>
  <si>
    <t>Bat70</t>
  </si>
  <si>
    <t>A160</t>
  </si>
  <si>
    <t>R101</t>
  </si>
  <si>
    <t>A002</t>
  </si>
  <si>
    <t>Bat71</t>
  </si>
  <si>
    <t>A161/A098</t>
  </si>
  <si>
    <t>R102</t>
  </si>
  <si>
    <t>A001</t>
  </si>
  <si>
    <t>A098</t>
  </si>
  <si>
    <t>Bat72</t>
  </si>
  <si>
    <t>A162</t>
  </si>
  <si>
    <t>R103</t>
  </si>
  <si>
    <t>Bat73</t>
  </si>
  <si>
    <t>A163</t>
  </si>
  <si>
    <t>R104</t>
  </si>
  <si>
    <t>Bat74</t>
  </si>
  <si>
    <t>A164</t>
  </si>
  <si>
    <t>R110</t>
  </si>
  <si>
    <t>Bat75</t>
  </si>
  <si>
    <t>A165/A097</t>
  </si>
  <si>
    <t>R113</t>
  </si>
  <si>
    <t>A000</t>
  </si>
  <si>
    <t>A097</t>
  </si>
  <si>
    <t>Bat76</t>
  </si>
  <si>
    <t>A166/A093/A089</t>
  </si>
  <si>
    <t>R117</t>
  </si>
  <si>
    <t>A166</t>
  </si>
  <si>
    <t>A093</t>
  </si>
  <si>
    <t>A089</t>
  </si>
  <si>
    <t>Bat77</t>
  </si>
  <si>
    <t>A167</t>
  </si>
  <si>
    <t>R119</t>
  </si>
  <si>
    <t>Bat78</t>
  </si>
  <si>
    <t>A168/A094</t>
  </si>
  <si>
    <t>R120</t>
  </si>
  <si>
    <t>A168</t>
  </si>
  <si>
    <t>A094</t>
  </si>
  <si>
    <t>Bat79</t>
  </si>
  <si>
    <t>B153</t>
  </si>
  <si>
    <t>B</t>
  </si>
  <si>
    <t>BJ5</t>
  </si>
  <si>
    <t>JS8</t>
  </si>
  <si>
    <t>Bat80</t>
  </si>
  <si>
    <t>B106</t>
  </si>
  <si>
    <t>Bat81</t>
  </si>
  <si>
    <t>B145</t>
  </si>
  <si>
    <t>Bat82</t>
  </si>
  <si>
    <t>B147</t>
  </si>
  <si>
    <t>BJ8</t>
  </si>
  <si>
    <t>Bat83</t>
  </si>
  <si>
    <t>B132</t>
  </si>
  <si>
    <t>BJ3</t>
  </si>
  <si>
    <t>JS6</t>
  </si>
  <si>
    <t>Bat84</t>
  </si>
  <si>
    <t>B120</t>
  </si>
  <si>
    <t>BJ7</t>
  </si>
  <si>
    <t>JS3</t>
  </si>
  <si>
    <t>Bat85</t>
  </si>
  <si>
    <t>B111</t>
  </si>
  <si>
    <t>Bat86</t>
  </si>
  <si>
    <t>B188</t>
  </si>
  <si>
    <t>BJ4</t>
  </si>
  <si>
    <t>JS1</t>
  </si>
  <si>
    <t>Bat87</t>
  </si>
  <si>
    <t>B157</t>
  </si>
  <si>
    <t>BJ2</t>
  </si>
  <si>
    <t>JS2</t>
  </si>
  <si>
    <t>Bat88</t>
  </si>
  <si>
    <t>B150</t>
  </si>
  <si>
    <t>JS5</t>
  </si>
  <si>
    <t>Bat89</t>
  </si>
  <si>
    <t>BJ6</t>
  </si>
  <si>
    <t>Bat90</t>
  </si>
  <si>
    <t>BJ1</t>
  </si>
  <si>
    <t>JS7</t>
  </si>
  <si>
    <t>Bat91</t>
  </si>
  <si>
    <t>JS4</t>
  </si>
  <si>
    <t>B115</t>
  </si>
  <si>
    <t>B158</t>
  </si>
  <si>
    <t>Microchip</t>
  </si>
  <si>
    <t>Forearm</t>
  </si>
  <si>
    <t>Weight</t>
  </si>
  <si>
    <t>Dam/Offspring</t>
  </si>
  <si>
    <t>#</t>
  </si>
  <si>
    <t>Pregnancy</t>
  </si>
  <si>
    <t>Flies</t>
  </si>
  <si>
    <t>Donor</t>
  </si>
  <si>
    <t>COMMENT</t>
  </si>
  <si>
    <t>B#</t>
  </si>
  <si>
    <t>plating checking</t>
  </si>
  <si>
    <t>Isolate</t>
  </si>
  <si>
    <t>RT tmRNA</t>
  </si>
  <si>
    <t>gltA 443-1210</t>
  </si>
  <si>
    <t>type-gltA</t>
  </si>
  <si>
    <t>gltA</t>
  </si>
  <si>
    <t>tmRNA</t>
  </si>
  <si>
    <t>ftsZ</t>
  </si>
  <si>
    <t>N-ftsZ</t>
  </si>
  <si>
    <t>N-gltA</t>
  </si>
  <si>
    <t>ITS</t>
  </si>
  <si>
    <t>958 9038/958 9058</t>
  </si>
  <si>
    <t>Jul09</t>
  </si>
  <si>
    <t>.</t>
  </si>
  <si>
    <t>Last four of band recorded as 9058; young, 0.3mL</t>
  </si>
  <si>
    <t>NEG</t>
  </si>
  <si>
    <t>Ew</t>
  </si>
  <si>
    <t>E3</t>
  </si>
  <si>
    <r>
      <rPr>
        <rFont val="Calibri,Arial"/>
        <color rgb="FF00B050"/>
        <sz val="11.0"/>
      </rPr>
      <t>E3</t>
    </r>
    <r>
      <rPr>
        <rFont val="Calibri,Arial"/>
        <sz val="11.0"/>
      </rPr>
      <t>/</t>
    </r>
    <r>
      <rPr>
        <rFont val="Calibri,Arial"/>
        <color rgb="FF833C0B"/>
        <sz val="11.0"/>
      </rPr>
      <t>Ew</t>
    </r>
  </si>
  <si>
    <t>smaller</t>
  </si>
  <si>
    <t>BAD SEQ</t>
  </si>
  <si>
    <t xml:space="preserve">BCS2, lesions, pic 1-3 </t>
  </si>
  <si>
    <t>E4</t>
  </si>
  <si>
    <t>No flies; nose lesion, pic 5</t>
  </si>
  <si>
    <t>POS</t>
  </si>
  <si>
    <t>C</t>
  </si>
  <si>
    <t>Testes returned?</t>
  </si>
  <si>
    <t>Had A127 as band</t>
  </si>
  <si>
    <t>Looks a lot better</t>
  </si>
  <si>
    <t>A197_058</t>
  </si>
  <si>
    <t>No flies</t>
  </si>
  <si>
    <t>No flies; fly (dead)</t>
  </si>
  <si>
    <t>MIA</t>
  </si>
  <si>
    <t>958 5932</t>
  </si>
  <si>
    <t>POS?</t>
  </si>
  <si>
    <t>Had ...1495930 as chip</t>
  </si>
  <si>
    <t>BCS1, pic 7-9</t>
  </si>
  <si>
    <t>No flies; BCS 2.0</t>
  </si>
  <si>
    <t>D</t>
  </si>
  <si>
    <t>Eh6</t>
  </si>
  <si>
    <t>DEAD</t>
  </si>
  <si>
    <t>Testes receded, scraping wing; missing since Jul10, presumed dead as of Nov10</t>
  </si>
  <si>
    <t>958 1777</t>
  </si>
  <si>
    <t>0.4ml</t>
  </si>
  <si>
    <r>
      <rPr>
        <rFont val="Calibri,Arial"/>
        <color rgb="FF00B050"/>
        <sz val="11.0"/>
      </rPr>
      <t>E3</t>
    </r>
    <r>
      <rPr>
        <rFont val="Calibri,Arial"/>
        <sz val="11.0"/>
      </rPr>
      <t>/</t>
    </r>
    <r>
      <rPr>
        <rFont val="Calibri,Arial"/>
        <color rgb="FF0070C0"/>
        <sz val="11.0"/>
      </rPr>
      <t>E4</t>
    </r>
  </si>
  <si>
    <t>Had …1451777 as chip</t>
  </si>
  <si>
    <t>Eh7</t>
  </si>
  <si>
    <t>Bald spots on belly, nose lesion, pic 21</t>
  </si>
  <si>
    <t>E1</t>
  </si>
  <si>
    <t>A193_777</t>
  </si>
  <si>
    <t>958 8793</t>
  </si>
  <si>
    <t>0.3ml</t>
  </si>
  <si>
    <t>1 big, rough col, not B-like, 1p, B36527</t>
  </si>
  <si>
    <t>B36527</t>
  </si>
  <si>
    <t>WEIGHT - SIM GREW</t>
  </si>
  <si>
    <t>SKINNY BCS 1</t>
  </si>
  <si>
    <t>A189_793</t>
  </si>
  <si>
    <t>Rec'd 2 flies</t>
  </si>
  <si>
    <t>D062</t>
  </si>
  <si>
    <t>Rec'd 2 flies; JUV?</t>
  </si>
  <si>
    <t>958 0982</t>
  </si>
  <si>
    <t>Lesions, pic 14 and 15</t>
  </si>
  <si>
    <t>A195_982</t>
  </si>
  <si>
    <t>Left lower canine missing; no flies</t>
  </si>
  <si>
    <t>A195_0982</t>
  </si>
  <si>
    <t>Throat tube labelled A195 0981?; no flies</t>
  </si>
  <si>
    <t>BAT DNA</t>
  </si>
  <si>
    <t>D034</t>
  </si>
  <si>
    <t>EUTH</t>
  </si>
  <si>
    <t>Noticed sick ~01/03/2010, euthed and PMed 05/03/2010</t>
  </si>
  <si>
    <t>958 0174</t>
  </si>
  <si>
    <t>0.4 ml</t>
  </si>
  <si>
    <t>E5</t>
  </si>
  <si>
    <t>Healing lesion, pic 11</t>
  </si>
  <si>
    <t>Weight - should be gaining</t>
  </si>
  <si>
    <t>Coded as SI, but switched to A based on presence of testes; WEIGHT - SIM GREW, SMALL TESTES</t>
  </si>
  <si>
    <t>A196_174</t>
  </si>
  <si>
    <t>A196_0174</t>
  </si>
  <si>
    <t>Fly, CORR: OLD ID WAS A126; No flies</t>
  </si>
  <si>
    <t>E2</t>
  </si>
  <si>
    <t>958 9051</t>
  </si>
  <si>
    <t>0.5 ml</t>
  </si>
  <si>
    <t>A192_051</t>
  </si>
  <si>
    <t>9051</t>
  </si>
  <si>
    <t>A192_9051</t>
  </si>
  <si>
    <t>Missing since Nov09, presumed dead as of Mar10</t>
  </si>
  <si>
    <t>958 5544</t>
  </si>
  <si>
    <t>0.3 ml</t>
  </si>
  <si>
    <t>Suspect is R22, because mchip no on PM was 958000001455844; unkown date of death, v thin; missing since Jan10, presumed dead as of May10</t>
  </si>
  <si>
    <t>1 big, rough col, not B-like, 1p, B36526</t>
  </si>
  <si>
    <t>B36526</t>
  </si>
  <si>
    <t>958 7416</t>
  </si>
  <si>
    <t>J</t>
  </si>
  <si>
    <t>BCS2, R eye bad (was when put in), pic 4-5; noticed sick ~01/03/2010, euthed and PMed 05/03/2010; SAMPLES TAKEN AT PM; euthanised on humane grounds, BCS1.5, very sunken eyes, liver and kidney both very dark, spleen was spotty</t>
  </si>
  <si>
    <t>C150</t>
  </si>
  <si>
    <t>0.3 ml; missing since Nov09, presumed dead as of Mar10</t>
  </si>
  <si>
    <t>A101/A072</t>
  </si>
  <si>
    <t>958 6510</t>
  </si>
  <si>
    <t>Nov09</t>
  </si>
  <si>
    <t>Coded as JUV, but switched to SI based on presumed timing of birth pulse</t>
  </si>
  <si>
    <t>Weight - growing young</t>
  </si>
  <si>
    <t>WEIGHT - SIM GROWING</t>
  </si>
  <si>
    <t>WEIGHT - SIM GREW, TESTES NOT AROUND</t>
  </si>
  <si>
    <t>WEIGHT - SIM GREW SINCE START</t>
  </si>
  <si>
    <t>A101_510</t>
  </si>
  <si>
    <t>Already had 2 flies</t>
  </si>
  <si>
    <t>D085</t>
  </si>
  <si>
    <t>A072</t>
  </si>
  <si>
    <t>A072_6510</t>
  </si>
  <si>
    <t>PROBABLY NOT A072 (BAT 6510), BUT CHIP OK; already had 2 flies</t>
  </si>
  <si>
    <t>958 3340</t>
  </si>
  <si>
    <t>Needle</t>
  </si>
  <si>
    <t>BCS2.5, CHIPPED</t>
  </si>
  <si>
    <t>A102_340</t>
  </si>
  <si>
    <t>Rec'd 1 fly</t>
  </si>
  <si>
    <t>D047</t>
  </si>
  <si>
    <t>Q227</t>
  </si>
  <si>
    <t>A102_3340</t>
  </si>
  <si>
    <t>958 0832</t>
  </si>
  <si>
    <t xml:space="preserve">MICROCHIPPED </t>
  </si>
  <si>
    <t>NEW NECK BAND</t>
  </si>
  <si>
    <t>A092_832</t>
  </si>
  <si>
    <t>9832</t>
  </si>
  <si>
    <t>A092_0832</t>
  </si>
  <si>
    <t>FLY (2)</t>
  </si>
  <si>
    <t>Missing since Jan10, presumed dead as of May10</t>
  </si>
  <si>
    <t>958 7745</t>
  </si>
  <si>
    <t>Lesions, pic 16 - 19</t>
  </si>
  <si>
    <t>L testis receding</t>
  </si>
  <si>
    <t>L TESTIS SMALL</t>
  </si>
  <si>
    <t>NOSE LESION</t>
  </si>
  <si>
    <t>A105_745</t>
  </si>
  <si>
    <t>FLY</t>
  </si>
  <si>
    <t>958 2905</t>
  </si>
  <si>
    <t>A106/B106</t>
  </si>
  <si>
    <t>BCS 1, pic 10</t>
  </si>
  <si>
    <t>2 sticky non-bart-like col, 1p. B36773; 2p, B36775</t>
  </si>
  <si>
    <t>B36775</t>
  </si>
  <si>
    <t>Weight - incl. baby, CHIPPED</t>
  </si>
  <si>
    <t>D1</t>
  </si>
  <si>
    <t>WEIGHT COMPARE INVALID</t>
  </si>
  <si>
    <t>WEIGHT PREGNANT!</t>
  </si>
  <si>
    <t>WEIGHT WITH BABY</t>
  </si>
  <si>
    <t>A106_905</t>
  </si>
  <si>
    <t>Already had 1 fly</t>
  </si>
  <si>
    <t>Fly+; already had 1 fly</t>
  </si>
  <si>
    <t>A106_2905</t>
  </si>
  <si>
    <t>B106/BJ6/A059</t>
  </si>
  <si>
    <t>958 3463/958 7628</t>
  </si>
  <si>
    <t>Apr10</t>
  </si>
  <si>
    <t>NEO</t>
  </si>
  <si>
    <t>BALD, IS EITHER B106 OR B150</t>
  </si>
  <si>
    <t>JN6</t>
  </si>
  <si>
    <t>NEW CHIP - 958000001937628, DEDUCED AS THIS BAT BY ONLY FEMALE UNACCOUNTED FOR</t>
  </si>
  <si>
    <t>7628</t>
  </si>
  <si>
    <t>A059</t>
  </si>
  <si>
    <t>A059_7628</t>
  </si>
  <si>
    <t>A107/A090/A010</t>
  </si>
  <si>
    <t>958 1795</t>
  </si>
  <si>
    <t>Bad right eye</t>
  </si>
  <si>
    <t>Right eye blind, CHIPPED</t>
  </si>
  <si>
    <t>RIGHT EYE SUNKEN</t>
  </si>
  <si>
    <t>NO RIGHT EYE, NEW COLLAR</t>
  </si>
  <si>
    <t>A090_795</t>
  </si>
  <si>
    <t>A010</t>
  </si>
  <si>
    <t>958 8408</t>
  </si>
  <si>
    <t>CHIPPED</t>
  </si>
  <si>
    <t>Dead as of Sep10; found dead, frozen at -20 prior to PM, BCS = 2, membranes partly decomposed (tears in wings), liver diffusely brown, much perirenal and pericardial fat</t>
  </si>
  <si>
    <t>A109/A169</t>
  </si>
  <si>
    <t>958 0825/958 8434/958 8137</t>
  </si>
  <si>
    <t>Healing nose lesion, pic 30-31, 3rd digit lesion pic 32-33, NOT CHIPPED BECAUSE STRESSED AND PREGNANT</t>
  </si>
  <si>
    <t>Weight - miscarriage, CHIPPED</t>
  </si>
  <si>
    <t>OLD CHIP 958000001678137</t>
  </si>
  <si>
    <t>NEW CHIP</t>
  </si>
  <si>
    <t>NEW CHIP … 1920825</t>
  </si>
  <si>
    <t>A169</t>
  </si>
  <si>
    <t>Missing since 31Jan12, presumed dead as of 15Jan12</t>
  </si>
  <si>
    <t>958 9089</t>
  </si>
  <si>
    <t>PUT TRANSMITTER ON THE BACK OF THIS ONE FOR D&amp;J</t>
  </si>
  <si>
    <t>A110_089</t>
  </si>
  <si>
    <t>A110_9089</t>
  </si>
  <si>
    <t>958 1383</t>
  </si>
  <si>
    <t>A111/B111</t>
  </si>
  <si>
    <t>B2</t>
  </si>
  <si>
    <t>Pic 12+13</t>
  </si>
  <si>
    <t>CHIPPED left digit third finger, 2nd phalanx missing, pic 3</t>
  </si>
  <si>
    <t>W/BABY B111</t>
  </si>
  <si>
    <t>A111_383</t>
  </si>
  <si>
    <t>Rec'd 1 fly and 1 nymph</t>
  </si>
  <si>
    <t>D089</t>
  </si>
  <si>
    <t>B111/JS4/JN1</t>
  </si>
  <si>
    <t>958 184?</t>
  </si>
  <si>
    <t>Very little, liver okay?</t>
  </si>
  <si>
    <t>JN1</t>
  </si>
  <si>
    <t>Missing since Mar11, presumed dead as of 17Jan12</t>
  </si>
  <si>
    <t>958 6479</t>
  </si>
  <si>
    <t>A112_479</t>
  </si>
  <si>
    <t>D092</t>
  </si>
  <si>
    <t>A112_6479</t>
  </si>
  <si>
    <t>Fly; rec'd 1 fly</t>
  </si>
  <si>
    <t>958 4325</t>
  </si>
  <si>
    <t>Pic 6</t>
  </si>
  <si>
    <t>G</t>
  </si>
  <si>
    <t>A113_325</t>
  </si>
  <si>
    <t>Missing since 17Jan12, presumed dead as of 14Feb12</t>
  </si>
  <si>
    <t>958 8029</t>
  </si>
  <si>
    <t>Jan10</t>
  </si>
  <si>
    <t>Nose lesion, pic 4</t>
  </si>
  <si>
    <t>D041</t>
  </si>
  <si>
    <t>A114_8092</t>
  </si>
  <si>
    <t>Rec'd 2 flies; CORR ID WAS 8092</t>
  </si>
  <si>
    <t>958 3072</t>
  </si>
  <si>
    <t>WEIGHT - SIM GROWING, NO TESTES PRESENT,  FA reached adult</t>
  </si>
  <si>
    <t>A115_072</t>
  </si>
  <si>
    <t>D083</t>
  </si>
  <si>
    <t>Rec'd nymphs</t>
  </si>
  <si>
    <t>958 9218</t>
  </si>
  <si>
    <t>Left wing, 3rd digit, pic 27-28</t>
  </si>
  <si>
    <t>Missing since Sep10, presumed dead as of Mar11</t>
  </si>
  <si>
    <t>A118/A084</t>
  </si>
  <si>
    <t>958 5868</t>
  </si>
  <si>
    <t>A084</t>
  </si>
  <si>
    <t>A084_868</t>
  </si>
  <si>
    <t>958 7021</t>
  </si>
  <si>
    <t>none bart, conta. Discard</t>
  </si>
  <si>
    <t>A119_021</t>
  </si>
  <si>
    <t>No flies on (donor) bat SO A119 did NOT receive a bat flies</t>
  </si>
  <si>
    <t>D081</t>
  </si>
  <si>
    <t>No flies on (donor) bat SO A119 did NOT receive a bat flies; QUERY SAMPLE: was originally labelled A119 then crossed out and labelled B119 but then there were 2 xB119?</t>
  </si>
  <si>
    <t>A119_7021</t>
  </si>
  <si>
    <t>Fly</t>
  </si>
  <si>
    <t>A120/A071/A171</t>
  </si>
  <si>
    <t>958 6256/958 3528</t>
  </si>
  <si>
    <t>A120/B120</t>
  </si>
  <si>
    <t>Left eye missing</t>
  </si>
  <si>
    <t>W/BABY B120; weight incl. baby</t>
  </si>
  <si>
    <t>WEIGHT  - PREVIOUS INC. BABY, SUNKEN L EYE, INVALID WEIGHT COMPARISON</t>
  </si>
  <si>
    <t>LEFT EYE MISSING</t>
  </si>
  <si>
    <t>A120_528</t>
  </si>
  <si>
    <t>Already had 2 flies; rec'd 1 fly</t>
  </si>
  <si>
    <t>D090</t>
  </si>
  <si>
    <t>3528</t>
  </si>
  <si>
    <t>A071</t>
  </si>
  <si>
    <t>A071_6256</t>
  </si>
  <si>
    <t>New chip; RETAGGED 3528?; already had 2 flies; rec'd 1 fly</t>
  </si>
  <si>
    <t>Fly; already had 2 flies; rec'd 1 fly</t>
  </si>
  <si>
    <t>B120/BJ7/JS3/JN4/A088</t>
  </si>
  <si>
    <t>958 2453</t>
  </si>
  <si>
    <t>Very little</t>
  </si>
  <si>
    <t>JUV GAINING</t>
  </si>
  <si>
    <t>JN4</t>
  </si>
  <si>
    <t>WEIGHT - JUV</t>
  </si>
  <si>
    <t>A088</t>
  </si>
  <si>
    <t>A088_453</t>
  </si>
  <si>
    <t>A088_2453</t>
  </si>
  <si>
    <t>958 5886</t>
  </si>
  <si>
    <t>E</t>
  </si>
  <si>
    <t>nose lesion, pic 1</t>
  </si>
  <si>
    <t>A121_886</t>
  </si>
  <si>
    <t>Rec'd 3 flies</t>
  </si>
  <si>
    <t>D071</t>
  </si>
  <si>
    <t>958 8829/958 0047</t>
  </si>
  <si>
    <t>Testes have receded</t>
  </si>
  <si>
    <r>
      <rPr>
        <rFont val="Calibri,Arial"/>
        <color rgb="FF833C0B"/>
        <sz val="11.0"/>
      </rPr>
      <t>Ew</t>
    </r>
    <r>
      <rPr>
        <rFont val="Calibri,Arial"/>
        <sz val="11.0"/>
      </rPr>
      <t>/</t>
    </r>
    <r>
      <rPr>
        <rFont val="Calibri,Arial"/>
        <color rgb="FF0070C0"/>
        <sz val="11.0"/>
      </rPr>
      <t>E4</t>
    </r>
  </si>
  <si>
    <t>WEIGHT - SIM GROWING, NEW CHIP …1598829/NOSE DIVED TWICE AFTER SAMPLING</t>
  </si>
  <si>
    <t>A122_462</t>
  </si>
  <si>
    <t>A177</t>
  </si>
  <si>
    <t>Probably a typo (A177 looks like A122); presumed dead</t>
  </si>
  <si>
    <t>958 5678</t>
  </si>
  <si>
    <t>H</t>
  </si>
  <si>
    <t>TRANSMITTER PUT ON FOR D&amp;J</t>
  </si>
  <si>
    <t>A123_678</t>
  </si>
  <si>
    <t>5678</t>
  </si>
  <si>
    <t>A123_5678</t>
  </si>
  <si>
    <t>No flies; CORR AGE WAS JUV</t>
  </si>
  <si>
    <t>A124/A067</t>
  </si>
  <si>
    <t>958 0691</t>
  </si>
  <si>
    <t>B10</t>
  </si>
  <si>
    <t>RIGHT THUMB CLAW OFF</t>
  </si>
  <si>
    <t>Left Testis receding</t>
  </si>
  <si>
    <t>WEIGHT NOT TAKEN</t>
  </si>
  <si>
    <t>FEB1</t>
  </si>
  <si>
    <t>A124_691</t>
  </si>
  <si>
    <t>A067</t>
  </si>
  <si>
    <t>No flies; CORR: ID WAS 0619</t>
  </si>
  <si>
    <t>958 6170</t>
  </si>
  <si>
    <t>HEALING ANGIOGENESIS LESION ON WING, WART-LIKE LESION ON CHIN, CAN'T COMPARE WEIGHT - FIND ORIGINAL SHEETS AND CHECK MAY GENDER</t>
  </si>
  <si>
    <t xml:space="preserve">Euthanized in Sep10; euthanised dt lesions present on skin of head and ventrum. On head there were approximately 10-12 3-5mm focal caseous boil-like lesions, also 1 lesions approx 5mm on ventral abdomen in right caudal quadrant </t>
  </si>
  <si>
    <t>958 8009</t>
  </si>
  <si>
    <t>Torn thumb right claw</t>
  </si>
  <si>
    <r>
      <rPr>
        <rFont val="Calibri"/>
        <color rgb="FF000000"/>
        <sz val="11.0"/>
      </rPr>
      <t>Eh6/</t>
    </r>
    <r>
      <rPr>
        <rFont val="Calibri"/>
        <color rgb="FF7030A0"/>
        <sz val="11.0"/>
      </rPr>
      <t>E5</t>
    </r>
  </si>
  <si>
    <t>WEIGHT SIM GROWING</t>
  </si>
  <si>
    <t>A126_009</t>
  </si>
  <si>
    <t xml:space="preserve">Rec'd 3 flies; was SIM when in </t>
  </si>
  <si>
    <t>D082</t>
  </si>
  <si>
    <t>A126_8009</t>
  </si>
  <si>
    <t>Rec'd 3 flies; fly; CORR: OLD ID WAS A126</t>
  </si>
  <si>
    <t>958 8272</t>
  </si>
  <si>
    <t>Bled on entry to cage; found dead 02-03-10</t>
  </si>
  <si>
    <t>958 6105</t>
  </si>
  <si>
    <t>TESTES RECEDING??</t>
  </si>
  <si>
    <t>Right testis receding</t>
  </si>
  <si>
    <t>THIN</t>
  </si>
  <si>
    <t>A128_105</t>
  </si>
  <si>
    <t>958 1037</t>
  </si>
  <si>
    <t>A099_037</t>
  </si>
  <si>
    <t>D060</t>
  </si>
  <si>
    <t>A099_1037</t>
  </si>
  <si>
    <t>Rec'd 3 flies; fly</t>
  </si>
  <si>
    <t>958 3767</t>
  </si>
  <si>
    <t>I</t>
  </si>
  <si>
    <r>
      <rPr>
        <rFont val="Calibri"/>
        <color rgb="FF7030A0"/>
        <sz val="11.0"/>
      </rPr>
      <t>E5</t>
    </r>
    <r>
      <rPr>
        <rFont val="Calibri"/>
        <color rgb="FF000000"/>
        <sz val="11.0"/>
      </rPr>
      <t>/</t>
    </r>
    <r>
      <rPr>
        <rFont val="Calibri"/>
        <color rgb="FF833C0B"/>
        <sz val="11.0"/>
      </rPr>
      <t>Ew</t>
    </r>
  </si>
  <si>
    <t>A130_767</t>
  </si>
  <si>
    <t>Already had 1 fly; 1 LIVE FLY on A130, so did not receive extra fly</t>
  </si>
  <si>
    <t>A130_3767</t>
  </si>
  <si>
    <t>958 1760</t>
  </si>
  <si>
    <t>A131_760</t>
  </si>
  <si>
    <t>958 4204</t>
  </si>
  <si>
    <t>A132/B132</t>
  </si>
  <si>
    <t>WEIGHT - INCLUDES BABY; W/ BABY B132</t>
  </si>
  <si>
    <t>WEIGHT - WAS PREV WITH BABY</t>
  </si>
  <si>
    <t>WEIGHT - SINCE EMPTY NOT ENTRY</t>
  </si>
  <si>
    <t>D049</t>
  </si>
  <si>
    <t>Rec'd 4 flies</t>
  </si>
  <si>
    <t>Rec'd 4 flies; FLY</t>
  </si>
  <si>
    <t>B132/JS6/JN3/A087</t>
  </si>
  <si>
    <t>958 9238</t>
  </si>
  <si>
    <t>JN3</t>
  </si>
  <si>
    <t>JN3_238</t>
  </si>
  <si>
    <t>D043</t>
  </si>
  <si>
    <t>A087</t>
  </si>
  <si>
    <t>Rec'd 3 flies; FLY</t>
  </si>
  <si>
    <t>958 9644</t>
  </si>
  <si>
    <t>Found dead 02-02-10</t>
  </si>
  <si>
    <t>A134/A077</t>
  </si>
  <si>
    <t>958 5151</t>
  </si>
  <si>
    <r>
      <rPr>
        <rFont val="Calibri"/>
        <color rgb="FF833C0B"/>
        <sz val="11.0"/>
      </rPr>
      <t>Ew</t>
    </r>
    <r>
      <rPr>
        <rFont val="Calibri"/>
        <color rgb="FF000000"/>
        <sz val="11.0"/>
      </rPr>
      <t>/Eh6</t>
    </r>
  </si>
  <si>
    <t>Testes small</t>
  </si>
  <si>
    <t>WEIGHT - SIM GROWING?; marked as A133, but that bat is dead; probably a typo (both bats were adult males)</t>
  </si>
  <si>
    <t>A134_151</t>
  </si>
  <si>
    <t>D070</t>
  </si>
  <si>
    <t>A077</t>
  </si>
  <si>
    <t>A077_5151</t>
  </si>
  <si>
    <t>Rec'd 1 fly; CORR AGE: A</t>
  </si>
  <si>
    <t>958 5539</t>
  </si>
  <si>
    <t>B3</t>
  </si>
  <si>
    <t>M1</t>
  </si>
  <si>
    <t>WAS marked on sheet and tubes as A139, but deduced to be A135 by virtue of the fact that this adult male was not caught and could be mistaken for it</t>
  </si>
  <si>
    <t>A135_539</t>
  </si>
  <si>
    <t>Already had 1 fly; donor to D075</t>
  </si>
  <si>
    <r>
      <rPr>
        <rFont val="Calibri,Arial"/>
        <color rgb="FF00B050"/>
        <sz val="11.0"/>
      </rPr>
      <t>E3</t>
    </r>
    <r>
      <rPr>
        <rFont val="Calibri,Arial"/>
        <sz val="11.0"/>
      </rPr>
      <t>/</t>
    </r>
    <r>
      <rPr>
        <rFont val="Calibri,Arial"/>
        <color rgb="FFFF0000"/>
        <sz val="11.0"/>
      </rPr>
      <t>E1</t>
    </r>
  </si>
  <si>
    <t>A135_5539</t>
  </si>
  <si>
    <t>Already had 1 fly; donor to D075; fly (2)</t>
  </si>
  <si>
    <t>A136/D040</t>
  </si>
  <si>
    <t>958 8106</t>
  </si>
  <si>
    <r>
      <rPr>
        <rFont val="Calibri"/>
        <color rgb="FF00B050"/>
        <sz val="11.0"/>
      </rPr>
      <t>E3</t>
    </r>
    <r>
      <rPr>
        <rFont val="Calibri"/>
        <color rgb="FF000000"/>
        <sz val="11.0"/>
      </rPr>
      <t>/</t>
    </r>
    <r>
      <rPr>
        <rFont val="Calibri"/>
        <color rgb="FF833C0B"/>
        <sz val="11.0"/>
      </rPr>
      <t>Ew</t>
    </r>
    <r>
      <rPr>
        <rFont val="Calibri"/>
        <color rgb="FF000000"/>
        <sz val="11.0"/>
      </rPr>
      <t>/</t>
    </r>
    <r>
      <rPr>
        <rFont val="Calibri"/>
        <color rgb="FF7030A0"/>
        <sz val="11.0"/>
      </rPr>
      <t>E5</t>
    </r>
  </si>
  <si>
    <t>D039</t>
  </si>
  <si>
    <t>D040</t>
  </si>
  <si>
    <t>D040_8106</t>
  </si>
  <si>
    <t>Rec'd 2 flies; CORR: SEX WAS F PREGNANT</t>
  </si>
  <si>
    <t>958 0696</t>
  </si>
  <si>
    <t>Found dead 02-04-10; left eye missing</t>
  </si>
  <si>
    <t>958 6277</t>
  </si>
  <si>
    <t>Aborting on release into cage; found dead 02-04-10</t>
  </si>
  <si>
    <t>958 2061</t>
  </si>
  <si>
    <t>Missing since Mar10, presumed dead as of Jul10</t>
  </si>
  <si>
    <t>958 5574</t>
  </si>
  <si>
    <t>WEIGHT - HAS MISCARRIED</t>
  </si>
  <si>
    <t>WEIGHT - PREGNANT?</t>
  </si>
  <si>
    <t>WEIGHT - SINCE EMPTY NOT ENTRY - weird as seemed quite heavily pregnant in Sep</t>
  </si>
  <si>
    <t>A141_574</t>
  </si>
  <si>
    <t>A142/A076</t>
  </si>
  <si>
    <t>958 4509/958 1509</t>
  </si>
  <si>
    <t>Weight - miscarried</t>
  </si>
  <si>
    <t>L EYE SUNKEN, L WING LESION</t>
  </si>
  <si>
    <t>LEFT EYE SUNKEN</t>
  </si>
  <si>
    <t>NO LEFT EYE</t>
  </si>
  <si>
    <t>D091</t>
  </si>
  <si>
    <t>A076</t>
  </si>
  <si>
    <t>A076_4509</t>
  </si>
  <si>
    <t>958 3624/958 8229</t>
  </si>
  <si>
    <t>A143_229</t>
  </si>
  <si>
    <t>No flies; was pregnant when entered</t>
  </si>
  <si>
    <t>A143_8229</t>
  </si>
  <si>
    <t>958 3800</t>
  </si>
  <si>
    <t>A144/A061</t>
  </si>
  <si>
    <t>FIRST BABY-NO SUCKLED</t>
  </si>
  <si>
    <t>1 col, 1p. B36774</t>
  </si>
  <si>
    <t>B36774</t>
  </si>
  <si>
    <t>B5</t>
  </si>
  <si>
    <t>A144_800</t>
  </si>
  <si>
    <t>Rec'd 3 flies; weight adjusted for being DAM of N2</t>
  </si>
  <si>
    <t>D077</t>
  </si>
  <si>
    <t>A061/9186/N2</t>
  </si>
  <si>
    <t>958 9186</t>
  </si>
  <si>
    <t>Apr11</t>
  </si>
  <si>
    <t>N2</t>
  </si>
  <si>
    <t>9186</t>
  </si>
  <si>
    <t>A061</t>
  </si>
  <si>
    <t>A061_9186</t>
  </si>
  <si>
    <t xml:space="preserve">BAD SEQ </t>
  </si>
  <si>
    <r>
      <rPr>
        <rFont val="Calibri,Arial"/>
        <color rgb="FFFF0000"/>
        <sz val="11.0"/>
      </rPr>
      <t>E1</t>
    </r>
    <r>
      <rPr>
        <rFont val="Calibri,Arial"/>
        <sz val="11.0"/>
      </rPr>
      <t>/</t>
    </r>
    <r>
      <rPr>
        <rFont val="Calibri,Arial"/>
        <color rgb="FF7030A0"/>
        <sz val="11.0"/>
      </rPr>
      <t>E5</t>
    </r>
  </si>
  <si>
    <t>958 3353</t>
  </si>
  <si>
    <t>A145/B145</t>
  </si>
  <si>
    <t>Found dead, frozen at -20 before PM, lungs turgid and dark, brain severely autolysed (samples not taken), lungs consolidated, 3.5cm foetus, foetal and parental muscle taken; weight incl. baby</t>
  </si>
  <si>
    <t>958 3688</t>
  </si>
  <si>
    <t>When aliquoting sera, couldn't find a B145, but there was a B115 which has no bat, assume this is s a mislabel but will note here; issing since Jul10, presumed dead as of Nov10</t>
  </si>
  <si>
    <t>958 4194</t>
  </si>
  <si>
    <t>Lesion on nose (pic 14-17), wing damage (18)</t>
  </si>
  <si>
    <t>WEIGHT - HAD MISSCARRIEDNOSE LESION, PICS 1-3, INVALID WEIGHT COMPARE</t>
  </si>
  <si>
    <t>WEIGHT - SINCE ENTRY NOT EMPTY</t>
  </si>
  <si>
    <t>A146_194</t>
  </si>
  <si>
    <t>958 2857</t>
  </si>
  <si>
    <t>A147/B147</t>
  </si>
  <si>
    <r>
      <rPr>
        <rFont val="Calibri,Arial"/>
        <color rgb="FFFFFF00"/>
        <sz val="11.0"/>
      </rPr>
      <t>E2</t>
    </r>
    <r>
      <rPr>
        <rFont val="Calibri,Arial"/>
        <color rgb="FF000000"/>
        <sz val="11.0"/>
      </rPr>
      <t>/Eh6</t>
    </r>
  </si>
  <si>
    <t>W/BABY B147; weight - Incl. baby</t>
  </si>
  <si>
    <t>WEIGHT - WAS W/ BABE PREVIOUSLY</t>
  </si>
  <si>
    <t>A147_857</t>
  </si>
  <si>
    <t>D078</t>
  </si>
  <si>
    <t>A147_2857</t>
  </si>
  <si>
    <t>B147/BJ8</t>
  </si>
  <si>
    <t>958 2755</t>
  </si>
  <si>
    <t>Dead in Sep10; PM UNREMARKABLE WITH THE EXCEPTION OF AN EXTREMELY PALE COLOURED LIVER; BALDISH CHEST</t>
  </si>
  <si>
    <t>958 5873</t>
  </si>
  <si>
    <t>A148_873</t>
  </si>
  <si>
    <t>D067</t>
  </si>
  <si>
    <t>A148_5873</t>
  </si>
  <si>
    <t>A149/A075</t>
  </si>
  <si>
    <t>958 0864/958 7193</t>
  </si>
  <si>
    <t>N</t>
  </si>
  <si>
    <t>NEW MICROCHIP AS PREVIOUS UNDETECTABLE</t>
  </si>
  <si>
    <t>A149_193</t>
  </si>
  <si>
    <t>A075</t>
  </si>
  <si>
    <t>A150/A068/A065</t>
  </si>
  <si>
    <t>958 3660</t>
  </si>
  <si>
    <t>A150/B150</t>
  </si>
  <si>
    <t>W/BABY B157; weight - incl. baby</t>
  </si>
  <si>
    <t>D044</t>
  </si>
  <si>
    <t>A065</t>
  </si>
  <si>
    <t>A068_3660</t>
  </si>
  <si>
    <t>A068</t>
  </si>
  <si>
    <t>JS5/JN8/B150/A070/Mar11-4</t>
  </si>
  <si>
    <t>958 8509</t>
  </si>
  <si>
    <t>JN8</t>
  </si>
  <si>
    <t>D088</t>
  </si>
  <si>
    <t>8509</t>
  </si>
  <si>
    <t>A070</t>
  </si>
  <si>
    <t>A070_8509</t>
  </si>
  <si>
    <t>958 9675</t>
  </si>
  <si>
    <t>A151/A057</t>
  </si>
  <si>
    <t>Thumb claw off, right 2rd digit, 2nd phalanx, pic 22-26, left: open bone</t>
  </si>
  <si>
    <t>A151_675</t>
  </si>
  <si>
    <t>Rec'd 3 flies; IS DAM OF N3</t>
  </si>
  <si>
    <t>D084</t>
  </si>
  <si>
    <t>Rec'd 3 flies; PROBLEM: A151 USUALLY 9186</t>
  </si>
  <si>
    <t>A057/N3</t>
  </si>
  <si>
    <t>958 4829</t>
  </si>
  <si>
    <t>N3</t>
  </si>
  <si>
    <t>A057</t>
  </si>
  <si>
    <t>A057_4829</t>
  </si>
  <si>
    <t>958 3900/958 2357/958 0142</t>
  </si>
  <si>
    <r>
      <rPr>
        <rFont val="Calibri"/>
        <color rgb="FF00B050"/>
        <sz val="11.0"/>
      </rPr>
      <t>E3</t>
    </r>
    <r>
      <rPr>
        <rFont val="Calibri"/>
        <color rgb="FF000000"/>
        <sz val="11.0"/>
      </rPr>
      <t>/</t>
    </r>
    <r>
      <rPr>
        <rFont val="Calibri"/>
        <color rgb="FF833C0B"/>
        <sz val="11.0"/>
      </rPr>
      <t>Ew</t>
    </r>
  </si>
  <si>
    <t>Weight - should be gaining OLD CHIP 958000001592357</t>
  </si>
  <si>
    <t>OLD CHIP 958000001600142 AS PREVIOUS UNDETECTABLE</t>
  </si>
  <si>
    <t>WEIGHT - SIM GREW, NEW CHIP AGAIN!</t>
  </si>
  <si>
    <t>WEIGHT - SIM PREGOS WHEN IN</t>
  </si>
  <si>
    <t>A152_900</t>
  </si>
  <si>
    <t>958 8869</t>
  </si>
  <si>
    <t>A153/B153</t>
  </si>
  <si>
    <t>6 col, 1p, B36675; 2p, b36771</t>
  </si>
  <si>
    <t>B36771</t>
  </si>
  <si>
    <t>W/BABY B153; WEIGHT - DOESN'T INCLUDE BABY</t>
  </si>
  <si>
    <t>A153_869</t>
  </si>
  <si>
    <t>Rec'd 2 flies; was pregnant when went in though cf weight</t>
  </si>
  <si>
    <t>D068</t>
  </si>
  <si>
    <t>B153/A086</t>
  </si>
  <si>
    <t>958 3904</t>
  </si>
  <si>
    <t>JN5</t>
  </si>
  <si>
    <t>WEIGHT - JUV SHOULD BE GAINING</t>
  </si>
  <si>
    <t>A086</t>
  </si>
  <si>
    <t>A086_904</t>
  </si>
  <si>
    <t>A086_3904</t>
  </si>
  <si>
    <t>No flies; OTHER TUBE WITH 7034 - IRRESOLVABLE IF NOT SURE WHO'S WHO</t>
  </si>
  <si>
    <t>No flies; CORR: SEX WAS M</t>
  </si>
  <si>
    <t>958 6353/958 3403</t>
  </si>
  <si>
    <t>A188/B188</t>
  </si>
  <si>
    <t>No flies; nose lesion, pic 29</t>
  </si>
  <si>
    <t>W/BABY B188; Weight incl. baby, NO CHIP IMPLANTED 958000001606353</t>
  </si>
  <si>
    <t>D2</t>
  </si>
  <si>
    <t>Pregnant on entry</t>
  </si>
  <si>
    <t>A188_353</t>
  </si>
  <si>
    <t>D046</t>
  </si>
  <si>
    <t>A188_6353</t>
  </si>
  <si>
    <t>Rec'd nymphs; fly</t>
  </si>
  <si>
    <t>A064/B188/BJ4/JS1/JN2/FEB3</t>
  </si>
  <si>
    <t>958 3282/958 3982</t>
  </si>
  <si>
    <t>Caught second to mother, can't compare since entry</t>
  </si>
  <si>
    <t>JN2</t>
  </si>
  <si>
    <t>FEB3</t>
  </si>
  <si>
    <t>A064_282</t>
  </si>
  <si>
    <t>D052</t>
  </si>
  <si>
    <t>A064</t>
  </si>
  <si>
    <t>A064_3282</t>
  </si>
  <si>
    <t>958 3250</t>
  </si>
  <si>
    <t>No weight as was chased so trying to reduce stress</t>
  </si>
  <si>
    <t>WEIGHT - WAS PREG WHEN IN AND AT LAST CATCH (MAR)</t>
  </si>
  <si>
    <t>SINGLE BOIL LIKE LESION</t>
  </si>
  <si>
    <t>WEIGHT - PREGOS BEFORE</t>
  </si>
  <si>
    <t>A155_250</t>
  </si>
  <si>
    <t>D087</t>
  </si>
  <si>
    <t>Rec'd 3 flies; CORR: ID WAS 3205</t>
  </si>
  <si>
    <t>A155_3250</t>
  </si>
  <si>
    <t>958 7351</t>
  </si>
  <si>
    <t>2 thumb claws missing</t>
  </si>
  <si>
    <t>Dead Oct10 - had necklace hooked on tree</t>
  </si>
  <si>
    <t>958 4830</t>
  </si>
  <si>
    <t>A157/B157</t>
  </si>
  <si>
    <t>No flies; Was sampled twice, oops, sorry bat</t>
  </si>
  <si>
    <t>W/BABY B157; weight - includes baby</t>
  </si>
  <si>
    <t>WEIGHT - SINCE EMPTY, NOT ENTRY</t>
  </si>
  <si>
    <t>A157_830</t>
  </si>
  <si>
    <t>D086</t>
  </si>
  <si>
    <t>A083/B157/BJ2/JS2/JN9</t>
  </si>
  <si>
    <t>958 2966</t>
  </si>
  <si>
    <t>Little blood, think chip fell out, rejected by mother</t>
  </si>
  <si>
    <t>JN9</t>
  </si>
  <si>
    <t>A083</t>
  </si>
  <si>
    <t>D048</t>
  </si>
  <si>
    <t>A158/A186</t>
  </si>
  <si>
    <t>958 9846</t>
  </si>
  <si>
    <t>A158_9846</t>
  </si>
  <si>
    <t>A186</t>
  </si>
  <si>
    <t>No flies; CORR: ID WAS 4846</t>
  </si>
  <si>
    <t>958 6826</t>
  </si>
  <si>
    <t>BAD EARS AND SKIN, LOOKED UNDERWEIGHT</t>
  </si>
  <si>
    <t>MINGIN'</t>
  </si>
  <si>
    <t>A159_826</t>
  </si>
  <si>
    <t>D045</t>
  </si>
  <si>
    <t>Rec'd 1 fly; fly; 686826 - BASED ON SEX</t>
  </si>
  <si>
    <t>Rec'd 1 fly; fly (1); 486826 - BASED ON SEX</t>
  </si>
  <si>
    <t>A160/A002</t>
  </si>
  <si>
    <t>958 3240</t>
  </si>
  <si>
    <t>NO SAMPLES TAKEN  AS WAS CROWNING WHEN REMOVED FROM BAG</t>
  </si>
  <si>
    <t>WEIGHT- MISCARRIED</t>
  </si>
  <si>
    <t>WEIGHT - MISCARRIAGE THEN MISSING</t>
  </si>
  <si>
    <t>No flies; *no chip</t>
  </si>
  <si>
    <t>A160_3240</t>
  </si>
  <si>
    <t>A161/A098/A001</t>
  </si>
  <si>
    <t>958 0778</t>
  </si>
  <si>
    <t>A161/A174</t>
  </si>
  <si>
    <t>No flies; no collar</t>
  </si>
  <si>
    <t>Weight - has lost, sd b gain</t>
  </si>
  <si>
    <t>A098_778</t>
  </si>
  <si>
    <t>No flies; was juvenile when entered cf weight, and is  dam of N1</t>
  </si>
  <si>
    <t>A174/N1</t>
  </si>
  <si>
    <t>958 9231</t>
  </si>
  <si>
    <t>N1</t>
  </si>
  <si>
    <t>A174</t>
  </si>
  <si>
    <t>A162/A073</t>
  </si>
  <si>
    <t>958 3913</t>
  </si>
  <si>
    <t>3rd digit, left phalanx, b4 1st or 2nd, open bone, pic10-13</t>
  </si>
  <si>
    <t>BCS1, weight - miscarried</t>
  </si>
  <si>
    <t>A162_913</t>
  </si>
  <si>
    <t>A073</t>
  </si>
  <si>
    <t>A073_3913</t>
  </si>
  <si>
    <t>A163/A063</t>
  </si>
  <si>
    <t>958 2317</t>
  </si>
  <si>
    <t>Left wing, 3rd okay, 2nd phalanx, lesion pic 18 -20</t>
  </si>
  <si>
    <t>Weight- miscarried</t>
  </si>
  <si>
    <t>A163_352</t>
  </si>
  <si>
    <t>Rec'd 1 fly; New chip, only have last three digits on provided spreadsheet. Was pregnant when entered though re: weight</t>
  </si>
  <si>
    <t>D072</t>
  </si>
  <si>
    <t>Rec'd 1 fly; fly</t>
  </si>
  <si>
    <t>Rec'd 1 fly; NEW CHIP</t>
  </si>
  <si>
    <t>958 7128/958 3065</t>
  </si>
  <si>
    <t>Right third digit bone, out of bag left claw lost</t>
  </si>
  <si>
    <r>
      <rPr>
        <rFont val="Calibri,Arial"/>
        <color rgb="FF833C0B"/>
        <sz val="11.0"/>
      </rPr>
      <t>Ew</t>
    </r>
    <r>
      <rPr>
        <rFont val="Calibri,Arial"/>
        <sz val="11.0"/>
      </rPr>
      <t>/</t>
    </r>
    <r>
      <rPr>
        <rFont val="Calibri,Arial"/>
        <color rgb="FF7030A0"/>
        <sz val="11.0"/>
      </rPr>
      <t>E5</t>
    </r>
  </si>
  <si>
    <r>
      <rPr>
        <rFont val="Calibri,Arial"/>
        <color rgb="FF833C0B"/>
        <sz val="11.0"/>
      </rPr>
      <t>Ew</t>
    </r>
    <r>
      <rPr>
        <rFont val="Calibri,Arial"/>
        <sz val="11.0"/>
      </rPr>
      <t>/</t>
    </r>
    <r>
      <rPr>
        <rFont val="Calibri,Arial"/>
        <color rgb="FF7030A0"/>
        <sz val="11.0"/>
      </rPr>
      <t>E5</t>
    </r>
  </si>
  <si>
    <t>OLD CHIP 958000001683065</t>
  </si>
  <si>
    <t>WEIGHT -SINCE EMPTY, NOT ENTRY/ NEW CHIP …. 1597128</t>
  </si>
  <si>
    <t>A164_128</t>
  </si>
  <si>
    <t>D076</t>
  </si>
  <si>
    <t>A164_7128</t>
  </si>
  <si>
    <t>958 0949</t>
  </si>
  <si>
    <t>No necklace</t>
  </si>
  <si>
    <t>Weight - no original</t>
  </si>
  <si>
    <t>A097_949</t>
  </si>
  <si>
    <t>Rec'd 1 fly; was juvenile when entered cf weight</t>
  </si>
  <si>
    <t>D074</t>
  </si>
  <si>
    <t>A097/A165</t>
  </si>
  <si>
    <t>A166/A093/A089/D093</t>
  </si>
  <si>
    <t>958 4438</t>
  </si>
  <si>
    <t>3rd digit, left 2nd phalanx missing (open bone), pic 8-9</t>
  </si>
  <si>
    <t>D094</t>
  </si>
  <si>
    <t>D093</t>
  </si>
  <si>
    <t>Rec'd 2 flies; CORR: SEX WAS M</t>
  </si>
  <si>
    <t>958 4308</t>
  </si>
  <si>
    <t>FA BLOOD; dead in September; extensive mite infestation across ears and patagial membranes (including uropatagium), BCS=1, Lung oedema?, Found dead, Frozen at -20 before PM</t>
  </si>
  <si>
    <t>A168/A094/A091</t>
  </si>
  <si>
    <t>958 5113</t>
  </si>
  <si>
    <t>WEIGHT - MISCARRIED</t>
  </si>
  <si>
    <t>A091</t>
  </si>
  <si>
    <t>A091_113</t>
  </si>
  <si>
    <t>D064</t>
  </si>
  <si>
    <t>A168/A091</t>
  </si>
  <si>
    <t>A091_5113</t>
  </si>
  <si>
    <t>A085/BJ1/JS7/JN7</t>
  </si>
  <si>
    <t>985 3261/958 1494</t>
  </si>
  <si>
    <t>weight - juv gaining</t>
  </si>
  <si>
    <t>JN7</t>
  </si>
  <si>
    <t>A085</t>
  </si>
  <si>
    <t>A085_494</t>
  </si>
  <si>
    <t>No flies; FLY</t>
  </si>
  <si>
    <r>
      <rPr>
        <rFont val="Calibri,Arial"/>
        <color rgb="FF00B050"/>
        <sz val="11.0"/>
      </rPr>
      <t>E3</t>
    </r>
    <r>
      <rPr>
        <rFont val="Calibri,Arial"/>
        <sz val="11.0"/>
      </rPr>
      <t>/</t>
    </r>
    <r>
      <rPr>
        <rFont val="Calibri,Arial"/>
        <color rgb="FF833C0B"/>
        <sz val="11.0"/>
      </rPr>
      <t>Ew</t>
    </r>
  </si>
  <si>
    <t>A059/A069</t>
  </si>
  <si>
    <t>958 1044</t>
  </si>
  <si>
    <t>044</t>
  </si>
  <si>
    <t>A069</t>
  </si>
  <si>
    <t>A075/A080</t>
  </si>
  <si>
    <t>958 0890</t>
  </si>
  <si>
    <t>A080</t>
  </si>
  <si>
    <t>A080_0890</t>
  </si>
  <si>
    <t>No flies; fly (2)</t>
  </si>
  <si>
    <t>A172/A002</t>
  </si>
  <si>
    <t>958 5270</t>
  </si>
  <si>
    <t>Randomly chosen as A002; should not affect results because all candidates were Bartonella-negative</t>
  </si>
  <si>
    <t>D059</t>
  </si>
  <si>
    <t>A172</t>
  </si>
  <si>
    <t>Rec'd 1 fly; FLY</t>
  </si>
  <si>
    <t>A074/5961/A003/A079</t>
  </si>
  <si>
    <t>958 5961</t>
  </si>
  <si>
    <t>A003</t>
  </si>
  <si>
    <t>Randomly chosen as A003; should not affect results because all candidates were Bartonella-negative</t>
  </si>
  <si>
    <t>A079</t>
  </si>
  <si>
    <t>A074</t>
  </si>
  <si>
    <t>A074_5961</t>
  </si>
  <si>
    <t>958 7739</t>
  </si>
  <si>
    <t>A001_7739</t>
  </si>
  <si>
    <t>A058/J3</t>
  </si>
  <si>
    <t>958 5349</t>
  </si>
  <si>
    <t>J3</t>
  </si>
  <si>
    <t>A058</t>
  </si>
  <si>
    <t>A058_5349</t>
  </si>
  <si>
    <t>A081/A062/J12</t>
  </si>
  <si>
    <t>958 7615</t>
  </si>
  <si>
    <t>J12</t>
  </si>
  <si>
    <t>515</t>
  </si>
  <si>
    <t>A062</t>
  </si>
  <si>
    <t>A062_7615</t>
  </si>
  <si>
    <t>A170/J11</t>
  </si>
  <si>
    <t>958 6929</t>
  </si>
  <si>
    <t>J11</t>
  </si>
  <si>
    <t>D066</t>
  </si>
  <si>
    <t>A170</t>
  </si>
  <si>
    <t>A173/J2</t>
  </si>
  <si>
    <t>958 8308/958 9308</t>
  </si>
  <si>
    <t>J2</t>
  </si>
  <si>
    <t>D053</t>
  </si>
  <si>
    <t>A173</t>
  </si>
  <si>
    <t>A173_8508</t>
  </si>
  <si>
    <t>Rec'd 1 fly; skin scraping</t>
  </si>
  <si>
    <t>A176/J10</t>
  </si>
  <si>
    <t>958 3647</t>
  </si>
  <si>
    <t>J10</t>
  </si>
  <si>
    <t>A176</t>
  </si>
  <si>
    <t>No flies; CORR SEX: F</t>
  </si>
  <si>
    <t>A176_3647</t>
  </si>
  <si>
    <t>6544/J17</t>
  </si>
  <si>
    <t>958 6544</t>
  </si>
  <si>
    <t>J17</t>
  </si>
  <si>
    <t>6544</t>
  </si>
  <si>
    <t>0 544</t>
  </si>
  <si>
    <t>A175/J9</t>
  </si>
  <si>
    <t>958 6698</t>
  </si>
  <si>
    <t>J9</t>
  </si>
  <si>
    <t>6698</t>
  </si>
  <si>
    <t>A175</t>
  </si>
  <si>
    <t>7158/3158/J1</t>
  </si>
  <si>
    <t>958 3158/958 7158</t>
  </si>
  <si>
    <t>J1</t>
  </si>
  <si>
    <t>bat DNA</t>
  </si>
  <si>
    <t>J01</t>
  </si>
  <si>
    <t>B119/J4</t>
  </si>
  <si>
    <t>958 4099</t>
  </si>
  <si>
    <t>J4</t>
  </si>
  <si>
    <t>Randomly chosen as J4; should not affect results because all candidates were Bartonella-negative</t>
  </si>
  <si>
    <t>B119</t>
  </si>
  <si>
    <t>A060/J13</t>
  </si>
  <si>
    <t>958 3940</t>
  </si>
  <si>
    <t>J13</t>
  </si>
  <si>
    <t>A060</t>
  </si>
  <si>
    <t>A171/J5</t>
  </si>
  <si>
    <t>958 4569</t>
  </si>
  <si>
    <t>J5</t>
  </si>
  <si>
    <t>D061</t>
  </si>
  <si>
    <t>A171</t>
  </si>
  <si>
    <t>A078/J8</t>
  </si>
  <si>
    <t>958 3428</t>
  </si>
  <si>
    <t>J8</t>
  </si>
  <si>
    <t>A078</t>
  </si>
  <si>
    <t>4146/J7/A004</t>
  </si>
  <si>
    <t>958 4146/958 1146</t>
  </si>
  <si>
    <t>J7</t>
  </si>
  <si>
    <t>A004</t>
  </si>
  <si>
    <t>A055/J14</t>
  </si>
  <si>
    <t>958 7828</t>
  </si>
  <si>
    <t>J14</t>
  </si>
  <si>
    <t>Randomly chosen as J14; should not affect results because all candidates were Bartonella-negative</t>
  </si>
  <si>
    <t>A055</t>
  </si>
  <si>
    <t>J6/A066</t>
  </si>
  <si>
    <t>958 7034</t>
  </si>
  <si>
    <t>034</t>
  </si>
  <si>
    <t>D050</t>
  </si>
  <si>
    <t>7034</t>
  </si>
  <si>
    <t>A066</t>
  </si>
  <si>
    <t>A082</t>
  </si>
  <si>
    <t>U</t>
  </si>
  <si>
    <t>Unknown origin: IGNORE</t>
  </si>
  <si>
    <t>Either A146 or A115</t>
  </si>
  <si>
    <t>UNK</t>
  </si>
  <si>
    <t>Either A130 or A159</t>
  </si>
  <si>
    <t>A050</t>
  </si>
  <si>
    <t>Either A059 or A060</t>
  </si>
  <si>
    <t>A051</t>
  </si>
  <si>
    <t>Age at entry</t>
  </si>
  <si>
    <t>Sampled more than once in a row?</t>
  </si>
  <si>
    <t>Infected at least one timepoint?</t>
  </si>
  <si>
    <t>Longest period of any infection (days)</t>
  </si>
  <si>
    <t>Longest period of one infection (days)</t>
  </si>
  <si>
    <t>Species</t>
  </si>
  <si>
    <t>Longest gap for latent infection (days)</t>
  </si>
  <si>
    <t>Coinfections?</t>
  </si>
  <si>
    <t>Coinfections recorded (timepoints recorded)</t>
  </si>
  <si>
    <t>Longest period for co-infection (days)</t>
  </si>
  <si>
    <t>Co-infection species</t>
  </si>
  <si>
    <t>Sharing between dam/offspring?</t>
  </si>
  <si>
    <t>Shortest gap between shared infection (days)</t>
  </si>
  <si>
    <t>Shared species</t>
  </si>
  <si>
    <t>Positive at entry</t>
  </si>
  <si>
    <t>Days until first positive</t>
  </si>
  <si>
    <t>Days until switching species after becoming positive (if negative at entry)</t>
  </si>
  <si>
    <t>Days until switching species (if positive at entry)</t>
  </si>
  <si>
    <t>Became positive before (0) or after (1) flies</t>
  </si>
  <si>
    <t>Switch species before (0) or after (1) flies</t>
  </si>
  <si>
    <t>Age at first positive</t>
  </si>
  <si>
    <t>Species (or coinfection) at first positive</t>
  </si>
  <si>
    <t>First species switch</t>
  </si>
  <si>
    <t>E3/Ew (1), E4/Ew (3)</t>
  </si>
  <si>
    <t>E4/Ew</t>
  </si>
  <si>
    <t>E3/Ew</t>
  </si>
  <si>
    <t>E3/Ew to E4/Ew</t>
  </si>
  <si>
    <t>E4/Ew (1)</t>
  </si>
  <si>
    <t>E3 to E4/Ew</t>
  </si>
  <si>
    <t>E3/E4 (1), E4/Eh7 (1), E4/Ew (1)</t>
  </si>
  <si>
    <t>E3/E4</t>
  </si>
  <si>
    <t>E3/E4 to Eh7</t>
  </si>
  <si>
    <t>none (stayed Ew)</t>
  </si>
  <si>
    <t>E3/Ew (1)</t>
  </si>
  <si>
    <t>Ew to E4</t>
  </si>
  <si>
    <t>NA (only sampled once)</t>
  </si>
  <si>
    <t>E2, E3/E5, E5</t>
  </si>
  <si>
    <t>E3/E5 (1)</t>
  </si>
  <si>
    <t>E3/E5</t>
  </si>
  <si>
    <t>E5 to E2</t>
  </si>
  <si>
    <t>E3, E4, Ew, Eh6</t>
  </si>
  <si>
    <t>E3 to E4</t>
  </si>
  <si>
    <t>NA (never became positive)</t>
  </si>
  <si>
    <t>none (stayed E4)</t>
  </si>
  <si>
    <t>none (only sampled once)</t>
  </si>
  <si>
    <t>E1/Ew (1)</t>
  </si>
  <si>
    <t>E5 to Ew</t>
  </si>
  <si>
    <t>E3 to E3/Ew</t>
  </si>
  <si>
    <t>E4/Ew (2)</t>
  </si>
  <si>
    <t>E4 to E4/Ew</t>
  </si>
  <si>
    <t>E4/E5</t>
  </si>
  <si>
    <t>E4/E5 (1)</t>
  </si>
  <si>
    <t>none (stayed E3)</t>
  </si>
  <si>
    <t>Eh6 to E4/E5</t>
  </si>
  <si>
    <t>NEO/JUV</t>
  </si>
  <si>
    <t>E1/E5</t>
  </si>
  <si>
    <t>E1/E2 (1), E1/E5 (2)</t>
  </si>
  <si>
    <t>E1/E2/E5</t>
  </si>
  <si>
    <t>E1/E5 to E3</t>
  </si>
  <si>
    <t>Ew/Eh6 (1)</t>
  </si>
  <si>
    <t>Ew to Ew/Eh6</t>
  </si>
  <si>
    <t>E3 to Ew</t>
  </si>
  <si>
    <t>E3, Ew</t>
  </si>
  <si>
    <t>E2/Ew (1), Ew/Eh6 (2)</t>
  </si>
  <si>
    <t>Ew/Eh6</t>
  </si>
  <si>
    <t>E2/Ew</t>
  </si>
  <si>
    <t>E2/E3 (2), E3/Eh6 (1)</t>
  </si>
  <si>
    <t>none (stayed Eh6)</t>
  </si>
  <si>
    <t>E3/E4 (1)</t>
  </si>
  <si>
    <t>E3 to E3/E4</t>
  </si>
  <si>
    <t>E4 to Ew</t>
  </si>
  <si>
    <t>E2/E3 (1), E2/E5 (1), E3/E5 (1)</t>
  </si>
  <si>
    <t>E2/E3/E5</t>
  </si>
  <si>
    <t>E5 to Eh6</t>
  </si>
  <si>
    <t>E2/Ew (1)</t>
  </si>
  <si>
    <t>none (Ew constant)</t>
  </si>
  <si>
    <t>E1/E4 (1), E3/E4 (1)</t>
  </si>
  <si>
    <t>E3/E4 to E1/E4</t>
  </si>
  <si>
    <t>E2, E2/E4, Ew</t>
  </si>
  <si>
    <t>E2/E4 (1)</t>
  </si>
  <si>
    <t>E2/E4</t>
  </si>
  <si>
    <t>E2/E4 to Ew</t>
  </si>
  <si>
    <t>E3/Ew (2)</t>
  </si>
  <si>
    <t>Ew to E3</t>
  </si>
  <si>
    <t>E1/E5 (1)</t>
  </si>
  <si>
    <t>none (stayed E1/E5)</t>
  </si>
  <si>
    <t>E5 to E4/Ew</t>
  </si>
  <si>
    <t>Ew to E4/Ew</t>
  </si>
  <si>
    <t>E5 to E3/Ew</t>
  </si>
  <si>
    <t>E3/E5 (1), E3/Ew (2), E3/Eh6 (1), Ew/Eh6 (1)</t>
  </si>
  <si>
    <t>E3/E5/Ew</t>
  </si>
  <si>
    <t>E1/E3 (1), E3/Ew (1)</t>
  </si>
  <si>
    <t>E3/E5/Ew/Eh6</t>
  </si>
  <si>
    <t>E3/E5/Ew/Eh6 to E1/E3</t>
  </si>
  <si>
    <t>E2/E3, E3, E5, Ew</t>
  </si>
  <si>
    <t>E2/E3 (1)</t>
  </si>
  <si>
    <t>E5 to E2/E3</t>
  </si>
  <si>
    <t>E1/E5 (1), E1/Ew (1), E4/E5 (1), E4/Ew (1), E5/Ew (2)</t>
  </si>
  <si>
    <t>E5/Ew</t>
  </si>
  <si>
    <t>E5/Ew to E4/Ew</t>
  </si>
  <si>
    <t>E3 to E5</t>
  </si>
  <si>
    <t>E2/E5 (1), E2/Ew (1), E5/Ew (1)</t>
  </si>
  <si>
    <t>E5 to E2/E5/Ew</t>
  </si>
  <si>
    <t>E4/Ew (1), E1/E3 (1), E1/E5 (1), E1/Ew (1), E3/Ew (4), E5/Ew (2)</t>
  </si>
  <si>
    <t>E3/E5 (3), E3/Ew (2), E5/Ew (2)</t>
  </si>
  <si>
    <t>E3/E5/Ew to E4</t>
  </si>
  <si>
    <t>958 4509</t>
  </si>
  <si>
    <t>E3/E4 (1), E3/E5 (2), E5/E1 (1)</t>
  </si>
  <si>
    <t>E3/E4 to E3/E5</t>
  </si>
  <si>
    <t>E1/E5 (1), E3/E5 (1)</t>
  </si>
  <si>
    <t>E3/E5 to E1/E5</t>
  </si>
  <si>
    <t>none (stayed E2)</t>
  </si>
  <si>
    <t>Eh6 to Ew</t>
  </si>
  <si>
    <t>E2/E3</t>
  </si>
  <si>
    <t>E2/E3 (1), E2/Eh6 (1), E3/E5 (1), E3/Eh6 (1)</t>
  </si>
  <si>
    <t>E3/E5 to E2/E3/Eh6</t>
  </si>
  <si>
    <t>E2/E3 (1), E3/E4 (1), E4/Eh6 (1)</t>
  </si>
  <si>
    <t>E4/Eh6</t>
  </si>
  <si>
    <t>E4/Eh6 to E3/E4</t>
  </si>
  <si>
    <t>E1/E5 (1), E1/Ew (1), E5/Ew (1)</t>
  </si>
  <si>
    <t>Ew to E1</t>
  </si>
  <si>
    <t>E1/Ew (1), E4/Ew (1)</t>
  </si>
  <si>
    <t>E1/Ew (1), E3/Eh6 (2), Ew/Eh6 (1)</t>
  </si>
  <si>
    <t>E1/Ew</t>
  </si>
  <si>
    <t>E1/Ew to Ew/Eh6</t>
  </si>
  <si>
    <t>E1/E3</t>
  </si>
  <si>
    <t>E1/E3 (1)</t>
  </si>
  <si>
    <t>none (stayed E1/E3)</t>
  </si>
  <si>
    <t>E1/E2 (1), E1/E3 (2), E1/Ew (1), E2/E3 (1), E3/Ew (1)</t>
  </si>
  <si>
    <t>E1/E3/Ew</t>
  </si>
  <si>
    <t>E1/E3/Ew to E1/E2/E3</t>
  </si>
  <si>
    <t>E3/E4 (1), Ew/Eh7 (1)</t>
  </si>
  <si>
    <t>Eh7 to Ew</t>
  </si>
  <si>
    <t>E5, Eh6</t>
  </si>
  <si>
    <t>Eh6 to E5</t>
  </si>
  <si>
    <t>Eh7 to Eh6</t>
  </si>
  <si>
    <t>Eh6 to E2</t>
  </si>
  <si>
    <t>Ew to Eh6</t>
  </si>
  <si>
    <t>E4/Ew (1), E5/Ew (1)</t>
  </si>
  <si>
    <t>E4/Ew to E5/Ew</t>
  </si>
  <si>
    <t>Eh6 to E1/E5</t>
  </si>
  <si>
    <t>E1, E1/E3/Ew, Ew</t>
  </si>
  <si>
    <t>E1/E3 (1), E1/Ew (1), E3/Ew (1)</t>
  </si>
  <si>
    <t>NA (E1/Ew constant)</t>
  </si>
  <si>
    <t>E3/E4, E5, Ew</t>
  </si>
  <si>
    <t>E3/E4 to E5</t>
  </si>
  <si>
    <t>E2/E3 (1), E2/Ew (1), E3/Ew (1)</t>
  </si>
  <si>
    <t>Ew to E2/E3/Ew</t>
  </si>
  <si>
    <t>E1/E4 (1), E2/E5 (1)</t>
  </si>
  <si>
    <t>E1/E4</t>
  </si>
  <si>
    <t>E1/E4 to E2/E5</t>
  </si>
  <si>
    <t>none (E5 constant)</t>
  </si>
  <si>
    <t>none (E1/E5 constant)</t>
  </si>
  <si>
    <t>E3/E4 (1), E3/E5 (1), E3/Ew (1), E5/Ew (1)</t>
  </si>
  <si>
    <t>E3/E4 to E3/E5/Ew</t>
  </si>
  <si>
    <t>E3/E5 (2)</t>
  </si>
  <si>
    <t>E3/E5 to Ew</t>
  </si>
  <si>
    <t>E3/E5 (1), E5/Eh6 (1)</t>
  </si>
  <si>
    <t>E5/Eh6</t>
  </si>
  <si>
    <t>E5/Eh6 to Ew</t>
  </si>
  <si>
    <t>E3, E4</t>
  </si>
  <si>
    <t>E2/E5 (1), E3/Ew (1)</t>
  </si>
  <si>
    <t>Eh6 to E2/E5</t>
  </si>
  <si>
    <t>E2, E5</t>
  </si>
  <si>
    <t>E1/E2/E3</t>
  </si>
  <si>
    <t>E1/E2 (1), E1/E3 (1), E2/E3 (1)</t>
  </si>
  <si>
    <t>none (study ended)</t>
  </si>
  <si>
    <t>none (stayed E5)</t>
  </si>
  <si>
    <t>E1/E5 (2)</t>
  </si>
  <si>
    <t>E1, E3/E5</t>
  </si>
  <si>
    <t>E1 to E3/E5</t>
  </si>
  <si>
    <t>E3, E5</t>
  </si>
  <si>
    <t>none (stayed E1)</t>
  </si>
  <si>
    <t>Eh6, E5</t>
  </si>
  <si>
    <t>1) No change in infection stats if A145 attributed to A146 for 31Jan12 sample</t>
  </si>
  <si>
    <t>2) No change in infection stats if A145 attributed to A115 for 31Jan12 sample</t>
  </si>
  <si>
    <t>3) No change in infection stats if UNK attributed to A130 for 31Jan12 sample</t>
  </si>
  <si>
    <t>4) If UNK attributed to A159 for 31Jan12 sample, longest period of infection increases from 30 days to 44 days and longest period of one infection is 14 days for E1</t>
  </si>
  <si>
    <t>5) If A050 attributed to A059/A069 for 14Feb12 sample, longest period of infection is 44 days and longest period of one infection is 30 days for E5</t>
  </si>
  <si>
    <t>6) If A050 attributed to A060 for 14Feb12 sample, longest period of infection is 30 days and longest period of one infection is 30 days for E5</t>
  </si>
  <si>
    <t>7) Result of changing all of these together is a very slight downward shift in the mean and median of the distribution for longest infection period and longest infection period for one species</t>
  </si>
  <si>
    <t>Collar ID</t>
  </si>
  <si>
    <t>sp</t>
  </si>
  <si>
    <t>Flies already present</t>
  </si>
  <si>
    <t>Neg before</t>
  </si>
  <si>
    <t>Pos before</t>
  </si>
  <si>
    <t>Neg after</t>
  </si>
  <si>
    <t>Pos after</t>
  </si>
  <si>
    <t>Neg before + Neg after</t>
  </si>
  <si>
    <t>Neg before + Pos after</t>
  </si>
  <si>
    <t>Became pos or changed sp.</t>
  </si>
  <si>
    <t>Sp change</t>
  </si>
  <si>
    <t>Mar10 fly</t>
  </si>
  <si>
    <t>Mar 10 fly sp</t>
  </si>
  <si>
    <t>Shared sp. in fly (Mar10 or after)</t>
  </si>
  <si>
    <t>17Jan12 fly</t>
  </si>
  <si>
    <t>17Jan12 fly sp</t>
  </si>
  <si>
    <t>17Jan12 bat</t>
  </si>
  <si>
    <t>17Jan12 bat sp</t>
  </si>
  <si>
    <t>Shared sp. in wild bat or fly (17Jan12 or after)</t>
  </si>
  <si>
    <t>NEG to Ew</t>
  </si>
  <si>
    <t>E3/E5/Eh7, Ew</t>
  </si>
  <si>
    <t>No flies, but showed up with a fly 14Feb12</t>
  </si>
  <si>
    <t>NEG to E2, E2 to E5</t>
  </si>
  <si>
    <t>E1/Ew to E1, E1 to E5</t>
  </si>
  <si>
    <t>E3/Eh7</t>
  </si>
  <si>
    <t>none</t>
  </si>
  <si>
    <t>No flies, but showed up with a fly 15Mar12</t>
  </si>
  <si>
    <t>NEG to E4</t>
  </si>
  <si>
    <t>Already had 1 fly, and also showed up with a fly 14Feb12</t>
  </si>
  <si>
    <t>E1/E2/E5 to E2, E2 to E1/E5, E1/E5 to E3</t>
  </si>
  <si>
    <t>D073</t>
  </si>
  <si>
    <t>E3/new3</t>
  </si>
  <si>
    <t>E3 to E2/E3</t>
  </si>
  <si>
    <t>Ew to E2</t>
  </si>
  <si>
    <t>E3/E5/Eh7</t>
  </si>
  <si>
    <t>NEG to E1/E5</t>
  </si>
  <si>
    <t>new3</t>
  </si>
  <si>
    <t>NEG to E5</t>
  </si>
  <si>
    <t>E5 to E3</t>
  </si>
  <si>
    <t>E1/E5/Ew</t>
  </si>
  <si>
    <t>E1/E5/Ew to E4/E5, E4/E5 to E2</t>
  </si>
  <si>
    <t>E2/E4, E4/new3, Ew/new3, E5, new3, new3, E3/Ew, Ew, E3/E5</t>
  </si>
  <si>
    <t>E2/E5/Ew</t>
  </si>
  <si>
    <t>E5 to E2/E5/Ew, E2/E5/Ew to E3</t>
  </si>
  <si>
    <t>D075</t>
  </si>
  <si>
    <t>E1/E3/E5/Ew</t>
  </si>
  <si>
    <t>NEG to E3/E5, E3/E5 to E1/E5, E1/E5 to E2</t>
  </si>
  <si>
    <t>E2/E3/Eh6</t>
  </si>
  <si>
    <t>NEG to E1/Ew</t>
  </si>
  <si>
    <t>E2 to E3/E5</t>
  </si>
  <si>
    <t>E3/Eh6</t>
  </si>
  <si>
    <t>E4 to E3, E3 to Ew, Ew to E3/Eh6</t>
  </si>
  <si>
    <t>E4/Eh7</t>
  </si>
  <si>
    <t>NEG to E1/E3</t>
  </si>
  <si>
    <t>E1 to E5, E5 to E2</t>
  </si>
  <si>
    <t>E2/E5</t>
  </si>
  <si>
    <t>E3/E5/Eh6</t>
  </si>
  <si>
    <t>E2 to E3</t>
  </si>
  <si>
    <t>E1/E5 to E1, E1 to E5, E5 to E3/E5</t>
  </si>
  <si>
    <t>E1 to Ew</t>
  </si>
  <si>
    <t>E1/E4 to E2/E5, E2/E5 to E2, E2 to E5</t>
  </si>
  <si>
    <t>both NEG</t>
  </si>
  <si>
    <t>E5 to E3/E5</t>
  </si>
  <si>
    <t>E2/E5 to E5, E5 to E3/Ew</t>
  </si>
  <si>
    <t>NEG to E5, E5 to E2</t>
  </si>
  <si>
    <t>NEG to E1/E2/E3</t>
  </si>
  <si>
    <t>NEG to E1, E1 to E3/E5</t>
  </si>
  <si>
    <t>NEG to E2</t>
  </si>
  <si>
    <t>E2/Eh6</t>
  </si>
  <si>
    <t>NEG to E3/Ew, E3/Ew to Ew</t>
  </si>
  <si>
    <t>NEG to E3</t>
  </si>
  <si>
    <t>Sp. in wild bat or fly</t>
  </si>
  <si>
    <t>Did not receive flies</t>
  </si>
  <si>
    <t>ALL COHORTS</t>
  </si>
  <si>
    <t>Jul and Jan neg</t>
  </si>
  <si>
    <t>Jan neg</t>
  </si>
  <si>
    <t>not</t>
  </si>
  <si>
    <t>prop (H0: no flies is less)</t>
  </si>
  <si>
    <t>Received flies</t>
  </si>
  <si>
    <t>Total w/o flies neg before</t>
  </si>
  <si>
    <t>no flies/showed up with flies</t>
  </si>
  <si>
    <t>no flies</t>
  </si>
  <si>
    <t>X2 = 1.3427 [-1.00000000, 0.05264789], df = 1, p = 0.1233</t>
  </si>
  <si>
    <t>Already had flies</t>
  </si>
  <si>
    <t>Total w/ flies neg before</t>
  </si>
  <si>
    <t>received flies/already had flies</t>
  </si>
  <si>
    <t>with flies</t>
  </si>
  <si>
    <t>Flies found after</t>
  </si>
  <si>
    <t>Total w/o flies pos after</t>
  </si>
  <si>
    <t>Total w/ flies pos after</t>
  </si>
  <si>
    <t>X2 = 1.5167 [-1.00000000, 0.04304183], df = 1, p = 0.1091</t>
  </si>
  <si>
    <t>pos after</t>
  </si>
  <si>
    <t>neg after</t>
  </si>
  <si>
    <t>X2 = 0.042155 [-1.000000, 0.343012], df = 1, p = 0.5813</t>
  </si>
  <si>
    <t>binom (H0: greater than 0.5)</t>
  </si>
  <si>
    <t>prob = 0.5 [0.326642, 1.000000], p = 0.5775</t>
  </si>
  <si>
    <t>prob = 0.4814815 [0.3131387, 1.0000000], p = 0.6494</t>
  </si>
  <si>
    <t>X2 = 0.012386 [-1.0000000, 0.3112874], df = 1, p = 0.5443</t>
  </si>
  <si>
    <t>SI/A bats</t>
  </si>
  <si>
    <t>X2 = 2.5308 [-1.00000000, -0.003051484], df = 1, p = 0.05582</t>
  </si>
  <si>
    <t>X2 = 3.2356 [-1.00000000, -0.03496004], df = 1, p = 0.03603</t>
  </si>
  <si>
    <t>X2 = 0.021098 [-1.000000, 0.2854227], df = 1, p = 0.4423</t>
  </si>
  <si>
    <t>prob = 0.4166667 [0.1810248, 1.000000], p = 0.8062</t>
  </si>
  <si>
    <t>prob = 0.3846154 [0.1656594, 1.0000000], p = 0.8666</t>
  </si>
  <si>
    <t>X2 = 0.24692 [-1.0000000, 0.189654], df = 1, p = 0.3096</t>
  </si>
  <si>
    <t>NEO/JUV bats</t>
  </si>
  <si>
    <t>X2 = 0.38182 [-1.00000000, 0.1334615], df = 1, p = 0.2683</t>
  </si>
  <si>
    <t>X2 = 2.589e-31 [-1.000000, 0.1215634], df = 1, p = 0.5</t>
  </si>
  <si>
    <t>prob = 0.5714286 [0.3250285, 1.000000], p = 0.3953</t>
  </si>
  <si>
    <t>Lab #</t>
  </si>
  <si>
    <t>Month ID</t>
  </si>
  <si>
    <t>Collection date</t>
  </si>
  <si>
    <t>Age at collection</t>
  </si>
  <si>
    <t>Dam</t>
  </si>
  <si>
    <t>Bat wt</t>
  </si>
  <si>
    <t>tmRNA RT/Bartonella</t>
  </si>
  <si>
    <t>IS711 RT/Brucella</t>
  </si>
  <si>
    <t>Brucella bcsp31 POS/NEG</t>
  </si>
  <si>
    <t>PAL RT/Yersinia</t>
  </si>
  <si>
    <t>23S rRNA RT/Rickettsia</t>
  </si>
  <si>
    <t>N-gltA Rickettsia POS/NEG</t>
  </si>
  <si>
    <t>N-gltA Rickettsia seq</t>
  </si>
  <si>
    <t>N-ftsZ POS/NEG</t>
  </si>
  <si>
    <t>N-ftsZ seq</t>
  </si>
  <si>
    <t>N-gltA POS/NEG</t>
  </si>
  <si>
    <t>N-gltA seq</t>
  </si>
  <si>
    <t>ITS POS/NEG</t>
  </si>
  <si>
    <t>ITS seq</t>
  </si>
  <si>
    <t>pos</t>
  </si>
  <si>
    <t>count</t>
  </si>
  <si>
    <t>mixed</t>
  </si>
  <si>
    <t>D049 1</t>
  </si>
  <si>
    <t>D053 1</t>
  </si>
  <si>
    <t>D053 2</t>
  </si>
  <si>
    <t>David</t>
  </si>
  <si>
    <t>D049 2</t>
  </si>
  <si>
    <t>MAYBE</t>
  </si>
  <si>
    <t>new3 recombinant? C. dubia KEL05-1 (KP010157)</t>
  </si>
  <si>
    <t>D049 3</t>
  </si>
  <si>
    <t>D049 4</t>
  </si>
  <si>
    <t>D049 B1</t>
  </si>
  <si>
    <t>D051 1</t>
  </si>
  <si>
    <t>D051 2</t>
  </si>
  <si>
    <t>D051 3</t>
  </si>
  <si>
    <t>D051 B</t>
  </si>
  <si>
    <t>George</t>
  </si>
  <si>
    <t>D049 B2</t>
  </si>
  <si>
    <t>D049 5</t>
  </si>
  <si>
    <t>D049 6</t>
  </si>
  <si>
    <t>D049 7</t>
  </si>
  <si>
    <t>96% R. tamurae/R. akari &amp; 100% Mar10_61_A168_bat</t>
  </si>
  <si>
    <r>
      <rPr>
        <color rgb="FF7030A0"/>
      </rPr>
      <t>E5</t>
    </r>
    <r>
      <rPr/>
      <t>/</t>
    </r>
    <r>
      <rPr>
        <color rgb="FF833C0B"/>
      </rPr>
      <t>Ew</t>
    </r>
  </si>
  <si>
    <t>CT</t>
  </si>
  <si>
    <t>R. felis</t>
  </si>
  <si>
    <t>B. doshiae</t>
  </si>
  <si>
    <t>1 marker</t>
  </si>
  <si>
    <t>2 markers</t>
  </si>
  <si>
    <t>3 markers</t>
  </si>
  <si>
    <t>4 markers</t>
  </si>
  <si>
    <t>abundance</t>
  </si>
  <si>
    <t>relative</t>
  </si>
  <si>
    <t>23S rRNA RT/Rickettsia</t>
  </si>
  <si>
    <t>D079</t>
  </si>
  <si>
    <t>D069</t>
  </si>
  <si>
    <t>D080</t>
  </si>
  <si>
    <t>D063</t>
  </si>
  <si>
    <t>D042</t>
  </si>
  <si>
    <t>D065</t>
  </si>
  <si>
    <r>
      <rPr>
        <color rgb="FF7030A0"/>
      </rPr>
      <t>E5</t>
    </r>
    <r>
      <rPr/>
      <t>/</t>
    </r>
    <r>
      <rPr>
        <color rgb="FF833C0B"/>
      </rPr>
      <t>Ew</t>
    </r>
  </si>
  <si>
    <t>D051</t>
  </si>
  <si>
    <t>Donor bats</t>
  </si>
  <si>
    <t>Flies present</t>
  </si>
  <si>
    <t>Donor flies</t>
  </si>
  <si>
    <t>Tested flies</t>
  </si>
  <si>
    <t>Total flies</t>
  </si>
  <si>
    <t>Recipient bats</t>
  </si>
  <si>
    <t>A150/A068</t>
  </si>
  <si>
    <t>958 3982</t>
  </si>
  <si>
    <t>D062 alt</t>
  </si>
  <si>
    <t>A120/A071</t>
  </si>
  <si>
    <t>INFECTION COUNTS</t>
  </si>
  <si>
    <t>E1/E2</t>
  </si>
  <si>
    <t>E1/Eh6</t>
  </si>
  <si>
    <t>E1/Eh7</t>
  </si>
  <si>
    <t>E2/E1</t>
  </si>
  <si>
    <t>E2/Eh7</t>
  </si>
  <si>
    <t>E3/E1</t>
  </si>
  <si>
    <t>E3/E2</t>
  </si>
  <si>
    <t>E4/E1</t>
  </si>
  <si>
    <t>E4/E2</t>
  </si>
  <si>
    <t>E4/E3</t>
  </si>
  <si>
    <t>E5/E1</t>
  </si>
  <si>
    <t>E5/E2</t>
  </si>
  <si>
    <t>E5/E3</t>
  </si>
  <si>
    <t>E5/E4</t>
  </si>
  <si>
    <t>E5/Eh7</t>
  </si>
  <si>
    <t>Ew/E1</t>
  </si>
  <si>
    <t>Ew/E2</t>
  </si>
  <si>
    <t>Ew/E3</t>
  </si>
  <si>
    <t>Ew/E4</t>
  </si>
  <si>
    <t>Ew/E5</t>
  </si>
  <si>
    <t>Ew/Eh7</t>
  </si>
  <si>
    <t>Eh6/E1</t>
  </si>
  <si>
    <t>Eh6/E2</t>
  </si>
  <si>
    <t>Eh6/E3</t>
  </si>
  <si>
    <t>Eh6/E4</t>
  </si>
  <si>
    <t>Eh6/E5</t>
  </si>
  <si>
    <t>Eh6/Ew</t>
  </si>
  <si>
    <t>Eh6/Eh7</t>
  </si>
  <si>
    <t>Eh7/E1</t>
  </si>
  <si>
    <t>Eh7/E2</t>
  </si>
  <si>
    <t>Eh7/E3</t>
  </si>
  <si>
    <t>Eh7/E4</t>
  </si>
  <si>
    <t>Eh7/E5</t>
  </si>
  <si>
    <t>Eh7/Ew</t>
  </si>
  <si>
    <t>Eh7/Eh6</t>
  </si>
  <si>
    <t>Date</t>
  </si>
  <si>
    <t>before observed count</t>
  </si>
  <si>
    <t>before observed frequency</t>
  </si>
  <si>
    <t>before expected count</t>
  </si>
  <si>
    <t>before expected frequency</t>
  </si>
  <si>
    <t>before multinomial adj LR</t>
  </si>
  <si>
    <t>before binomial adj LR</t>
  </si>
  <si>
    <t>after observed count</t>
  </si>
  <si>
    <t>after observed frequency</t>
  </si>
  <si>
    <t>after expected count</t>
  </si>
  <si>
    <t>after expected frequency</t>
  </si>
  <si>
    <t>after multinomial adj LR</t>
  </si>
  <si>
    <t>after binomial adj LR</t>
  </si>
  <si>
    <t>difference of log multinomial LR</t>
  </si>
  <si>
    <t>log multinomial LR p</t>
  </si>
  <si>
    <t>difference of log binomial LR</t>
  </si>
  <si>
    <t>total count</t>
  </si>
  <si>
    <t>log binomial LR p</t>
  </si>
  <si>
    <t>sum count</t>
  </si>
  <si>
    <t>before count</t>
  </si>
  <si>
    <t>before total</t>
  </si>
  <si>
    <t>before frequency</t>
  </si>
  <si>
    <t>after count</t>
  </si>
  <si>
    <t>expected count</t>
  </si>
  <si>
    <t>after total</t>
  </si>
  <si>
    <t>after frequency</t>
  </si>
  <si>
    <t>multinomial adj LR</t>
  </si>
  <si>
    <t>multinomial p</t>
  </si>
  <si>
    <t>binomial adj LR</t>
  </si>
  <si>
    <t>dir bin adj LR</t>
  </si>
  <si>
    <t>binomial p</t>
  </si>
  <si>
    <t>Group</t>
  </si>
  <si>
    <t>Before flies</t>
  </si>
  <si>
    <t>After flies</t>
  </si>
  <si>
    <t>INFECTION ABUNDANCE</t>
  </si>
  <si>
    <t>CORREL</t>
  </si>
  <si>
    <t>total abundance</t>
  </si>
  <si>
    <t>sum total abundance</t>
  </si>
  <si>
    <t>before abundance</t>
  </si>
  <si>
    <t>after abundance</t>
  </si>
  <si>
    <t>expected abundance</t>
  </si>
  <si>
    <t>one</t>
  </si>
  <si>
    <t>two</t>
  </si>
  <si>
    <t>three</t>
  </si>
  <si>
    <t>four</t>
  </si>
  <si>
    <t>total</t>
  </si>
  <si>
    <t>double pos</t>
  </si>
  <si>
    <t>% double pos</t>
  </si>
  <si>
    <t>% double pos LB</t>
  </si>
  <si>
    <t>% double pos UB</t>
  </si>
  <si>
    <t>% mixed</t>
  </si>
  <si>
    <t>% mixed LB</t>
  </si>
  <si>
    <t>% mixed UB</t>
  </si>
  <si>
    <t>single pos</t>
  </si>
  <si>
    <t>triple pos</t>
  </si>
  <si>
    <t>quadruple pos</t>
  </si>
  <si>
    <t>% single pos</t>
  </si>
  <si>
    <t>% single pos LB</t>
  </si>
  <si>
    <t>% single pos UB</t>
  </si>
  <si>
    <t>mixed-double</t>
  </si>
  <si>
    <t>mixed-single</t>
  </si>
  <si>
    <t>single-double</t>
  </si>
  <si>
    <t>single-div</t>
  </si>
  <si>
    <t>Inverse Simpson index</t>
  </si>
  <si>
    <t>Gini–Simpson index</t>
  </si>
  <si>
    <t>Timepoint</t>
  </si>
  <si>
    <t>Mar10 captive bats</t>
  </si>
  <si>
    <t>Mar10 captive flies</t>
  </si>
  <si>
    <t>17Jan12 captive bats</t>
  </si>
  <si>
    <t>31Jan12 captive bats</t>
  </si>
  <si>
    <t>14Feb12 captive bats</t>
  </si>
  <si>
    <t>15Mar12 captive bats</t>
  </si>
  <si>
    <t>17Jan12 wild flies</t>
  </si>
  <si>
    <t>17Jan12 wild bats</t>
  </si>
  <si>
    <t>Shannon index</t>
  </si>
  <si>
    <t>Shannon number</t>
  </si>
  <si>
    <t>Species richness</t>
  </si>
  <si>
    <t>Prevalence</t>
  </si>
  <si>
    <t>17Jan12 wild flies</t>
  </si>
  <si>
    <t>size</t>
  </si>
  <si>
    <t>measurement</t>
  </si>
  <si>
    <t>E1-E2</t>
  </si>
  <si>
    <t>E1-E3</t>
  </si>
  <si>
    <t>E1-E4</t>
  </si>
  <si>
    <t>E1-E5</t>
  </si>
  <si>
    <t>E1-Ew</t>
  </si>
  <si>
    <t>E2-E3</t>
  </si>
  <si>
    <t>E2-E4</t>
  </si>
  <si>
    <t>E2-E5</t>
  </si>
  <si>
    <t>E2-Ew</t>
  </si>
  <si>
    <t>E3-E4</t>
  </si>
  <si>
    <t>E3-E5</t>
  </si>
  <si>
    <t>E3-Ew</t>
  </si>
  <si>
    <t>E4-E5</t>
  </si>
  <si>
    <t>E4-Ew</t>
  </si>
  <si>
    <t>E5-Ew</t>
  </si>
  <si>
    <t>select isolates, p-distance, 7 loci (ftsZ, gltA, nuoG, ribC, rpoB, ssrA, 16S)</t>
  </si>
  <si>
    <t>select isolates, TN-distance, 7 loci (ftsZ, gltA, nuoG, ribC, rpoB, ssrA, 16S)</t>
  </si>
  <si>
    <t>45 isolates, mean p-distance, 8 loci (ftsZ, gltA, nuoG, ribC, rpoB, ssrA, ITS, 16S)</t>
  </si>
  <si>
    <t>45 isolates, mean TN-distance, 8 loci (ftsZ, gltA, nuoG, ribC, rpoB, ssrA, ITS, 16S)</t>
  </si>
  <si>
    <t>observed count</t>
  </si>
  <si>
    <t>observed frequency</t>
  </si>
  <si>
    <t>expected frequency</t>
  </si>
  <si>
    <t>all observed frequency</t>
  </si>
  <si>
    <t>all expected frequency</t>
  </si>
  <si>
    <t>all chisq p</t>
  </si>
  <si>
    <t>individual chisq p</t>
  </si>
  <si>
    <t>percent of coinf</t>
  </si>
  <si>
    <t>phylo dist</t>
  </si>
  <si>
    <t>ratio rel count</t>
  </si>
  <si>
    <t>log diff rel count</t>
  </si>
  <si>
    <t>ratio rel abund</t>
  </si>
  <si>
    <t>log diff rel abund</t>
  </si>
  <si>
    <t>More than expected</t>
  </si>
  <si>
    <t>diff rank count</t>
  </si>
  <si>
    <t>No significant bias</t>
  </si>
  <si>
    <t>diff rank abund</t>
  </si>
  <si>
    <t>Less than expected</t>
  </si>
  <si>
    <t>Multinomial p-value</t>
  </si>
  <si>
    <t>Proportion of co-infections</t>
  </si>
  <si>
    <t>coinfection</t>
  </si>
  <si>
    <t>binomial sig</t>
  </si>
  <si>
    <t>partner combined rel count</t>
  </si>
  <si>
    <t>partner combined rel abund</t>
  </si>
  <si>
    <t>rel count</t>
  </si>
  <si>
    <t>total abund</t>
  </si>
  <si>
    <t>rel abund</t>
  </si>
  <si>
    <t>rank count</t>
  </si>
  <si>
    <t>rank abund</t>
  </si>
  <si>
    <t>BEFORE</t>
  </si>
  <si>
    <t>AFTER</t>
  </si>
  <si>
    <t>HeV MFI</t>
  </si>
  <si>
    <t>NiV MFI</t>
  </si>
  <si>
    <t>Henip Res</t>
  </si>
  <si>
    <t>tmRNA seq</t>
  </si>
  <si>
    <t>gltA POS/NEG</t>
  </si>
  <si>
    <t>gltA seq</t>
  </si>
  <si>
    <t>958 9038</t>
  </si>
  <si>
    <t>young, 0.3mL</t>
  </si>
  <si>
    <r>
      <rPr>
        <rFont val="Calibri"/>
        <color rgb="FF00B050"/>
        <sz val="11.0"/>
      </rPr>
      <t>E3-0</t>
    </r>
    <r>
      <rPr>
        <rFont val="Calibri"/>
        <color rgb="FF000000"/>
        <sz val="11.0"/>
      </rPr>
      <t>//</t>
    </r>
    <r>
      <rPr>
        <rFont val="Calibri"/>
        <color rgb="FF833C0B"/>
        <sz val="11.0"/>
      </rPr>
      <t>Ew-1</t>
    </r>
  </si>
  <si>
    <t>E3-0</t>
  </si>
  <si>
    <r>
      <rPr>
        <rFont val="Calibri"/>
        <color rgb="FF00B050"/>
        <sz val="11.0"/>
      </rPr>
      <t>E3</t>
    </r>
    <r>
      <rPr>
        <rFont val="Calibri"/>
        <color rgb="FF000000"/>
        <sz val="11.0"/>
      </rPr>
      <t>//</t>
    </r>
    <r>
      <rPr>
        <rFont val="Calibri"/>
        <color rgb="FF0070C0"/>
        <sz val="11.0"/>
      </rPr>
      <t>E4</t>
    </r>
  </si>
  <si>
    <t>0.5ml</t>
  </si>
  <si>
    <t>E4-0</t>
  </si>
  <si>
    <t>POS CTRL</t>
  </si>
  <si>
    <t>B.doshiae</t>
  </si>
  <si>
    <t>NEG CTRL</t>
  </si>
  <si>
    <t>NO MATCH</t>
  </si>
  <si>
    <t>958 0825/958 8434</t>
  </si>
  <si>
    <t>P</t>
  </si>
  <si>
    <t>BCS2, lesions, Pic 1-3</t>
  </si>
  <si>
    <t>BCS2, R eye bad (was when put in), pic 4-5</t>
  </si>
  <si>
    <t>958 8829/958 8829/958 0047</t>
  </si>
  <si>
    <r>
      <rPr>
        <rFont val="Calibri"/>
        <b/>
        <color rgb="FF7030A0"/>
        <sz val="11.0"/>
      </rPr>
      <t>E5</t>
    </r>
    <r>
      <rPr>
        <rFont val="Calibri"/>
        <b/>
        <color rgb="FF000000"/>
        <sz val="11.0"/>
      </rPr>
      <t>/Eh6</t>
    </r>
  </si>
  <si>
    <t>found dead 03.02.10</t>
  </si>
  <si>
    <r>
      <rPr>
        <rFont val="Calibri"/>
        <b/>
        <color rgb="FF7030A0"/>
        <sz val="11.0"/>
      </rPr>
      <t>E5</t>
    </r>
    <r>
      <rPr>
        <rFont val="Calibri"/>
        <b/>
        <color rgb="FF000000"/>
        <sz val="11.0"/>
      </rPr>
      <t>/</t>
    </r>
    <r>
      <rPr>
        <rFont val="Calibri"/>
        <b/>
        <color rgb="FF833C0B"/>
        <sz val="11.0"/>
      </rPr>
      <t>Ew</t>
    </r>
  </si>
  <si>
    <t>found dead 02.02.10</t>
  </si>
  <si>
    <r>
      <rPr>
        <rFont val="Calibri"/>
        <b/>
        <color rgb="FF833C0B"/>
        <sz val="11.0"/>
      </rPr>
      <t>Ew</t>
    </r>
    <r>
      <rPr>
        <rFont val="Calibri"/>
        <b/>
        <color rgb="FF000000"/>
        <sz val="11.0"/>
      </rPr>
      <t>/Eh6</t>
    </r>
  </si>
  <si>
    <r>
      <rPr>
        <rFont val="Calibri"/>
        <b/>
        <color rgb="FF00B050"/>
        <sz val="11.0"/>
      </rPr>
      <t>E3</t>
    </r>
    <r>
      <rPr>
        <rFont val="Calibri"/>
        <b/>
        <color rgb="FF000000"/>
        <sz val="11.0"/>
      </rPr>
      <t>/</t>
    </r>
    <r>
      <rPr>
        <rFont val="Calibri"/>
        <b/>
        <color rgb="FF833C0B"/>
        <sz val="11.0"/>
      </rPr>
      <t>Ew</t>
    </r>
    <r>
      <rPr>
        <rFont val="Calibri"/>
        <b/>
        <color rgb="FF000000"/>
        <sz val="11.0"/>
      </rPr>
      <t>/</t>
    </r>
    <r>
      <rPr>
        <rFont val="Calibri"/>
        <b/>
        <color rgb="FF7030A0"/>
        <sz val="11.0"/>
      </rPr>
      <t>E5</t>
    </r>
  </si>
  <si>
    <t>left eye missing. Found dead 04.02.10</t>
  </si>
  <si>
    <t>958 8229</t>
  </si>
  <si>
    <t>958 3900</t>
  </si>
  <si>
    <r>
      <rPr>
        <rFont val="Calibri"/>
        <b/>
        <color rgb="FF00B050"/>
        <sz val="11.0"/>
      </rPr>
      <t>E3</t>
    </r>
    <r>
      <rPr>
        <rFont val="Calibri"/>
        <b/>
        <color rgb="FF000000"/>
        <sz val="11.0"/>
      </rPr>
      <t>/</t>
    </r>
    <r>
      <rPr>
        <rFont val="Calibri"/>
        <b/>
        <color rgb="FF833C0B"/>
        <sz val="11.0"/>
      </rPr>
      <t>Ew</t>
    </r>
  </si>
  <si>
    <t>958 6353</t>
  </si>
  <si>
    <t>958 7128</t>
  </si>
  <si>
    <t>Brucella ompB (2A) POS/NEG</t>
  </si>
  <si>
    <t>Brucella ompB (2B) POS/NEG</t>
  </si>
  <si>
    <t>binpos</t>
  </si>
  <si>
    <t>correl</t>
  </si>
  <si>
    <t>Nose lesion, pic 5</t>
  </si>
  <si>
    <t>BCS 2.0</t>
  </si>
  <si>
    <t>Bald spots on belly, nose lesion, Pic 21</t>
  </si>
  <si>
    <t>Lesion on nose (pic 14-17), Wing damage (18)</t>
  </si>
  <si>
    <r>
      <rPr>
        <rFont val="Calibri"/>
        <b/>
        <color rgb="FF000000"/>
        <sz val="11.0"/>
      </rPr>
      <t>Eh6/</t>
    </r>
    <r>
      <rPr>
        <rFont val="Calibri"/>
        <b/>
        <color rgb="FFFFFF00"/>
        <sz val="11.0"/>
      </rPr>
      <t>E2</t>
    </r>
  </si>
  <si>
    <t>Nose lesion, pic 29</t>
  </si>
  <si>
    <t>No weight as was chased so trying to reduce stres</t>
  </si>
  <si>
    <t>Was sampled twice, oops, sorry bat</t>
  </si>
  <si>
    <t>NO SAMPLES TAKEN AS WAS CROWNING WHEN REMOVED FROM BAG</t>
  </si>
  <si>
    <t>No collar</t>
  </si>
  <si>
    <t>Left wind, 3rd okay, 2nd phalanx, lesion pic 18 -20</t>
  </si>
  <si>
    <r>
      <rPr>
        <rFont val="Calibri"/>
        <color rgb="FF833C0B"/>
        <sz val="11.0"/>
      </rPr>
      <t>Ew</t>
    </r>
    <r>
      <rPr>
        <rFont val="Calibri"/>
        <color rgb="FF000000"/>
        <sz val="11.0"/>
      </rPr>
      <t>//</t>
    </r>
    <r>
      <rPr>
        <rFont val="Calibri"/>
        <color rgb="FF7030A0"/>
        <sz val="11.0"/>
      </rPr>
      <t>E5</t>
    </r>
  </si>
  <si>
    <r>
      <rPr>
        <rFont val="Calibri"/>
        <color rgb="FF833C0B"/>
        <sz val="11.0"/>
      </rPr>
      <t>Ew</t>
    </r>
    <r>
      <rPr>
        <rFont val="Calibri"/>
        <color rgb="FF000000"/>
        <sz val="11.0"/>
      </rPr>
      <t>//</t>
    </r>
    <r>
      <rPr>
        <rFont val="Calibri"/>
        <color rgb="FF7030A0"/>
        <sz val="11.0"/>
      </rPr>
      <t>E5</t>
    </r>
  </si>
  <si>
    <t>96% R. tamurae/R. akari &amp; 100% Mar10_22_A105_fly</t>
  </si>
  <si>
    <t>March flies</t>
  </si>
  <si>
    <t>Ew-1</t>
  </si>
  <si>
    <t>Testes receded, scraping wing</t>
  </si>
  <si>
    <t>MICROCHIPPED</t>
  </si>
  <si>
    <t>L</t>
  </si>
  <si>
    <t>W/BABY B106; weight - incl. baby, CHIPPED</t>
  </si>
  <si>
    <t>E4-2</t>
  </si>
  <si>
    <t>WEIGHT - WAS PREG LAST TIME WEIGHED Testes receded ???? MEANT TO BE A WOMAN?</t>
  </si>
  <si>
    <t>W/BABY B132; WEIGHT - INCLUDES BABY</t>
  </si>
  <si>
    <t>W/ BABY B145; weight incl. baby</t>
  </si>
  <si>
    <t>W/BABY B147; weight - incl. baby</t>
  </si>
  <si>
    <t>W/BABY B150; weight - incl. baby</t>
  </si>
  <si>
    <t>Missing info</t>
  </si>
  <si>
    <t>MINGIN' (really ugly)</t>
  </si>
  <si>
    <t>0.4ML OF BLOOD</t>
  </si>
  <si>
    <t>*when aliquoting sera, couldn't find a B145, but there was a B115 which has no bat, assume this is s a mislabel but will note here</t>
  </si>
  <si>
    <t>958 3282</t>
  </si>
  <si>
    <r>
      <rPr>
        <color rgb="FF833C0B"/>
      </rPr>
      <t>Ew</t>
    </r>
    <r>
      <rPr/>
      <t>/</t>
    </r>
    <r>
      <rPr>
        <color rgb="FF0070C0"/>
      </rPr>
      <t>E4</t>
    </r>
  </si>
  <si>
    <t>A131-1</t>
  </si>
  <si>
    <t>A131-2</t>
  </si>
  <si>
    <t>985 3261</t>
  </si>
  <si>
    <t>PAL RT/Yersinia</t>
  </si>
  <si>
    <t>JS5/B150/A070</t>
  </si>
  <si>
    <t>gltA RT/Rickettsia</t>
  </si>
  <si>
    <t>1</t>
  </si>
  <si>
    <t>4</t>
  </si>
  <si>
    <t>Mar11-4</t>
  </si>
  <si>
    <t>A092/A192</t>
  </si>
  <si>
    <t>3</t>
  </si>
  <si>
    <t>2</t>
  </si>
  <si>
    <t>Mar11-2</t>
  </si>
  <si>
    <t xml:space="preserve">958 6256/958 3528/958 4569
</t>
  </si>
  <si>
    <t>009</t>
  </si>
  <si>
    <t>021</t>
  </si>
  <si>
    <t>037</t>
  </si>
  <si>
    <t>A129/A099/A009</t>
  </si>
  <si>
    <t>51</t>
  </si>
  <si>
    <t>58</t>
  </si>
  <si>
    <t>072</t>
  </si>
  <si>
    <t>089</t>
  </si>
  <si>
    <t>105</t>
  </si>
  <si>
    <t>113</t>
  </si>
  <si>
    <t>128</t>
  </si>
  <si>
    <t>146</t>
  </si>
  <si>
    <t>151</t>
  </si>
  <si>
    <t>158</t>
  </si>
  <si>
    <t>162</t>
  </si>
  <si>
    <t>174</t>
  </si>
  <si>
    <t>194</t>
  </si>
  <si>
    <t>193</t>
  </si>
  <si>
    <t>229</t>
  </si>
  <si>
    <t>231</t>
  </si>
  <si>
    <t>238</t>
  </si>
  <si>
    <t>250</t>
  </si>
  <si>
    <t>282</t>
  </si>
  <si>
    <t>308</t>
  </si>
  <si>
    <t>325</t>
  </si>
  <si>
    <t>340</t>
  </si>
  <si>
    <t>349</t>
  </si>
  <si>
    <t>352</t>
  </si>
  <si>
    <t>353</t>
  </si>
  <si>
    <t>383</t>
  </si>
  <si>
    <t>428</t>
  </si>
  <si>
    <t>453</t>
  </si>
  <si>
    <t>462</t>
  </si>
  <si>
    <t>479</t>
  </si>
  <si>
    <t>494</t>
  </si>
  <si>
    <t>510</t>
  </si>
  <si>
    <t>528</t>
  </si>
  <si>
    <t>539</t>
  </si>
  <si>
    <t>544</t>
  </si>
  <si>
    <t>569</t>
  </si>
  <si>
    <t>574</t>
  </si>
  <si>
    <t>615</t>
  </si>
  <si>
    <t>647</t>
  </si>
  <si>
    <t>675</t>
  </si>
  <si>
    <t>678</t>
  </si>
  <si>
    <t>691</t>
  </si>
  <si>
    <t>745</t>
  </si>
  <si>
    <t>760</t>
  </si>
  <si>
    <t>764</t>
  </si>
  <si>
    <t>767</t>
  </si>
  <si>
    <t>777</t>
  </si>
  <si>
    <t>778</t>
  </si>
  <si>
    <t>793</t>
  </si>
  <si>
    <t>B062</t>
  </si>
  <si>
    <t>795</t>
  </si>
  <si>
    <t>800</t>
  </si>
  <si>
    <t>826</t>
  </si>
  <si>
    <t>829</t>
  </si>
  <si>
    <t>830</t>
  </si>
  <si>
    <t>832</t>
  </si>
  <si>
    <t>846</t>
  </si>
  <si>
    <t>857</t>
  </si>
  <si>
    <t>868</t>
  </si>
  <si>
    <t>869</t>
  </si>
  <si>
    <t>873</t>
  </si>
  <si>
    <t>886</t>
  </si>
  <si>
    <t>890</t>
  </si>
  <si>
    <t>J16</t>
  </si>
  <si>
    <t>900</t>
  </si>
  <si>
    <t>904</t>
  </si>
  <si>
    <t>905</t>
  </si>
  <si>
    <t>913</t>
  </si>
  <si>
    <t>929</t>
  </si>
  <si>
    <t>940</t>
  </si>
  <si>
    <t>949</t>
  </si>
  <si>
    <t>982</t>
  </si>
  <si>
    <t>698</t>
  </si>
  <si>
    <t>186</t>
  </si>
  <si>
    <t>3982</t>
  </si>
  <si>
    <t>9089</t>
  </si>
  <si>
    <t>4829</t>
  </si>
  <si>
    <t>6510</t>
  </si>
  <si>
    <t>3174</t>
  </si>
  <si>
    <t>5151</t>
  </si>
  <si>
    <t>7158</t>
  </si>
  <si>
    <t>958 7158</t>
  </si>
  <si>
    <t>958 8308</t>
  </si>
  <si>
    <t>1174</t>
  </si>
  <si>
    <t>958 1194</t>
  </si>
  <si>
    <t>3913</t>
  </si>
  <si>
    <t>0890</t>
  </si>
  <si>
    <t>1037</t>
  </si>
  <si>
    <t>0982</t>
  </si>
  <si>
    <t>3940</t>
  </si>
  <si>
    <t>1046</t>
  </si>
  <si>
    <t>1509</t>
  </si>
  <si>
    <t>A081/A062</t>
  </si>
  <si>
    <r>
      <rPr>
        <color rgb="FF00B050"/>
      </rPr>
      <t>E3</t>
    </r>
    <r>
      <rPr/>
      <t>/</t>
    </r>
    <r>
      <rPr>
        <color rgb="FFFF0000"/>
      </rPr>
      <t>E1</t>
    </r>
  </si>
  <si>
    <t>9846</t>
  </si>
  <si>
    <t>0691</t>
  </si>
  <si>
    <t>1145</t>
  </si>
  <si>
    <t>A004/1146</t>
  </si>
  <si>
    <t>958 1146</t>
  </si>
  <si>
    <t>A061/9186</t>
  </si>
  <si>
    <t>3660</t>
  </si>
  <si>
    <t>B150/A070</t>
  </si>
  <si>
    <t>3428</t>
  </si>
  <si>
    <t>ftsZ POS/NEG</t>
  </si>
  <si>
    <t>ftsZ seq</t>
  </si>
  <si>
    <t>E2-1</t>
  </si>
  <si>
    <t>B/JUV</t>
  </si>
  <si>
    <t>POS, too short</t>
  </si>
  <si>
    <t xml:space="preserve">A105 </t>
  </si>
  <si>
    <t>Ew-2</t>
  </si>
  <si>
    <t>Ew-0</t>
  </si>
  <si>
    <t>J6</t>
  </si>
  <si>
    <t>J15</t>
  </si>
  <si>
    <t>J18</t>
  </si>
  <si>
    <t>J19</t>
  </si>
  <si>
    <t>J20</t>
  </si>
  <si>
    <t>J29</t>
  </si>
  <si>
    <t>J21</t>
  </si>
  <si>
    <t>J22</t>
  </si>
  <si>
    <t>J23</t>
  </si>
  <si>
    <t>J24</t>
  </si>
  <si>
    <t>J80</t>
  </si>
  <si>
    <t>J25</t>
  </si>
  <si>
    <t>J26</t>
  </si>
  <si>
    <t>J27</t>
  </si>
  <si>
    <t>J28</t>
  </si>
  <si>
    <t>J69</t>
  </si>
  <si>
    <t>J30</t>
  </si>
  <si>
    <t>CT1</t>
  </si>
  <si>
    <t>J31</t>
  </si>
  <si>
    <t>J32</t>
  </si>
  <si>
    <t>J33</t>
  </si>
  <si>
    <t>J34</t>
  </si>
  <si>
    <t>J35</t>
  </si>
  <si>
    <t>J66</t>
  </si>
  <si>
    <t>A165</t>
  </si>
  <si>
    <t>J36</t>
  </si>
  <si>
    <t xml:space="preserve">958 6256/958 3528
</t>
  </si>
  <si>
    <t>J56</t>
  </si>
  <si>
    <t>J37</t>
  </si>
  <si>
    <t>J38</t>
  </si>
  <si>
    <t>J39</t>
  </si>
  <si>
    <t>A074/5961</t>
  </si>
  <si>
    <t>J40</t>
  </si>
  <si>
    <t>J41</t>
  </si>
  <si>
    <t>J42</t>
  </si>
  <si>
    <t>J43</t>
  </si>
  <si>
    <t>J44</t>
  </si>
  <si>
    <t>J45</t>
  </si>
  <si>
    <t>A063</t>
  </si>
  <si>
    <t>J46</t>
  </si>
  <si>
    <t>J47</t>
  </si>
  <si>
    <t>J48</t>
  </si>
  <si>
    <t>J49</t>
  </si>
  <si>
    <t>J50</t>
  </si>
  <si>
    <t>J51</t>
  </si>
  <si>
    <t>J52</t>
  </si>
  <si>
    <t>J53</t>
  </si>
  <si>
    <t>J54</t>
  </si>
  <si>
    <t>J55</t>
  </si>
  <si>
    <t>J57</t>
  </si>
  <si>
    <t>J58</t>
  </si>
  <si>
    <t>J59</t>
  </si>
  <si>
    <t>J60</t>
  </si>
  <si>
    <t>CT2</t>
  </si>
  <si>
    <t>J79</t>
  </si>
  <si>
    <t>A195a</t>
  </si>
  <si>
    <t>J74</t>
  </si>
  <si>
    <t>A195b</t>
  </si>
  <si>
    <t>J61</t>
  </si>
  <si>
    <t>A195c</t>
  </si>
  <si>
    <t>J62</t>
  </si>
  <si>
    <t>J63</t>
  </si>
  <si>
    <t>J64</t>
  </si>
  <si>
    <t>J65</t>
  </si>
  <si>
    <t>J67</t>
  </si>
  <si>
    <t>J68</t>
  </si>
  <si>
    <t>J70</t>
  </si>
  <si>
    <t>J71</t>
  </si>
  <si>
    <t>J72</t>
  </si>
  <si>
    <t>J73</t>
  </si>
  <si>
    <t>J75</t>
  </si>
  <si>
    <t>J76</t>
  </si>
  <si>
    <t>J77</t>
  </si>
  <si>
    <t>J78</t>
  </si>
  <si>
    <t>J81</t>
  </si>
  <si>
    <t>CT3</t>
  </si>
  <si>
    <t>A001 7739</t>
  </si>
  <si>
    <t>E1-0</t>
  </si>
  <si>
    <t>E5-8</t>
  </si>
  <si>
    <t>E5-0</t>
  </si>
  <si>
    <t>A057 4829</t>
  </si>
  <si>
    <t xml:space="preserve"> BAD SEQ </t>
  </si>
  <si>
    <t>A058 5349</t>
  </si>
  <si>
    <t>A059 1044</t>
  </si>
  <si>
    <t>E5-9</t>
  </si>
  <si>
    <t>E5-4</t>
  </si>
  <si>
    <t>A062 7615</t>
  </si>
  <si>
    <t>E5-7</t>
  </si>
  <si>
    <t>A068 3660</t>
  </si>
  <si>
    <t>A070 8509</t>
  </si>
  <si>
    <t>A071 6256</t>
  </si>
  <si>
    <t>E5-1</t>
  </si>
  <si>
    <t>E5-3</t>
  </si>
  <si>
    <t>A073 3913</t>
  </si>
  <si>
    <t>A074 5961</t>
  </si>
  <si>
    <t>A077 5151</t>
  </si>
  <si>
    <t>A080 0890</t>
  </si>
  <si>
    <t>A083 2966</t>
  </si>
  <si>
    <t>E5-10</t>
  </si>
  <si>
    <t>F1</t>
  </si>
  <si>
    <t>A087 9238</t>
  </si>
  <si>
    <t>A091 5113</t>
  </si>
  <si>
    <t>A092 0832</t>
  </si>
  <si>
    <t>A102 3340</t>
  </si>
  <si>
    <t>A105 7745</t>
  </si>
  <si>
    <t>A106 2905</t>
  </si>
  <si>
    <t>A110 9089</t>
  </si>
  <si>
    <t>A112 6479</t>
  </si>
  <si>
    <t>A114 8092</t>
  </si>
  <si>
    <t>A119 7021</t>
  </si>
  <si>
    <t>A126 8009</t>
  </si>
  <si>
    <t>A135 5539</t>
  </si>
  <si>
    <t>E3-2</t>
  </si>
  <si>
    <t>A143 8229</t>
  </si>
  <si>
    <t>A147 2857</t>
  </si>
  <si>
    <t>A148 5873</t>
  </si>
  <si>
    <t>new</t>
  </si>
  <si>
    <t>A164 7128</t>
  </si>
  <si>
    <t>A171 4569</t>
  </si>
  <si>
    <t>A173 8308</t>
  </si>
  <si>
    <t>A176 3647</t>
  </si>
  <si>
    <t>A192 9051</t>
  </si>
  <si>
    <t>A195 0981</t>
  </si>
  <si>
    <t>A196 0174</t>
  </si>
  <si>
    <t>Found fly</t>
  </si>
  <si>
    <t>8106 0040</t>
  </si>
  <si>
    <t>958 3158</t>
  </si>
  <si>
    <t>A061 9186</t>
  </si>
  <si>
    <t>needs editing</t>
  </si>
  <si>
    <r>
      <rPr>
        <rFont val="Calibri"/>
        <color rgb="FFFF0000"/>
        <sz val="11.0"/>
      </rPr>
      <t>E1-0</t>
    </r>
    <r>
      <rPr>
        <rFont val="Calibri"/>
        <sz val="11.0"/>
      </rPr>
      <t>//</t>
    </r>
    <r>
      <rPr>
        <rFont val="Calibri"/>
        <color rgb="FF7030A0"/>
        <sz val="11.0"/>
      </rPr>
      <t>E5-0/1</t>
    </r>
  </si>
  <si>
    <t>no seq</t>
  </si>
  <si>
    <t>F2</t>
  </si>
  <si>
    <t>958 4146</t>
  </si>
  <si>
    <t>F3</t>
  </si>
  <si>
    <t>4438 D093</t>
  </si>
  <si>
    <t>F4</t>
  </si>
  <si>
    <t>F5</t>
  </si>
  <si>
    <t>F6</t>
  </si>
  <si>
    <t>5678 A123</t>
  </si>
  <si>
    <t>F7</t>
  </si>
  <si>
    <t>F8</t>
  </si>
  <si>
    <t>3767 A130</t>
  </si>
  <si>
    <t>F9</t>
  </si>
  <si>
    <t>9846 A186</t>
  </si>
  <si>
    <t>F10</t>
  </si>
  <si>
    <t>F11</t>
  </si>
  <si>
    <t>F12</t>
  </si>
  <si>
    <t>3205 A155</t>
  </si>
  <si>
    <t>958 3205</t>
  </si>
  <si>
    <t>F13</t>
  </si>
  <si>
    <t>7193 A075</t>
  </si>
  <si>
    <t>F14</t>
  </si>
  <si>
    <t>F15</t>
  </si>
  <si>
    <r>
      <rPr>
        <rFont val="Calibri"/>
        <color rgb="FF00B050"/>
        <sz val="11.0"/>
      </rPr>
      <t>E3</t>
    </r>
    <r>
      <rPr>
        <rFont val="Calibri"/>
        <sz val="11.0"/>
      </rPr>
      <t>/</t>
    </r>
    <r>
      <rPr>
        <rFont val="Calibri"/>
        <color rgb="FF833C0B"/>
        <sz val="11.0"/>
      </rPr>
      <t>Ew</t>
    </r>
  </si>
</sst>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mm&quot;-&quot;dd&quot;-&quot;yy"/>
    <numFmt numFmtId="165" formatCode="mmmd"/>
    <numFmt numFmtId="166" formatCode="mm-dd-yy"/>
    <numFmt numFmtId="167" formatCode="yyyy&quot;-&quot;mm&quot;-&quot;dd"/>
    <numFmt numFmtId="168" formatCode="dmmmyy"/>
    <numFmt numFmtId="169" formatCode="yyyy&quot;-&quot;mm"/>
    <numFmt numFmtId="170" formatCode="0.000"/>
    <numFmt numFmtId="171" formatCode="#,##0.00000000000"/>
    <numFmt numFmtId="172" formatCode="#,##0.000000"/>
    <numFmt numFmtId="173" formatCode="#,##0.0000000000000"/>
    <numFmt numFmtId="174" formatCode="yyyy-mm-dd"/>
    <numFmt numFmtId="175" formatCode="mmmdd"/>
    <numFmt numFmtId="176" formatCode="mmmd/yy"/>
  </numFmts>
  <fonts count="40">
    <font>
      <sz val="11.0"/>
      <color rgb="FF000000"/>
      <name val="Calibri"/>
    </font>
    <font>
      <b/>
      <sz val="11.0"/>
      <color rgb="FF000000"/>
      <name val="Calibri"/>
    </font>
    <font>
      <b/>
      <sz val="11.0"/>
      <name val="Calibri"/>
    </font>
    <font>
      <sz val="11.0"/>
      <name val="Calibri"/>
    </font>
    <font>
      <sz val="11.0"/>
      <color rgb="FFFF0000"/>
      <name val="Calibri"/>
    </font>
    <font>
      <sz val="11.0"/>
      <color rgb="FFFF9900"/>
      <name val="Calibri"/>
    </font>
    <font>
      <sz val="11.0"/>
      <color rgb="FF0070C0"/>
      <name val="Calibri"/>
    </font>
    <font/>
    <font>
      <sz val="11.0"/>
      <color rgb="FFFFFFFF"/>
      <name val="Calibri"/>
    </font>
    <font>
      <color rgb="FFFF9900"/>
    </font>
    <font>
      <name val="Calibri"/>
    </font>
    <font>
      <color rgb="FFFF0000"/>
    </font>
    <font>
      <sz val="11.0"/>
      <color rgb="FF548DD4"/>
      <name val="Calibri"/>
    </font>
    <font>
      <b/>
    </font>
    <font>
      <b/>
      <sz val="11.0"/>
      <color rgb="FFFFFFFF"/>
      <name val="Calibri"/>
    </font>
    <font>
      <b/>
      <color rgb="FF9900FF"/>
    </font>
    <font>
      <color rgb="FF0070C0"/>
    </font>
    <font>
      <b/>
      <color rgb="FFFF0000"/>
    </font>
    <font>
      <b/>
      <color rgb="FFFFFFFF"/>
    </font>
    <font>
      <b/>
      <sz val="11.0"/>
      <color rgb="FFFFFF00"/>
      <name val="Calibri"/>
    </font>
    <font>
      <b/>
      <sz val="11.0"/>
      <color rgb="FF00B050"/>
      <name val="Calibri"/>
    </font>
    <font>
      <b/>
      <sz val="11.0"/>
      <color rgb="FF0070C0"/>
      <name val="Calibri"/>
    </font>
    <font>
      <b/>
      <sz val="11.0"/>
      <color rgb="FF7030A0"/>
      <name val="Calibri"/>
    </font>
    <font>
      <b/>
      <sz val="11.0"/>
      <color rgb="FF833C0B"/>
      <name val="Calibri"/>
    </font>
    <font>
      <b/>
      <sz val="11.0"/>
      <color rgb="FFFF00FF"/>
      <name val="Calibri"/>
    </font>
    <font>
      <b/>
      <sz val="11.0"/>
      <color rgb="FFFF0000"/>
      <name val="Calibri"/>
    </font>
    <font>
      <i/>
      <sz val="11.0"/>
      <name val="Calibri"/>
    </font>
    <font>
      <i/>
    </font>
    <font>
      <color rgb="FF000000"/>
      <name val="Arial"/>
    </font>
    <font>
      <b/>
      <color rgb="FFFFFF00"/>
    </font>
    <font>
      <b/>
      <color rgb="FF0070C0"/>
    </font>
    <font>
      <b/>
      <color rgb="FF7030A0"/>
    </font>
    <font>
      <b/>
      <color rgb="FF833C0B"/>
    </font>
    <font>
      <b/>
      <color rgb="FFFF00FF"/>
    </font>
    <font>
      <b/>
      <color rgb="FF00B050"/>
    </font>
    <font>
      <sz val="11.0"/>
      <color rgb="FF00FF00"/>
      <name val="Calibri"/>
    </font>
    <font>
      <color rgb="FFFFFFFF"/>
    </font>
    <font>
      <color rgb="FF000000"/>
    </font>
    <font>
      <color rgb="FF00FF00"/>
    </font>
    <font>
      <sz val="11.0"/>
      <color rgb="FF4F81BD"/>
      <name val="Calibri"/>
    </font>
  </fonts>
  <fills count="37">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7F7F7F"/>
        <bgColor rgb="FF7F7F7F"/>
      </patternFill>
    </fill>
    <fill>
      <patternFill patternType="solid">
        <fgColor rgb="FF00FF00"/>
        <bgColor rgb="FF00FF00"/>
      </patternFill>
    </fill>
    <fill>
      <patternFill patternType="solid">
        <fgColor rgb="FF0B5394"/>
        <bgColor rgb="FF0B5394"/>
      </patternFill>
    </fill>
    <fill>
      <patternFill patternType="solid">
        <fgColor rgb="FFBFBFBF"/>
        <bgColor rgb="FFBFBFBF"/>
      </patternFill>
    </fill>
    <fill>
      <patternFill patternType="solid">
        <fgColor rgb="FF833C0B"/>
        <bgColor rgb="FF833C0B"/>
      </patternFill>
    </fill>
    <fill>
      <patternFill patternType="solid">
        <fgColor rgb="FF00B050"/>
        <bgColor rgb="FF00B050"/>
      </patternFill>
    </fill>
    <fill>
      <patternFill patternType="solid">
        <fgColor rgb="FF0070C0"/>
        <bgColor rgb="FF0070C0"/>
      </patternFill>
    </fill>
    <fill>
      <patternFill patternType="solid">
        <fgColor rgb="FF980000"/>
        <bgColor rgb="FF980000"/>
      </patternFill>
    </fill>
    <fill>
      <patternFill patternType="solid">
        <fgColor rgb="FF9FC5E8"/>
        <bgColor rgb="FF9FC5E8"/>
      </patternFill>
    </fill>
    <fill>
      <patternFill patternType="solid">
        <fgColor rgb="FF000000"/>
        <bgColor rgb="FF000000"/>
      </patternFill>
    </fill>
    <fill>
      <patternFill patternType="solid">
        <fgColor rgb="FFFF0000"/>
        <bgColor rgb="FFFF0000"/>
      </patternFill>
    </fill>
    <fill>
      <patternFill patternType="solid">
        <fgColor rgb="FFFF00FF"/>
        <bgColor rgb="FFFF00FF"/>
      </patternFill>
    </fill>
    <fill>
      <patternFill patternType="solid">
        <fgColor rgb="FF00FFFF"/>
        <bgColor rgb="FF00FFFF"/>
      </patternFill>
    </fill>
    <fill>
      <patternFill patternType="solid">
        <fgColor rgb="FF7030A0"/>
        <bgColor rgb="FF7030A0"/>
      </patternFill>
    </fill>
    <fill>
      <patternFill patternType="solid">
        <fgColor rgb="FFB6D7A8"/>
        <bgColor rgb="FFB6D7A8"/>
      </patternFill>
    </fill>
    <fill>
      <patternFill patternType="solid">
        <fgColor rgb="FF741B47"/>
        <bgColor rgb="FF741B47"/>
      </patternFill>
    </fill>
    <fill>
      <patternFill patternType="solid">
        <fgColor rgb="FFD5A6BD"/>
        <bgColor rgb="FFD5A6BD"/>
      </patternFill>
    </fill>
    <fill>
      <patternFill patternType="solid">
        <fgColor rgb="FFFFFFFF"/>
        <bgColor rgb="FFFFFFFF"/>
      </patternFill>
    </fill>
    <fill>
      <patternFill patternType="solid">
        <fgColor rgb="FFF9CB9C"/>
        <bgColor rgb="FFF9CB9C"/>
      </patternFill>
    </fill>
    <fill>
      <patternFill patternType="solid">
        <fgColor rgb="FFB45F06"/>
        <bgColor rgb="FFB45F06"/>
      </patternFill>
    </fill>
    <fill>
      <patternFill patternType="solid">
        <fgColor rgb="FFDD7E6B"/>
        <bgColor rgb="FFDD7E6B"/>
      </patternFill>
    </fill>
    <fill>
      <patternFill patternType="solid">
        <fgColor rgb="FF9900FF"/>
        <bgColor rgb="FF9900FF"/>
      </patternFill>
    </fill>
    <fill>
      <patternFill patternType="solid">
        <fgColor rgb="FFA2C4C9"/>
        <bgColor rgb="FFA2C4C9"/>
      </patternFill>
    </fill>
    <fill>
      <patternFill patternType="solid">
        <fgColor rgb="FFB4A7D6"/>
        <bgColor rgb="FFB4A7D6"/>
      </patternFill>
    </fill>
    <fill>
      <patternFill patternType="solid">
        <fgColor rgb="FFF2F2F2"/>
        <bgColor rgb="FFF2F2F2"/>
      </patternFill>
    </fill>
    <fill>
      <patternFill patternType="solid">
        <fgColor rgb="FFD8D8D8"/>
        <bgColor rgb="FFD8D8D8"/>
      </patternFill>
    </fill>
    <fill>
      <patternFill patternType="solid">
        <fgColor rgb="FF93C47D"/>
        <bgColor rgb="FF93C47D"/>
      </patternFill>
    </fill>
    <fill>
      <patternFill patternType="solid">
        <fgColor rgb="FFF6B26B"/>
        <bgColor rgb="FFF6B26B"/>
      </patternFill>
    </fill>
    <fill>
      <patternFill patternType="solid">
        <fgColor rgb="FFB7B7B7"/>
        <bgColor rgb="FFB7B7B7"/>
      </patternFill>
    </fill>
    <fill>
      <patternFill patternType="solid">
        <fgColor rgb="FF8E7CC3"/>
        <bgColor rgb="FF8E7CC3"/>
      </patternFill>
    </fill>
    <fill>
      <patternFill patternType="solid">
        <fgColor rgb="FF0000FF"/>
        <bgColor rgb="FF0000FF"/>
      </patternFill>
    </fill>
    <fill>
      <patternFill patternType="solid">
        <fgColor rgb="FFEFEFEF"/>
        <bgColor rgb="FFEFEFEF"/>
      </patternFill>
    </fill>
    <fill>
      <patternFill patternType="solid">
        <fgColor rgb="FFD9D9D9"/>
        <bgColor rgb="FFD9D9D9"/>
      </patternFill>
    </fill>
  </fills>
  <borders count="4">
    <border/>
    <border>
      <left/>
      <right/>
      <top/>
      <bottom/>
    </border>
    <border>
      <lef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75">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17" xfId="0" applyAlignment="1" applyFont="1" applyNumberFormat="1">
      <alignment horizontal="left" shrinkToFit="0" wrapText="0"/>
    </xf>
    <xf borderId="0" fillId="0" fontId="0" numFmtId="0" xfId="0" applyAlignment="1" applyFont="1">
      <alignment horizontal="left" shrinkToFit="0" wrapText="0"/>
    </xf>
    <xf borderId="0" fillId="2" fontId="0" numFmtId="0" xfId="0" applyAlignment="1" applyFill="1" applyFont="1">
      <alignment horizontal="left" shrinkToFit="0" wrapText="0"/>
    </xf>
    <xf borderId="0" fillId="0" fontId="0" numFmtId="0" xfId="0" applyAlignment="1" applyFont="1">
      <alignment horizontal="left" readingOrder="0" shrinkToFit="0" wrapText="0"/>
    </xf>
    <xf borderId="0" fillId="0" fontId="0" numFmtId="0" xfId="0" applyAlignment="1" applyFont="1">
      <alignment shrinkToFit="0" wrapText="0"/>
    </xf>
    <xf borderId="0" fillId="3" fontId="0" numFmtId="0" xfId="0" applyAlignment="1" applyFill="1" applyFont="1">
      <alignment horizontal="left" readingOrder="0" shrinkToFit="0" wrapText="0"/>
    </xf>
    <xf borderId="0" fillId="4" fontId="1" numFmtId="0" xfId="0" applyAlignment="1" applyFill="1" applyFont="1">
      <alignment horizontal="center" readingOrder="0" shrinkToFit="0" wrapText="0"/>
    </xf>
    <xf borderId="0" fillId="5" fontId="1" numFmtId="0" xfId="0" applyAlignment="1" applyFill="1" applyFont="1">
      <alignment horizontal="center" readingOrder="0" shrinkToFit="0" wrapText="0"/>
    </xf>
    <xf borderId="0" fillId="4" fontId="1" numFmtId="0" xfId="0" applyAlignment="1" applyFont="1">
      <alignment horizontal="center" shrinkToFit="0" wrapText="0"/>
    </xf>
    <xf borderId="0" fillId="4" fontId="1" numFmtId="49" xfId="0" applyAlignment="1" applyFont="1" applyNumberFormat="1">
      <alignment horizontal="center" shrinkToFit="0" wrapText="0"/>
    </xf>
    <xf borderId="0" fillId="4" fontId="2" numFmtId="0" xfId="0" applyAlignment="1" applyFont="1">
      <alignment horizontal="center" shrinkToFit="0" wrapText="0"/>
    </xf>
    <xf borderId="0" fillId="5" fontId="1" numFmtId="164" xfId="0" applyAlignment="1" applyFont="1" applyNumberFormat="1">
      <alignment horizontal="center" readingOrder="0" shrinkToFit="0" wrapText="0"/>
    </xf>
    <xf borderId="0" fillId="5" fontId="2" numFmtId="164" xfId="0" applyAlignment="1" applyFont="1" applyNumberFormat="1">
      <alignment horizontal="center" readingOrder="0" shrinkToFit="0" vertical="bottom" wrapText="0"/>
    </xf>
    <xf borderId="0" fillId="4" fontId="1" numFmtId="17" xfId="0" applyAlignment="1" applyFont="1" applyNumberFormat="1">
      <alignment horizontal="center" shrinkToFit="0" wrapText="0"/>
    </xf>
    <xf borderId="0" fillId="4" fontId="1" numFmtId="4" xfId="0" applyAlignment="1" applyFont="1" applyNumberFormat="1">
      <alignment horizontal="center" shrinkToFit="0" wrapText="0"/>
    </xf>
    <xf borderId="0" fillId="6" fontId="0" numFmtId="0" xfId="0" applyAlignment="1" applyFill="1" applyFont="1">
      <alignment horizontal="center" shrinkToFit="0" wrapText="0"/>
    </xf>
    <xf borderId="0" fillId="5" fontId="0" numFmtId="0" xfId="0" applyAlignment="1" applyFont="1">
      <alignment horizontal="center" readingOrder="0" shrinkToFit="0" wrapText="0"/>
    </xf>
    <xf borderId="0" fillId="7" fontId="0" numFmtId="0" xfId="0" applyAlignment="1" applyFill="1" applyFont="1">
      <alignment horizontal="center" shrinkToFit="0" wrapText="0"/>
    </xf>
    <xf borderId="0" fillId="7" fontId="0" numFmtId="49" xfId="0" applyAlignment="1" applyFont="1" applyNumberFormat="1">
      <alignment horizontal="center" readingOrder="0" shrinkToFit="0" wrapText="0"/>
    </xf>
    <xf borderId="0" fillId="7" fontId="3" numFmtId="0" xfId="0" applyAlignment="1" applyFont="1">
      <alignment horizontal="center" shrinkToFit="0" wrapText="0"/>
    </xf>
    <xf borderId="0" fillId="7" fontId="0" numFmtId="0" xfId="0" applyAlignment="1" applyFont="1">
      <alignment horizontal="center" readingOrder="0" shrinkToFit="0" wrapText="0"/>
    </xf>
    <xf borderId="0" fillId="7" fontId="0" numFmtId="0" xfId="0" applyAlignment="1" applyFont="1">
      <alignment horizontal="center" readingOrder="0" shrinkToFit="0" wrapText="0"/>
    </xf>
    <xf borderId="0" fillId="5" fontId="0" numFmtId="0" xfId="0" applyAlignment="1" applyFont="1">
      <alignment horizontal="center" shrinkToFit="0" wrapText="0"/>
    </xf>
    <xf borderId="0" fillId="7" fontId="4" numFmtId="4" xfId="0" applyAlignment="1" applyFont="1" applyNumberFormat="1">
      <alignment horizontal="center" shrinkToFit="0" wrapText="0"/>
    </xf>
    <xf borderId="0" fillId="8" fontId="0" numFmtId="0" xfId="0" applyAlignment="1" applyFill="1" applyFont="1">
      <alignment horizontal="center" readingOrder="0" shrinkToFit="0" wrapText="0"/>
    </xf>
    <xf borderId="0" fillId="9" fontId="0" numFmtId="0" xfId="0" applyAlignment="1" applyFill="1" applyFont="1">
      <alignment horizontal="center" vertical="bottom"/>
    </xf>
    <xf borderId="0" fillId="9" fontId="3" numFmtId="0" xfId="0" applyAlignment="1" applyFont="1">
      <alignment horizontal="center" vertical="bottom"/>
    </xf>
    <xf borderId="0" fillId="7" fontId="3" numFmtId="0" xfId="0" applyAlignment="1" applyFont="1">
      <alignment horizontal="center" readingOrder="0" vertical="bottom"/>
    </xf>
    <xf borderId="0" fillId="7" fontId="5" numFmtId="4" xfId="0" applyAlignment="1" applyFont="1" applyNumberFormat="1">
      <alignment horizontal="center" readingOrder="0" shrinkToFit="0" wrapText="0"/>
    </xf>
    <xf borderId="0" fillId="7" fontId="0" numFmtId="0" xfId="0" applyAlignment="1" applyFont="1">
      <alignment horizontal="center" shrinkToFit="0" wrapText="0"/>
    </xf>
    <xf borderId="0" fillId="7" fontId="6" numFmtId="0" xfId="0" applyAlignment="1" applyFont="1">
      <alignment horizontal="center" shrinkToFit="0" wrapText="0"/>
    </xf>
    <xf borderId="0" fillId="7" fontId="3" numFmtId="0" xfId="0" applyAlignment="1" applyFont="1">
      <alignment horizontal="center" readingOrder="0" shrinkToFit="0" wrapText="0"/>
    </xf>
    <xf borderId="0" fillId="8" fontId="0" numFmtId="0" xfId="0" applyAlignment="1" applyFont="1">
      <alignment horizontal="center" shrinkToFit="0" wrapText="0"/>
    </xf>
    <xf borderId="0" fillId="10" fontId="0" numFmtId="0" xfId="0" applyAlignment="1" applyFill="1" applyFont="1">
      <alignment horizontal="center" shrinkToFit="0" wrapText="0"/>
    </xf>
    <xf borderId="0" fillId="7" fontId="4" numFmtId="0" xfId="0" applyAlignment="1" applyFont="1">
      <alignment horizontal="center" readingOrder="0" shrinkToFit="0" wrapText="0"/>
    </xf>
    <xf borderId="0" fillId="10" fontId="3" numFmtId="0" xfId="0" applyAlignment="1" applyFont="1">
      <alignment horizontal="center" vertical="bottom"/>
    </xf>
    <xf borderId="0" fillId="8" fontId="0" numFmtId="0" xfId="0" applyAlignment="1" applyFont="1">
      <alignment horizontal="center" vertical="bottom"/>
    </xf>
    <xf borderId="0" fillId="8" fontId="3" numFmtId="0" xfId="0" applyAlignment="1" applyFont="1">
      <alignment horizontal="center" readingOrder="0" vertical="bottom"/>
    </xf>
    <xf borderId="0" fillId="8" fontId="7" numFmtId="0" xfId="0" applyAlignment="1" applyFont="1">
      <alignment horizontal="center" readingOrder="0"/>
    </xf>
    <xf borderId="0" fillId="11" fontId="0" numFmtId="0" xfId="0" applyAlignment="1" applyFill="1" applyFont="1">
      <alignment horizontal="center" readingOrder="0" shrinkToFit="0" wrapText="0"/>
    </xf>
    <xf borderId="0" fillId="8" fontId="3" numFmtId="0" xfId="0" applyAlignment="1" applyFont="1">
      <alignment horizontal="center" readingOrder="0"/>
    </xf>
    <xf borderId="0" fillId="7" fontId="6" numFmtId="0" xfId="0" applyAlignment="1" applyFont="1">
      <alignment horizontal="center" readingOrder="0" shrinkToFit="0" wrapText="0"/>
    </xf>
    <xf borderId="0" fillId="2" fontId="0" numFmtId="0" xfId="0" applyAlignment="1" applyFont="1">
      <alignment horizontal="center" readingOrder="0" shrinkToFit="0" wrapText="0"/>
    </xf>
    <xf borderId="0" fillId="12" fontId="0" numFmtId="0" xfId="0" applyAlignment="1" applyFill="1" applyFont="1">
      <alignment horizontal="center" shrinkToFit="0" wrapText="0"/>
    </xf>
    <xf borderId="0" fillId="0" fontId="0" numFmtId="0" xfId="0" applyAlignment="1" applyFont="1">
      <alignment horizontal="center" shrinkToFit="0" wrapText="0"/>
    </xf>
    <xf borderId="0" fillId="0" fontId="0" numFmtId="49" xfId="0" applyAlignment="1" applyFont="1" applyNumberFormat="1">
      <alignment horizontal="center" readingOrder="0" shrinkToFit="0" wrapText="0"/>
    </xf>
    <xf borderId="0" fillId="0" fontId="3" numFmtId="0" xfId="0" applyAlignment="1" applyFont="1">
      <alignment horizontal="center" shrinkToFit="0" wrapText="0"/>
    </xf>
    <xf borderId="0" fillId="0" fontId="0" numFmtId="0" xfId="0" applyAlignment="1" applyFont="1">
      <alignment horizontal="center" readingOrder="0" shrinkToFit="0" wrapText="0"/>
    </xf>
    <xf borderId="0" fillId="0" fontId="6" numFmtId="0" xfId="0" applyAlignment="1" applyFont="1">
      <alignment horizontal="center" readingOrder="0" shrinkToFit="0" wrapText="0"/>
    </xf>
    <xf borderId="0" fillId="9" fontId="0" numFmtId="0" xfId="0" applyAlignment="1" applyFont="1">
      <alignment horizontal="center" readingOrder="0" shrinkToFit="0" wrapText="0"/>
    </xf>
    <xf borderId="0" fillId="0" fontId="5" numFmtId="4" xfId="0" applyAlignment="1" applyFont="1" applyNumberFormat="1">
      <alignment horizontal="center" readingOrder="0" shrinkToFit="0" wrapText="0"/>
    </xf>
    <xf borderId="0" fillId="0" fontId="6" numFmtId="0" xfId="0" applyAlignment="1" applyFont="1">
      <alignment horizontal="center" shrinkToFit="0" wrapText="0"/>
    </xf>
    <xf borderId="0" fillId="0" fontId="0" numFmtId="0" xfId="0" applyAlignment="1" applyFont="1">
      <alignment horizontal="center" shrinkToFit="0" wrapText="0"/>
    </xf>
    <xf borderId="0" fillId="0" fontId="4" numFmtId="4" xfId="0" applyAlignment="1" applyFont="1" applyNumberFormat="1">
      <alignment horizontal="center" readingOrder="0" shrinkToFit="0" wrapText="0"/>
    </xf>
    <xf borderId="0" fillId="0" fontId="4" numFmtId="0" xfId="0" applyAlignment="1" applyFont="1">
      <alignment horizontal="center" readingOrder="0" shrinkToFit="0" wrapText="0"/>
    </xf>
    <xf borderId="0" fillId="0" fontId="0" numFmtId="0" xfId="0" applyAlignment="1" applyFont="1">
      <alignment horizontal="center" readingOrder="0" shrinkToFit="0" wrapText="0"/>
    </xf>
    <xf borderId="0" fillId="13" fontId="8" numFmtId="0" xfId="0" applyAlignment="1" applyFill="1" applyFont="1">
      <alignment horizontal="center" readingOrder="0" shrinkToFit="0" wrapText="0"/>
    </xf>
    <xf borderId="0" fillId="8" fontId="3" numFmtId="0" xfId="0" applyAlignment="1" applyFont="1">
      <alignment horizontal="center" vertical="bottom"/>
    </xf>
    <xf borderId="0" fillId="8" fontId="0" numFmtId="0" xfId="0" applyAlignment="1" applyFont="1">
      <alignment horizontal="center" vertical="bottom"/>
    </xf>
    <xf borderId="0" fillId="3" fontId="0" numFmtId="0" xfId="0" applyAlignment="1" applyFont="1">
      <alignment horizontal="center" readingOrder="0" shrinkToFit="0" wrapText="0"/>
    </xf>
    <xf borderId="0" fillId="14" fontId="0" numFmtId="0" xfId="0" applyAlignment="1" applyFill="1" applyFont="1">
      <alignment horizontal="center" readingOrder="0" shrinkToFit="0" wrapText="0"/>
    </xf>
    <xf borderId="0" fillId="0" fontId="3" numFmtId="0" xfId="0" applyAlignment="1" applyFont="1">
      <alignment horizontal="center" readingOrder="0" shrinkToFit="0" wrapText="0"/>
    </xf>
    <xf borderId="0" fillId="10" fontId="3" numFmtId="0" xfId="0" applyAlignment="1" applyFont="1">
      <alignment horizontal="center" vertical="bottom"/>
    </xf>
    <xf borderId="0" fillId="15" fontId="0" numFmtId="0" xfId="0" applyAlignment="1" applyFill="1" applyFont="1">
      <alignment horizontal="center" readingOrder="0" shrinkToFit="0" wrapText="0"/>
    </xf>
    <xf borderId="0" fillId="7" fontId="4" numFmtId="4" xfId="0" applyAlignment="1" applyFont="1" applyNumberFormat="1">
      <alignment horizontal="center" readingOrder="0" shrinkToFit="0" wrapText="0"/>
    </xf>
    <xf borderId="0" fillId="7" fontId="3" numFmtId="0" xfId="0" applyAlignment="1" applyFont="1">
      <alignment horizontal="center" vertical="bottom"/>
    </xf>
    <xf borderId="0" fillId="7" fontId="4" numFmtId="0" xfId="0" applyAlignment="1" applyFont="1">
      <alignment horizontal="center" readingOrder="0" shrinkToFit="0" wrapText="0"/>
    </xf>
    <xf borderId="0" fillId="7" fontId="3" numFmtId="0" xfId="0" applyAlignment="1" applyFont="1">
      <alignment horizontal="center" readingOrder="0" shrinkToFit="0" wrapText="0"/>
    </xf>
    <xf borderId="0" fillId="7" fontId="6" numFmtId="0" xfId="0" applyAlignment="1" applyFont="1">
      <alignment horizontal="center" shrinkToFit="0" wrapText="0"/>
    </xf>
    <xf borderId="0" fillId="11" fontId="0" numFmtId="0" xfId="0" applyAlignment="1" applyFont="1">
      <alignment horizontal="center" readingOrder="0" shrinkToFit="0" wrapText="0"/>
    </xf>
    <xf borderId="0" fillId="0" fontId="3" numFmtId="0" xfId="0" applyAlignment="1" applyFont="1">
      <alignment horizontal="center" readingOrder="0" shrinkToFit="0" vertical="bottom" wrapText="0"/>
    </xf>
    <xf borderId="0" fillId="8" fontId="0" numFmtId="0" xfId="0" applyAlignment="1" applyFont="1">
      <alignment horizontal="center" shrinkToFit="0" wrapText="0"/>
    </xf>
    <xf borderId="0" fillId="0" fontId="6" numFmtId="0" xfId="0" applyAlignment="1" applyFont="1">
      <alignment horizontal="center" vertical="bottom"/>
    </xf>
    <xf borderId="0" fillId="8" fontId="3" numFmtId="0" xfId="0" applyAlignment="1" applyFont="1">
      <alignment horizontal="center" vertical="bottom"/>
    </xf>
    <xf borderId="0" fillId="0" fontId="3" numFmtId="0" xfId="0" applyAlignment="1" applyFont="1">
      <alignment horizontal="center" vertical="bottom"/>
    </xf>
    <xf borderId="0" fillId="0" fontId="9" numFmtId="0" xfId="0" applyAlignment="1" applyFont="1">
      <alignment horizontal="center" readingOrder="0"/>
    </xf>
    <xf borderId="0" fillId="16" fontId="0" numFmtId="0" xfId="0" applyAlignment="1" applyFill="1" applyFont="1">
      <alignment horizontal="center" readingOrder="0" shrinkToFit="0" wrapText="0"/>
    </xf>
    <xf borderId="0" fillId="0" fontId="6" numFmtId="0" xfId="0" applyAlignment="1" applyFont="1">
      <alignment horizontal="center" vertical="bottom"/>
    </xf>
    <xf borderId="0" fillId="0" fontId="3" numFmtId="0" xfId="0" applyAlignment="1" applyFont="1">
      <alignment horizontal="center" vertical="bottom"/>
    </xf>
    <xf borderId="0" fillId="9" fontId="0" numFmtId="0" xfId="0" applyAlignment="1" applyFont="1">
      <alignment horizontal="center" readingOrder="0" vertical="bottom"/>
    </xf>
    <xf borderId="0" fillId="7" fontId="6" numFmtId="0" xfId="0" applyAlignment="1" applyFont="1">
      <alignment horizontal="center" vertical="bottom"/>
    </xf>
    <xf borderId="0" fillId="5" fontId="0" numFmtId="0" xfId="0" applyAlignment="1" applyFont="1">
      <alignment horizontal="center" shrinkToFit="0" wrapText="0"/>
    </xf>
    <xf borderId="0" fillId="7" fontId="6" numFmtId="0" xfId="0" applyAlignment="1" applyFont="1">
      <alignment horizontal="center" readingOrder="0" vertical="bottom"/>
    </xf>
    <xf borderId="0" fillId="12" fontId="0" numFmtId="0" xfId="0" applyAlignment="1" applyFont="1">
      <alignment horizontal="center" readingOrder="0" shrinkToFit="0" wrapText="0"/>
    </xf>
    <xf borderId="0" fillId="0" fontId="5" numFmtId="4" xfId="0" applyAlignment="1" applyFont="1" applyNumberFormat="1">
      <alignment horizontal="center" shrinkToFit="0" wrapText="0"/>
    </xf>
    <xf borderId="0" fillId="17" fontId="0" numFmtId="0" xfId="0" applyAlignment="1" applyFill="1" applyFont="1">
      <alignment horizontal="center" shrinkToFit="0" wrapText="0"/>
    </xf>
    <xf borderId="0" fillId="9" fontId="0" numFmtId="0" xfId="0" applyAlignment="1" applyFont="1">
      <alignment horizontal="center" shrinkToFit="0" wrapText="0"/>
    </xf>
    <xf borderId="0" fillId="7" fontId="3" numFmtId="0" xfId="0" applyAlignment="1" applyFont="1">
      <alignment horizontal="center" vertical="bottom"/>
    </xf>
    <xf borderId="0" fillId="17" fontId="7" numFmtId="0" xfId="0" applyAlignment="1" applyFont="1">
      <alignment horizontal="center" readingOrder="0"/>
    </xf>
    <xf borderId="0" fillId="17" fontId="3" numFmtId="0" xfId="0" applyAlignment="1" applyFont="1">
      <alignment horizontal="center" vertical="bottom"/>
    </xf>
    <xf borderId="0" fillId="0" fontId="6" numFmtId="0" xfId="0" applyAlignment="1" applyFont="1">
      <alignment horizontal="center" shrinkToFit="0" wrapText="0"/>
    </xf>
    <xf borderId="0" fillId="0" fontId="0" numFmtId="0" xfId="0" applyAlignment="1" applyFont="1">
      <alignment horizontal="center" vertical="bottom"/>
    </xf>
    <xf borderId="0" fillId="0" fontId="6" numFmtId="0" xfId="0" applyAlignment="1" applyFont="1">
      <alignment horizontal="center" readingOrder="0" vertical="bottom"/>
    </xf>
    <xf borderId="0" fillId="6" fontId="0" numFmtId="0" xfId="0" applyAlignment="1" applyFont="1">
      <alignment horizontal="center" readingOrder="0" shrinkToFit="0" wrapText="0"/>
    </xf>
    <xf borderId="0" fillId="7" fontId="5" numFmtId="4" xfId="0" applyAlignment="1" applyFont="1" applyNumberFormat="1">
      <alignment horizontal="center" shrinkToFit="0" wrapText="0"/>
    </xf>
    <xf borderId="0" fillId="7" fontId="3" numFmtId="0" xfId="0" applyAlignment="1" applyFont="1">
      <alignment horizontal="center" shrinkToFit="0" wrapText="0"/>
    </xf>
    <xf borderId="0" fillId="5" fontId="3" numFmtId="0" xfId="0" applyAlignment="1" applyFont="1">
      <alignment horizontal="center" readingOrder="0" shrinkToFit="0" vertical="bottom" wrapText="0"/>
    </xf>
    <xf borderId="0" fillId="10" fontId="0" numFmtId="0" xfId="0" applyAlignment="1" applyFont="1">
      <alignment horizontal="center" readingOrder="0" shrinkToFit="0" wrapText="0"/>
    </xf>
    <xf borderId="0" fillId="14" fontId="10" numFmtId="0" xfId="0" applyAlignment="1" applyFont="1">
      <alignment readingOrder="0" shrinkToFit="0" vertical="bottom" wrapText="0"/>
    </xf>
    <xf borderId="0" fillId="18" fontId="0" numFmtId="0" xfId="0" applyAlignment="1" applyFill="1" applyFont="1">
      <alignment horizontal="center" shrinkToFit="0" wrapText="0"/>
    </xf>
    <xf borderId="0" fillId="8" fontId="3" numFmtId="0" xfId="0" applyAlignment="1" applyFont="1">
      <alignment horizontal="center" readingOrder="0" shrinkToFit="0" wrapText="0"/>
    </xf>
    <xf borderId="0" fillId="14" fontId="3" numFmtId="0" xfId="0" applyAlignment="1" applyFont="1">
      <alignment horizontal="center" vertical="bottom"/>
    </xf>
    <xf borderId="0" fillId="14" fontId="3" numFmtId="0" xfId="0" applyAlignment="1" applyFont="1">
      <alignment horizontal="center" vertical="bottom"/>
    </xf>
    <xf borderId="0" fillId="17" fontId="3" numFmtId="0" xfId="0" applyAlignment="1" applyFont="1">
      <alignment horizontal="center" readingOrder="0" shrinkToFit="0" wrapText="0"/>
    </xf>
    <xf borderId="0" fillId="9" fontId="3" numFmtId="0" xfId="0" applyAlignment="1" applyFont="1">
      <alignment horizontal="center" shrinkToFit="0" wrapText="0"/>
    </xf>
    <xf borderId="0" fillId="9" fontId="0" numFmtId="0" xfId="0" applyAlignment="1" applyFont="1">
      <alignment horizontal="center" shrinkToFit="0" wrapText="0"/>
    </xf>
    <xf borderId="0" fillId="0" fontId="7" numFmtId="0" xfId="0" applyAlignment="1" applyFont="1">
      <alignment readingOrder="0"/>
    </xf>
    <xf borderId="0" fillId="2" fontId="3" numFmtId="0" xfId="0" applyAlignment="1" applyFont="1">
      <alignment horizontal="center" vertical="bottom"/>
    </xf>
    <xf borderId="0" fillId="0" fontId="6" numFmtId="0" xfId="0" applyAlignment="1" applyFont="1">
      <alignment horizontal="center" readingOrder="0" shrinkToFit="0" wrapText="0"/>
    </xf>
    <xf borderId="0" fillId="10" fontId="3" numFmtId="0" xfId="0" applyAlignment="1" applyFont="1">
      <alignment horizontal="center" shrinkToFit="0" wrapText="0"/>
    </xf>
    <xf borderId="0" fillId="10" fontId="0" numFmtId="0" xfId="0" applyAlignment="1" applyFont="1">
      <alignment horizontal="center" vertical="bottom"/>
    </xf>
    <xf borderId="0" fillId="7" fontId="0" numFmtId="0" xfId="0" applyAlignment="1" applyFont="1">
      <alignment horizontal="center" vertical="bottom"/>
    </xf>
    <xf borderId="0" fillId="17" fontId="0" numFmtId="0" xfId="0" applyAlignment="1" applyFont="1">
      <alignment horizontal="center" vertical="bottom"/>
    </xf>
    <xf borderId="0" fillId="9" fontId="3" numFmtId="0" xfId="0" applyAlignment="1" applyFont="1">
      <alignment horizontal="center" vertical="bottom"/>
    </xf>
    <xf borderId="0" fillId="7" fontId="6" numFmtId="0" xfId="0" applyAlignment="1" applyFont="1">
      <alignment horizontal="center" vertical="bottom"/>
    </xf>
    <xf borderId="0" fillId="9" fontId="3" numFmtId="0" xfId="0" applyAlignment="1" applyFont="1">
      <alignment horizontal="center" readingOrder="0" vertical="bottom"/>
    </xf>
    <xf borderId="0" fillId="2" fontId="0" numFmtId="0" xfId="0" applyAlignment="1" applyFont="1">
      <alignment horizontal="center" shrinkToFit="0" wrapText="0"/>
    </xf>
    <xf borderId="0" fillId="17" fontId="3" numFmtId="0" xfId="0" applyAlignment="1" applyFont="1">
      <alignment horizontal="center" vertical="bottom"/>
    </xf>
    <xf borderId="0" fillId="0" fontId="0" numFmtId="0" xfId="0" applyAlignment="1" applyFont="1">
      <alignment horizontal="center" vertical="bottom"/>
    </xf>
    <xf borderId="0" fillId="19" fontId="0" numFmtId="0" xfId="0" applyAlignment="1" applyFill="1" applyFont="1">
      <alignment horizontal="center" readingOrder="0" shrinkToFit="0" wrapText="0"/>
    </xf>
    <xf borderId="0" fillId="20" fontId="0" numFmtId="0" xfId="0" applyAlignment="1" applyFill="1" applyFont="1">
      <alignment horizontal="center" shrinkToFit="0" wrapText="0"/>
    </xf>
    <xf borderId="0" fillId="20" fontId="0" numFmtId="49" xfId="0" applyAlignment="1" applyFont="1" applyNumberFormat="1">
      <alignment horizontal="center" readingOrder="0" shrinkToFit="0" vertical="bottom" wrapText="0"/>
    </xf>
    <xf borderId="0" fillId="20" fontId="3" numFmtId="0" xfId="0" applyAlignment="1" applyFont="1">
      <alignment horizontal="center" readingOrder="0" shrinkToFit="0" wrapText="0"/>
    </xf>
    <xf borderId="0" fillId="20" fontId="0" numFmtId="0" xfId="0" applyAlignment="1" applyFont="1">
      <alignment horizontal="center" readingOrder="0" shrinkToFit="0" wrapText="0"/>
    </xf>
    <xf borderId="0" fillId="20" fontId="6" numFmtId="0" xfId="0" applyAlignment="1" applyFont="1">
      <alignment horizontal="center" vertical="bottom"/>
    </xf>
    <xf borderId="0" fillId="20" fontId="3" numFmtId="0" xfId="0" applyAlignment="1" applyFont="1">
      <alignment horizontal="center" vertical="bottom"/>
    </xf>
    <xf borderId="0" fillId="20" fontId="3" numFmtId="0" xfId="0" applyAlignment="1" applyFont="1">
      <alignment horizontal="center" vertical="bottom"/>
    </xf>
    <xf borderId="0" fillId="20" fontId="11" numFmtId="0" xfId="0" applyAlignment="1" applyFont="1">
      <alignment horizontal="center" readingOrder="0"/>
    </xf>
    <xf borderId="0" fillId="5" fontId="0" numFmtId="0" xfId="0" applyAlignment="1" applyFont="1">
      <alignment horizontal="center" readingOrder="0" shrinkToFit="0" wrapText="0"/>
    </xf>
    <xf borderId="0" fillId="20" fontId="11" numFmtId="4" xfId="0" applyAlignment="1" applyFont="1" applyNumberFormat="1">
      <alignment horizontal="center" readingOrder="0"/>
    </xf>
    <xf borderId="0" fillId="2" fontId="3" numFmtId="0" xfId="0" applyAlignment="1" applyFont="1">
      <alignment horizontal="center" vertical="bottom"/>
    </xf>
    <xf borderId="0" fillId="2" fontId="0" numFmtId="0" xfId="0" applyAlignment="1" applyFont="1">
      <alignment horizontal="center" vertical="bottom"/>
    </xf>
    <xf borderId="0" fillId="20" fontId="4" numFmtId="4" xfId="0" applyAlignment="1" applyFont="1" applyNumberFormat="1">
      <alignment horizontal="center" readingOrder="0" shrinkToFit="0" wrapText="0"/>
    </xf>
    <xf borderId="0" fillId="20" fontId="6" numFmtId="0" xfId="0" applyAlignment="1" applyFont="1">
      <alignment horizontal="center" readingOrder="0" shrinkToFit="0" wrapText="0"/>
    </xf>
    <xf borderId="0" fillId="3" fontId="0" numFmtId="0" xfId="0" applyAlignment="1" applyFont="1">
      <alignment horizontal="center" shrinkToFit="0" wrapText="0"/>
    </xf>
    <xf borderId="0" fillId="7" fontId="7" numFmtId="0" xfId="0" applyFont="1"/>
    <xf borderId="0" fillId="7" fontId="7" numFmtId="0" xfId="0" applyAlignment="1" applyFont="1">
      <alignment readingOrder="0"/>
    </xf>
    <xf borderId="0" fillId="7" fontId="7" numFmtId="0" xfId="0" applyAlignment="1" applyFont="1">
      <alignment horizontal="center" readingOrder="0"/>
    </xf>
    <xf borderId="0" fillId="0" fontId="11" numFmtId="0" xfId="0" applyAlignment="1" applyFont="1">
      <alignment horizontal="center" readingOrder="0"/>
    </xf>
    <xf borderId="0" fillId="17" fontId="3" numFmtId="0" xfId="0" applyAlignment="1" applyFont="1">
      <alignment horizontal="center" shrinkToFit="0" wrapText="0"/>
    </xf>
    <xf borderId="0" fillId="7" fontId="0" numFmtId="0" xfId="0" applyAlignment="1" applyFont="1">
      <alignment horizontal="center" vertical="bottom"/>
    </xf>
    <xf borderId="0" fillId="9" fontId="7" numFmtId="0" xfId="0" applyAlignment="1" applyFont="1">
      <alignment horizontal="center" readingOrder="0"/>
    </xf>
    <xf borderId="0" fillId="7" fontId="11" numFmtId="0" xfId="0" applyAlignment="1" applyFont="1">
      <alignment horizontal="center" readingOrder="0"/>
    </xf>
    <xf borderId="0" fillId="7" fontId="11" numFmtId="4" xfId="0" applyAlignment="1" applyFont="1" applyNumberFormat="1">
      <alignment horizontal="center" readingOrder="0"/>
    </xf>
    <xf borderId="0" fillId="5" fontId="0" numFmtId="0" xfId="0" applyAlignment="1" applyFont="1">
      <alignment horizontal="center" readingOrder="0"/>
    </xf>
    <xf borderId="0" fillId="20" fontId="0" numFmtId="0" xfId="0" applyAlignment="1" applyFont="1">
      <alignment horizontal="center" readingOrder="0" shrinkToFit="0" wrapText="0"/>
    </xf>
    <xf borderId="0" fillId="20" fontId="3" numFmtId="0" xfId="0" applyAlignment="1" applyFont="1">
      <alignment horizontal="center" shrinkToFit="0" wrapText="0"/>
    </xf>
    <xf borderId="0" fillId="10" fontId="0" numFmtId="0" xfId="0" applyAlignment="1" applyFont="1">
      <alignment horizontal="center" shrinkToFit="0" wrapText="0"/>
    </xf>
    <xf borderId="0" fillId="8" fontId="3" numFmtId="4" xfId="0" applyAlignment="1" applyFont="1" applyNumberFormat="1">
      <alignment horizontal="center" vertical="bottom"/>
    </xf>
    <xf borderId="0" fillId="21" fontId="4" numFmtId="4" xfId="0" applyAlignment="1" applyFill="1" applyFont="1" applyNumberFormat="1">
      <alignment horizontal="center" readingOrder="0" shrinkToFit="0" wrapText="0"/>
    </xf>
    <xf borderId="0" fillId="0" fontId="5" numFmtId="0" xfId="0" applyAlignment="1" applyFont="1">
      <alignment horizontal="center" readingOrder="0" shrinkToFit="0" wrapText="0"/>
    </xf>
    <xf borderId="0" fillId="0" fontId="3" numFmtId="0" xfId="0" applyAlignment="1" applyFont="1">
      <alignment horizontal="center" readingOrder="0" shrinkToFit="0" wrapText="0"/>
    </xf>
    <xf borderId="0" fillId="0" fontId="11" numFmtId="4" xfId="0" applyAlignment="1" applyFont="1" applyNumberFormat="1">
      <alignment horizontal="center" readingOrder="0"/>
    </xf>
    <xf borderId="0" fillId="10" fontId="3" numFmtId="0" xfId="0" applyAlignment="1" applyFont="1">
      <alignment horizontal="center" readingOrder="0" shrinkToFit="0" wrapText="0"/>
    </xf>
    <xf borderId="0" fillId="7" fontId="7" numFmtId="0" xfId="0" applyAlignment="1" applyFont="1">
      <alignment horizontal="center" readingOrder="0"/>
    </xf>
    <xf borderId="0" fillId="0" fontId="7" numFmtId="0" xfId="0" applyAlignment="1" applyFont="1">
      <alignment horizontal="center" readingOrder="0"/>
    </xf>
    <xf borderId="0" fillId="16" fontId="7" numFmtId="0" xfId="0" applyAlignment="1" applyFont="1">
      <alignment horizontal="center" readingOrder="0"/>
    </xf>
    <xf borderId="0" fillId="2" fontId="0" numFmtId="0" xfId="0" applyAlignment="1" applyFont="1">
      <alignment horizontal="center" vertical="bottom"/>
    </xf>
    <xf borderId="0" fillId="17" fontId="0" numFmtId="0" xfId="0" applyAlignment="1" applyFont="1">
      <alignment horizontal="center" vertical="bottom"/>
    </xf>
    <xf borderId="0" fillId="14" fontId="0" numFmtId="0" xfId="0" applyAlignment="1" applyFont="1">
      <alignment horizontal="center" shrinkToFit="0" wrapText="0"/>
    </xf>
    <xf borderId="0" fillId="10" fontId="7" numFmtId="0" xfId="0" applyAlignment="1" applyFont="1">
      <alignment horizontal="center" readingOrder="0"/>
    </xf>
    <xf borderId="0" fillId="7" fontId="6" numFmtId="0" xfId="0" applyAlignment="1" applyFont="1">
      <alignment horizontal="center" readingOrder="0" shrinkToFit="0" wrapText="0"/>
    </xf>
    <xf borderId="0" fillId="17" fontId="0" numFmtId="0" xfId="0" applyAlignment="1" applyFont="1">
      <alignment horizontal="center" readingOrder="0" shrinkToFit="0" wrapText="0"/>
    </xf>
    <xf borderId="0" fillId="14" fontId="0" numFmtId="0" xfId="0" applyAlignment="1" applyFont="1">
      <alignment horizontal="center" shrinkToFit="0" wrapText="0"/>
    </xf>
    <xf borderId="0" fillId="21" fontId="0" numFmtId="0" xfId="0" applyAlignment="1" applyFont="1">
      <alignment horizontal="center" readingOrder="0" shrinkToFit="0" wrapText="0"/>
    </xf>
    <xf borderId="0" fillId="7" fontId="5" numFmtId="0" xfId="0" applyAlignment="1" applyFont="1">
      <alignment horizontal="center" readingOrder="0" shrinkToFit="0" wrapText="0"/>
    </xf>
    <xf borderId="0" fillId="8" fontId="3" numFmtId="0" xfId="0" applyAlignment="1" applyFont="1">
      <alignment horizontal="center" shrinkToFit="0" wrapText="0"/>
    </xf>
    <xf borderId="0" fillId="8" fontId="3" numFmtId="0" xfId="0" applyAlignment="1" applyFont="1">
      <alignment horizontal="center" shrinkToFit="0" wrapText="0"/>
    </xf>
    <xf borderId="0" fillId="7" fontId="7" numFmtId="0" xfId="0" applyAlignment="1" applyFont="1">
      <alignment horizontal="center"/>
    </xf>
    <xf borderId="0" fillId="10" fontId="7" numFmtId="0" xfId="0" applyAlignment="1" applyFont="1">
      <alignment horizontal="center"/>
    </xf>
    <xf borderId="0" fillId="20" fontId="6" numFmtId="0" xfId="0" applyAlignment="1" applyFont="1">
      <alignment horizontal="center" shrinkToFit="0" wrapText="0"/>
    </xf>
    <xf borderId="0" fillId="20" fontId="0" numFmtId="49" xfId="0" applyAlignment="1" applyFont="1" applyNumberFormat="1">
      <alignment horizontal="center" readingOrder="0" shrinkToFit="0" wrapText="0"/>
    </xf>
    <xf borderId="0" fillId="18" fontId="0" numFmtId="0" xfId="0" applyAlignment="1" applyFont="1">
      <alignment horizontal="center" readingOrder="0" shrinkToFit="0" wrapText="0"/>
    </xf>
    <xf borderId="0" fillId="14" fontId="3" numFmtId="0" xfId="0" applyAlignment="1" applyFont="1">
      <alignment horizontal="center" readingOrder="0" shrinkToFit="0" vertical="bottom" wrapText="0"/>
    </xf>
    <xf borderId="0" fillId="4" fontId="0" numFmtId="0" xfId="0" applyAlignment="1" applyFont="1">
      <alignment horizontal="center" shrinkToFit="0" wrapText="0"/>
    </xf>
    <xf borderId="0" fillId="0" fontId="0" numFmtId="0" xfId="0" applyAlignment="1" applyFont="1">
      <alignment horizontal="center"/>
    </xf>
    <xf borderId="0" fillId="0" fontId="7" numFmtId="0" xfId="0" applyAlignment="1" applyFont="1">
      <alignment readingOrder="0"/>
    </xf>
    <xf borderId="0" fillId="3" fontId="7" numFmtId="0" xfId="0" applyAlignment="1" applyFont="1">
      <alignment horizontal="center" readingOrder="0"/>
    </xf>
    <xf borderId="0" fillId="0" fontId="3" numFmtId="0" xfId="0" applyAlignment="1" applyFont="1">
      <alignment horizontal="center" readingOrder="0" vertical="bottom"/>
    </xf>
    <xf borderId="0" fillId="14" fontId="7" numFmtId="0" xfId="0" applyAlignment="1" applyFont="1">
      <alignment horizontal="center" readingOrder="0"/>
    </xf>
    <xf borderId="0" fillId="0" fontId="3" numFmtId="0" xfId="0" applyAlignment="1" applyFont="1">
      <alignment horizontal="center"/>
    </xf>
    <xf borderId="0" fillId="22" fontId="0" numFmtId="0" xfId="0" applyAlignment="1" applyFill="1" applyFont="1">
      <alignment horizontal="center" shrinkToFit="0" wrapText="0"/>
    </xf>
    <xf borderId="0" fillId="11" fontId="7" numFmtId="0" xfId="0" applyAlignment="1" applyFont="1">
      <alignment horizontal="center" readingOrder="0"/>
    </xf>
    <xf borderId="0" fillId="21" fontId="0" numFmtId="0" xfId="0" applyAlignment="1" applyFont="1">
      <alignment horizontal="center" shrinkToFit="0" wrapText="0"/>
    </xf>
    <xf borderId="0" fillId="20" fontId="0" numFmtId="0" xfId="0" applyAlignment="1" applyFont="1">
      <alignment horizontal="center" shrinkToFit="0" wrapText="0"/>
    </xf>
    <xf borderId="0" fillId="9" fontId="0" numFmtId="0" xfId="0" applyAlignment="1" applyFont="1">
      <alignment horizontal="center" vertical="bottom"/>
    </xf>
    <xf borderId="0" fillId="20" fontId="5" numFmtId="4" xfId="0" applyAlignment="1" applyFont="1" applyNumberFormat="1">
      <alignment horizontal="center" readingOrder="0" shrinkToFit="0" wrapText="0"/>
    </xf>
    <xf borderId="0" fillId="20" fontId="3" numFmtId="0" xfId="0" applyAlignment="1" applyFont="1">
      <alignment horizontal="center" readingOrder="0" vertical="bottom"/>
    </xf>
    <xf borderId="0" fillId="19" fontId="0" numFmtId="0" xfId="0" applyAlignment="1" applyFont="1">
      <alignment horizontal="center" shrinkToFit="0" wrapText="0"/>
    </xf>
    <xf borderId="0" fillId="5" fontId="0" numFmtId="0" xfId="0" applyAlignment="1" applyFont="1">
      <alignment horizontal="center" readingOrder="0" shrinkToFit="0" vertical="bottom" wrapText="0"/>
    </xf>
    <xf borderId="0" fillId="2" fontId="0" numFmtId="0" xfId="0" applyAlignment="1" applyFont="1">
      <alignment horizontal="center" readingOrder="0" shrinkToFit="0" wrapText="0"/>
    </xf>
    <xf borderId="0" fillId="3" fontId="0" numFmtId="0" xfId="0" applyAlignment="1" applyFont="1">
      <alignment horizontal="center" readingOrder="0" shrinkToFit="0" wrapText="0"/>
    </xf>
    <xf borderId="0" fillId="16" fontId="0" numFmtId="0" xfId="0" applyAlignment="1" applyFont="1">
      <alignment horizontal="center" readingOrder="0" shrinkToFit="0" wrapText="0"/>
    </xf>
    <xf borderId="0" fillId="7" fontId="0" numFmtId="0" xfId="0" applyAlignment="1" applyFont="1">
      <alignment horizontal="center" readingOrder="0" vertical="bottom"/>
    </xf>
    <xf borderId="0" fillId="20" fontId="4" numFmtId="0" xfId="0" applyAlignment="1" applyFont="1">
      <alignment horizontal="center" readingOrder="0" shrinkToFit="0" wrapText="0"/>
    </xf>
    <xf borderId="0" fillId="20" fontId="6" numFmtId="0" xfId="0" applyAlignment="1" applyFont="1">
      <alignment horizontal="center" shrinkToFit="0" wrapText="0"/>
    </xf>
    <xf borderId="0" fillId="20" fontId="0" numFmtId="0" xfId="0" applyAlignment="1" applyFont="1">
      <alignment horizontal="center" vertical="bottom"/>
    </xf>
    <xf borderId="0" fillId="7" fontId="5" numFmtId="0" xfId="0" applyAlignment="1" applyFont="1">
      <alignment horizontal="center" readingOrder="0" shrinkToFit="0" wrapText="0"/>
    </xf>
    <xf borderId="0" fillId="20" fontId="3" numFmtId="0" xfId="0" applyAlignment="1" applyFont="1">
      <alignment horizontal="center" readingOrder="0"/>
    </xf>
    <xf borderId="0" fillId="3" fontId="3" numFmtId="0" xfId="0" applyAlignment="1" applyFont="1">
      <alignment horizontal="center" readingOrder="0"/>
    </xf>
    <xf borderId="0" fillId="20" fontId="7" numFmtId="0" xfId="0" applyAlignment="1" applyFont="1">
      <alignment horizontal="center" readingOrder="0"/>
    </xf>
    <xf borderId="0" fillId="20" fontId="7" numFmtId="0" xfId="0" applyAlignment="1" applyFont="1">
      <alignment horizontal="center"/>
    </xf>
    <xf borderId="0" fillId="20" fontId="12" numFmtId="0" xfId="0" applyAlignment="1" applyFont="1">
      <alignment horizontal="center" readingOrder="0" shrinkToFit="0" wrapText="0"/>
    </xf>
    <xf borderId="0" fillId="14" fontId="0" numFmtId="0" xfId="0" applyAlignment="1" applyFont="1">
      <alignment horizontal="center" vertical="bottom"/>
    </xf>
    <xf borderId="0" fillId="0" fontId="4" numFmtId="0" xfId="0" applyAlignment="1" applyFont="1">
      <alignment horizontal="center" readingOrder="0" shrinkToFit="0" wrapText="0"/>
    </xf>
    <xf borderId="0" fillId="0" fontId="9" numFmtId="4" xfId="0" applyAlignment="1" applyFont="1" applyNumberFormat="1">
      <alignment horizontal="center" readingOrder="0"/>
    </xf>
    <xf borderId="0" fillId="20" fontId="5" numFmtId="0" xfId="0" applyAlignment="1" applyFont="1">
      <alignment horizontal="center" readingOrder="0" shrinkToFit="0" wrapText="0"/>
    </xf>
    <xf borderId="0" fillId="0" fontId="10" numFmtId="0" xfId="0" applyAlignment="1" applyFont="1">
      <alignment horizontal="center" readingOrder="0" shrinkToFit="0" vertical="bottom" wrapText="0"/>
    </xf>
    <xf borderId="0" fillId="0" fontId="0" numFmtId="0" xfId="0" applyAlignment="1" applyFont="1">
      <alignment horizontal="center" shrinkToFit="0" vertical="bottom" wrapText="0"/>
    </xf>
    <xf borderId="0" fillId="0" fontId="0" numFmtId="49" xfId="0" applyAlignment="1" applyFont="1" applyNumberFormat="1">
      <alignment horizontal="center" readingOrder="0" shrinkToFit="0" vertical="bottom" wrapText="0"/>
    </xf>
    <xf borderId="0" fillId="0" fontId="3" numFmtId="0" xfId="0" applyAlignment="1" applyFont="1">
      <alignment horizontal="center" shrinkToFit="0" vertical="bottom" wrapText="0"/>
    </xf>
    <xf borderId="0" fillId="0" fontId="3" numFmtId="0" xfId="0" applyAlignment="1" applyFont="1">
      <alignment horizontal="center" readingOrder="0" vertical="bottom"/>
    </xf>
    <xf borderId="0" fillId="0" fontId="0" numFmtId="0" xfId="0" applyAlignment="1" applyFont="1">
      <alignment horizontal="center" readingOrder="0" shrinkToFit="0" vertical="bottom" wrapText="0"/>
    </xf>
    <xf borderId="0" fillId="18" fontId="0" numFmtId="0" xfId="0" applyAlignment="1" applyFont="1">
      <alignment horizontal="center" shrinkToFit="0" vertical="bottom" wrapText="0"/>
    </xf>
    <xf borderId="0" fillId="5" fontId="0" numFmtId="0" xfId="0" applyAlignment="1" applyFont="1">
      <alignment horizontal="center" shrinkToFit="0" vertical="bottom" wrapText="0"/>
    </xf>
    <xf borderId="0" fillId="5" fontId="0" numFmtId="0" xfId="0" applyAlignment="1" applyFont="1">
      <alignment horizontal="center" shrinkToFit="0" vertical="bottom" wrapText="0"/>
    </xf>
    <xf borderId="0" fillId="20" fontId="4" numFmtId="4" xfId="0" applyAlignment="1" applyFont="1" applyNumberFormat="1">
      <alignment horizontal="center" readingOrder="0" shrinkToFit="0" vertical="top" wrapText="0"/>
    </xf>
    <xf borderId="0" fillId="20" fontId="6" numFmtId="0" xfId="0" applyAlignment="1" applyFont="1">
      <alignment horizontal="center" vertical="bottom"/>
    </xf>
    <xf borderId="0" fillId="20" fontId="0" numFmtId="0" xfId="0" applyAlignment="1" applyFont="1">
      <alignment horizontal="center" vertical="bottom"/>
    </xf>
    <xf borderId="0" fillId="21" fontId="4" numFmtId="0" xfId="0" applyAlignment="1" applyFont="1">
      <alignment horizontal="center" readingOrder="0" shrinkToFit="0" wrapText="0"/>
    </xf>
    <xf borderId="0" fillId="14" fontId="0" numFmtId="0" xfId="0" applyAlignment="1" applyFont="1">
      <alignment horizontal="left" readingOrder="0" shrinkToFit="0" wrapText="0"/>
    </xf>
    <xf borderId="0" fillId="20" fontId="3" numFmtId="0" xfId="0" applyAlignment="1" applyFont="1">
      <alignment horizontal="center" readingOrder="0" shrinkToFit="0" wrapText="0"/>
    </xf>
    <xf borderId="0" fillId="0" fontId="3" numFmtId="0" xfId="0" applyAlignment="1" applyFont="1">
      <alignment horizontal="center" readingOrder="0" vertical="bottom"/>
    </xf>
    <xf borderId="0" fillId="2" fontId="0" numFmtId="0" xfId="0" applyAlignment="1" applyFont="1">
      <alignment horizontal="center" shrinkToFit="0" vertical="bottom" wrapText="0"/>
    </xf>
    <xf borderId="0" fillId="3" fontId="0" numFmtId="0" xfId="0" applyAlignment="1" applyFont="1">
      <alignment horizontal="center" shrinkToFit="0" vertical="bottom" wrapText="0"/>
    </xf>
    <xf borderId="0" fillId="11" fontId="0" numFmtId="0" xfId="0" applyAlignment="1" applyFont="1">
      <alignment horizontal="center" readingOrder="0" shrinkToFit="0" vertical="bottom" wrapText="0"/>
    </xf>
    <xf borderId="0" fillId="5" fontId="7" numFmtId="49" xfId="0" applyAlignment="1" applyFont="1" applyNumberFormat="1">
      <alignment horizontal="center" readingOrder="0"/>
    </xf>
    <xf borderId="0" fillId="7" fontId="0" numFmtId="0" xfId="0" applyAlignment="1" applyFont="1">
      <alignment horizontal="center" shrinkToFit="0" vertical="bottom" wrapText="0"/>
    </xf>
    <xf borderId="0" fillId="7" fontId="0" numFmtId="49" xfId="0" applyAlignment="1" applyFont="1" applyNumberFormat="1">
      <alignment horizontal="center" readingOrder="0" shrinkToFit="0" vertical="bottom" wrapText="0"/>
    </xf>
    <xf borderId="0" fillId="7" fontId="3" numFmtId="0" xfId="0" applyAlignment="1" applyFont="1">
      <alignment horizontal="center" readingOrder="0" shrinkToFit="0" vertical="bottom" wrapText="0"/>
    </xf>
    <xf borderId="0" fillId="7" fontId="3" numFmtId="0" xfId="0" applyAlignment="1" applyFont="1">
      <alignment horizontal="center" readingOrder="0" vertical="bottom"/>
    </xf>
    <xf borderId="0" fillId="7" fontId="0" numFmtId="0" xfId="0" applyAlignment="1" applyFont="1">
      <alignment horizontal="center" readingOrder="0" shrinkToFit="0" vertical="bottom" wrapText="0"/>
    </xf>
    <xf borderId="0" fillId="5" fontId="3" numFmtId="0" xfId="0" applyAlignment="1" applyFont="1">
      <alignment horizontal="center" readingOrder="0"/>
    </xf>
    <xf borderId="0" fillId="0" fontId="3" numFmtId="0" xfId="0" applyAlignment="1" applyFont="1">
      <alignment horizontal="center" readingOrder="0"/>
    </xf>
    <xf borderId="0" fillId="16" fontId="3" numFmtId="0" xfId="0" applyAlignment="1" applyFont="1">
      <alignment horizontal="center" vertical="bottom"/>
    </xf>
    <xf borderId="0" fillId="22" fontId="3" numFmtId="0" xfId="0" applyAlignment="1" applyFont="1">
      <alignment horizontal="center" readingOrder="0"/>
    </xf>
    <xf borderId="0" fillId="22" fontId="0" numFmtId="49" xfId="0" applyAlignment="1" applyFont="1" applyNumberFormat="1">
      <alignment horizontal="center" readingOrder="0" shrinkToFit="0" wrapText="0"/>
    </xf>
    <xf borderId="0" fillId="22" fontId="3" numFmtId="0" xfId="0" applyAlignment="1" applyFont="1">
      <alignment horizontal="center" readingOrder="0" shrinkToFit="0" wrapText="0"/>
    </xf>
    <xf borderId="0" fillId="22" fontId="0" numFmtId="0" xfId="0" applyAlignment="1" applyFont="1">
      <alignment horizontal="center" readingOrder="0" shrinkToFit="0" wrapText="0"/>
    </xf>
    <xf borderId="0" fillId="22" fontId="7" numFmtId="0" xfId="0" applyFont="1"/>
    <xf borderId="0" fillId="22" fontId="7" numFmtId="0" xfId="0" applyAlignment="1" applyFont="1">
      <alignment horizontal="center" readingOrder="0"/>
    </xf>
    <xf borderId="0" fillId="22" fontId="7" numFmtId="0" xfId="0" applyAlignment="1" applyFont="1">
      <alignment horizontal="center"/>
    </xf>
    <xf borderId="0" fillId="22" fontId="11" numFmtId="4" xfId="0" applyAlignment="1" applyFont="1" applyNumberFormat="1">
      <alignment horizontal="center" readingOrder="0"/>
    </xf>
    <xf borderId="0" fillId="22" fontId="6" numFmtId="0" xfId="0" applyAlignment="1" applyFont="1">
      <alignment horizontal="center" readingOrder="0" shrinkToFit="0" wrapText="0"/>
    </xf>
    <xf borderId="0" fillId="23" fontId="0" numFmtId="0" xfId="0" applyAlignment="1" applyFill="1" applyFont="1">
      <alignment horizontal="center" readingOrder="0" shrinkToFit="0" wrapText="0"/>
    </xf>
    <xf borderId="0" fillId="23" fontId="0" numFmtId="49" xfId="0" applyAlignment="1" applyFont="1" applyNumberFormat="1">
      <alignment horizontal="center" readingOrder="0" shrinkToFit="0" wrapText="0"/>
    </xf>
    <xf borderId="0" fillId="23" fontId="3" numFmtId="0" xfId="0" applyAlignment="1" applyFont="1">
      <alignment horizontal="center" readingOrder="0" shrinkToFit="0" wrapText="0"/>
    </xf>
    <xf borderId="0" fillId="23" fontId="0" numFmtId="0" xfId="0" applyAlignment="1" applyFont="1">
      <alignment horizontal="center" shrinkToFit="0" wrapText="0"/>
    </xf>
    <xf borderId="0" fillId="23" fontId="0" numFmtId="0" xfId="0" applyAlignment="1" applyFont="1">
      <alignment horizontal="center" readingOrder="0" shrinkToFit="0" wrapText="0"/>
    </xf>
    <xf borderId="0" fillId="23" fontId="6" numFmtId="0" xfId="0" applyAlignment="1" applyFont="1">
      <alignment horizontal="center" shrinkToFit="0" wrapText="0"/>
    </xf>
    <xf borderId="0" fillId="23" fontId="0" numFmtId="0" xfId="0" applyAlignment="1" applyFont="1">
      <alignment horizontal="center" shrinkToFit="0" wrapText="0"/>
    </xf>
    <xf borderId="0" fillId="23" fontId="11" numFmtId="4" xfId="0" applyAlignment="1" applyFont="1" applyNumberFormat="1">
      <alignment horizontal="center" readingOrder="0"/>
    </xf>
    <xf borderId="0" fillId="22" fontId="3" numFmtId="0" xfId="0" applyAlignment="1" applyFont="1">
      <alignment horizontal="center" vertical="bottom"/>
    </xf>
    <xf borderId="0" fillId="22" fontId="0" numFmtId="0" xfId="0" applyAlignment="1" applyFont="1">
      <alignment horizontal="center" readingOrder="0" shrinkToFit="0" wrapText="0"/>
    </xf>
    <xf borderId="0" fillId="22" fontId="6" numFmtId="0" xfId="0" applyAlignment="1" applyFont="1">
      <alignment horizontal="center" vertical="bottom"/>
    </xf>
    <xf borderId="0" fillId="22" fontId="3" numFmtId="0" xfId="0" applyAlignment="1" applyFont="1">
      <alignment horizontal="center" vertical="bottom"/>
    </xf>
    <xf borderId="0" fillId="22" fontId="0" numFmtId="0" xfId="0" applyAlignment="1" applyFont="1">
      <alignment horizontal="center" vertical="bottom"/>
    </xf>
    <xf borderId="0" fillId="22" fontId="6" numFmtId="0" xfId="0" applyAlignment="1" applyFont="1">
      <alignment horizontal="center" vertical="bottom"/>
    </xf>
    <xf borderId="0" fillId="23" fontId="7" numFmtId="0" xfId="0" applyAlignment="1" applyFont="1">
      <alignment horizontal="center" readingOrder="0"/>
    </xf>
    <xf borderId="0" fillId="23" fontId="7" numFmtId="0" xfId="0" applyAlignment="1" applyFont="1">
      <alignment horizontal="center"/>
    </xf>
    <xf borderId="0" fillId="23" fontId="6" numFmtId="0" xfId="0" applyAlignment="1" applyFont="1">
      <alignment horizontal="center" readingOrder="0" shrinkToFit="0" wrapText="0"/>
    </xf>
    <xf borderId="0" fillId="23" fontId="3" numFmtId="0" xfId="0" applyAlignment="1" applyFont="1">
      <alignment horizontal="center" vertical="bottom"/>
    </xf>
    <xf borderId="0" fillId="0" fontId="7" numFmtId="0" xfId="0" applyAlignment="1" applyFont="1">
      <alignment horizontal="center" readingOrder="0"/>
    </xf>
    <xf borderId="0" fillId="0" fontId="7" numFmtId="0" xfId="0" applyAlignment="1" applyFont="1">
      <alignment horizontal="center"/>
    </xf>
    <xf borderId="0" fillId="23" fontId="4" numFmtId="4" xfId="0" applyAlignment="1" applyFont="1" applyNumberFormat="1">
      <alignment horizontal="center" readingOrder="0" shrinkToFit="0" wrapText="0"/>
    </xf>
    <xf borderId="0" fillId="23" fontId="6" numFmtId="0" xfId="0" applyAlignment="1" applyFont="1">
      <alignment horizontal="center" vertical="bottom"/>
    </xf>
    <xf borderId="0" fillId="23" fontId="3" numFmtId="0" xfId="0" applyAlignment="1" applyFont="1">
      <alignment horizontal="center" vertical="bottom"/>
    </xf>
    <xf borderId="0" fillId="22" fontId="6" numFmtId="0" xfId="0" applyAlignment="1" applyFont="1">
      <alignment horizontal="center" readingOrder="0" shrinkToFit="0" wrapText="0"/>
    </xf>
    <xf borderId="0" fillId="11" fontId="0" numFmtId="0" xfId="0" applyAlignment="1" applyFont="1">
      <alignment horizontal="center" shrinkToFit="0" wrapText="0"/>
    </xf>
    <xf borderId="0" fillId="11" fontId="0" numFmtId="0" xfId="0" applyAlignment="1" applyFont="1">
      <alignment horizontal="center" shrinkToFit="0" wrapText="0"/>
    </xf>
    <xf borderId="0" fillId="22" fontId="6" numFmtId="0" xfId="0" applyAlignment="1" applyFont="1">
      <alignment horizontal="center" shrinkToFit="0" wrapText="0"/>
    </xf>
    <xf borderId="0" fillId="5" fontId="7" numFmtId="0" xfId="0" applyAlignment="1" applyFont="1">
      <alignment horizontal="center" readingOrder="0"/>
    </xf>
    <xf borderId="0" fillId="23" fontId="6" numFmtId="0" xfId="0" applyAlignment="1" applyFont="1">
      <alignment horizontal="center" shrinkToFit="0" wrapText="0"/>
    </xf>
    <xf borderId="0" fillId="22" fontId="0" numFmtId="0" xfId="0" applyAlignment="1" applyFont="1">
      <alignment horizontal="center" shrinkToFit="0" wrapText="0"/>
    </xf>
    <xf borderId="0" fillId="4" fontId="0" numFmtId="0" xfId="0" applyAlignment="1" applyFont="1">
      <alignment horizontal="center" readingOrder="0" shrinkToFit="0" wrapText="0"/>
    </xf>
    <xf borderId="0" fillId="4" fontId="0" numFmtId="49" xfId="0" applyAlignment="1" applyFont="1" applyNumberFormat="1">
      <alignment horizontal="center" readingOrder="0" shrinkToFit="0" wrapText="0"/>
    </xf>
    <xf borderId="0" fillId="4" fontId="3" numFmtId="0" xfId="0" applyAlignment="1" applyFont="1">
      <alignment horizontal="center" readingOrder="0" shrinkToFit="0" wrapText="0"/>
    </xf>
    <xf borderId="0" fillId="4" fontId="0" numFmtId="0" xfId="0" applyAlignment="1" applyFont="1">
      <alignment horizontal="center" readingOrder="0" shrinkToFit="0" wrapText="0"/>
    </xf>
    <xf borderId="0" fillId="4" fontId="3" numFmtId="0" xfId="0" applyAlignment="1" applyFont="1">
      <alignment horizontal="center" readingOrder="0" shrinkToFit="0" vertical="bottom" wrapText="0"/>
    </xf>
    <xf borderId="0" fillId="4" fontId="3" numFmtId="0" xfId="0" applyAlignment="1" applyFont="1">
      <alignment horizontal="center" vertical="bottom"/>
    </xf>
    <xf borderId="0" fillId="4" fontId="7" numFmtId="0" xfId="0" applyAlignment="1" applyFont="1">
      <alignment horizontal="center" readingOrder="0"/>
    </xf>
    <xf borderId="0" fillId="4" fontId="11" numFmtId="4" xfId="0" applyAlignment="1" applyFont="1" applyNumberFormat="1">
      <alignment horizontal="center" readingOrder="0"/>
    </xf>
    <xf borderId="0" fillId="4" fontId="4" numFmtId="4" xfId="0" applyAlignment="1" applyFont="1" applyNumberFormat="1">
      <alignment horizontal="center" readingOrder="0" shrinkToFit="0" wrapText="0"/>
    </xf>
    <xf borderId="0" fillId="22" fontId="4" numFmtId="0" xfId="0" applyAlignment="1" applyFont="1">
      <alignment horizontal="center" readingOrder="0" shrinkToFit="0" wrapText="0"/>
    </xf>
    <xf borderId="0" fillId="4" fontId="0" numFmtId="0" xfId="0" applyAlignment="1" applyFont="1">
      <alignment horizontal="center" shrinkToFit="0" wrapText="0"/>
    </xf>
    <xf borderId="0" fillId="4" fontId="6" numFmtId="0" xfId="0" applyAlignment="1" applyFont="1">
      <alignment horizontal="center" readingOrder="0" shrinkToFit="0" wrapText="0"/>
    </xf>
    <xf borderId="0" fillId="0" fontId="0" numFmtId="49" xfId="0" applyAlignment="1" applyFont="1" applyNumberFormat="1">
      <alignment horizontal="center" shrinkToFit="0" wrapText="0"/>
    </xf>
    <xf borderId="0" fillId="0" fontId="1"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2" numFmtId="0" xfId="0" applyAlignment="1" applyFont="1">
      <alignment horizontal="center" readingOrder="0" shrinkToFit="0" wrapText="1"/>
    </xf>
    <xf borderId="0" fillId="0" fontId="1" numFmtId="0" xfId="0" applyAlignment="1" applyFont="1">
      <alignment horizontal="center" shrinkToFit="0" wrapText="1"/>
    </xf>
    <xf borderId="0" fillId="0" fontId="13" numFmtId="0" xfId="0" applyAlignment="1" applyFont="1">
      <alignment readingOrder="0" shrinkToFit="0" wrapText="1"/>
    </xf>
    <xf borderId="0" fillId="6" fontId="7" numFmtId="0" xfId="0" applyAlignment="1" applyFont="1">
      <alignment horizontal="center" readingOrder="0"/>
    </xf>
    <xf borderId="0" fillId="12" fontId="3" numFmtId="0" xfId="0" applyAlignment="1" applyFont="1">
      <alignment horizontal="center" readingOrder="0" shrinkToFit="0" vertical="bottom" wrapText="0"/>
    </xf>
    <xf borderId="0" fillId="6" fontId="3" numFmtId="0" xfId="0" applyAlignment="1" applyFont="1">
      <alignment horizontal="center" readingOrder="0" shrinkToFit="0" vertical="bottom" wrapText="0"/>
    </xf>
    <xf borderId="0" fillId="6" fontId="7" numFmtId="0" xfId="0" applyAlignment="1" applyFont="1">
      <alignment horizontal="center" readingOrder="0"/>
    </xf>
    <xf borderId="0" fillId="19" fontId="7" numFmtId="0" xfId="0" applyAlignment="1" applyFont="1">
      <alignment horizontal="center" readingOrder="0"/>
    </xf>
    <xf borderId="0" fillId="0" fontId="7" numFmtId="165" xfId="0" applyAlignment="1" applyFont="1" applyNumberFormat="1">
      <alignment horizontal="center" readingOrder="0"/>
    </xf>
    <xf borderId="0" fillId="0" fontId="7" numFmtId="0" xfId="0" applyAlignment="1" applyFont="1">
      <alignment horizontal="center"/>
    </xf>
    <xf borderId="0" fillId="6" fontId="0" numFmtId="0" xfId="0" applyAlignment="1" applyFont="1">
      <alignment horizontal="center" readingOrder="0" shrinkToFit="0" wrapText="0"/>
    </xf>
    <xf borderId="0" fillId="19" fontId="0" numFmtId="0" xfId="0" applyAlignment="1" applyFont="1">
      <alignment horizontal="center" readingOrder="0"/>
    </xf>
    <xf borderId="0" fillId="19" fontId="0" numFmtId="0" xfId="0" applyAlignment="1" applyFont="1">
      <alignment horizontal="center" vertical="bottom"/>
    </xf>
    <xf borderId="0" fillId="19" fontId="0" numFmtId="0" xfId="0" applyAlignment="1" applyFont="1">
      <alignment horizontal="center" readingOrder="0" shrinkToFit="0" vertical="bottom" wrapText="0"/>
    </xf>
    <xf borderId="0" fillId="6" fontId="0" numFmtId="0" xfId="0" applyAlignment="1" applyFont="1">
      <alignment horizontal="center" shrinkToFit="0" wrapText="0"/>
    </xf>
    <xf borderId="0" fillId="0" fontId="7" numFmtId="49" xfId="0" applyFont="1" applyNumberFormat="1"/>
    <xf borderId="0" fillId="0" fontId="7" numFmtId="49" xfId="0" applyAlignment="1" applyFont="1" applyNumberFormat="1">
      <alignment readingOrder="0"/>
    </xf>
    <xf borderId="0" fillId="0" fontId="7" numFmtId="14" xfId="0" applyFont="1" applyNumberFormat="1"/>
    <xf borderId="0" fillId="0" fontId="2" numFmtId="0" xfId="0" applyAlignment="1" applyFont="1">
      <alignment horizontal="center" shrinkToFit="0" wrapText="0"/>
    </xf>
    <xf borderId="0" fillId="0" fontId="2" numFmtId="0" xfId="0" applyAlignment="1" applyFont="1">
      <alignment horizontal="center" readingOrder="0"/>
    </xf>
    <xf borderId="0" fillId="0" fontId="2" numFmtId="0" xfId="0" applyAlignment="1" applyFont="1">
      <alignment horizontal="center" readingOrder="0" shrinkToFit="0" vertical="bottom" wrapText="0"/>
    </xf>
    <xf borderId="0" fillId="0" fontId="13" numFmtId="166" xfId="0" applyAlignment="1" applyFont="1" applyNumberFormat="1">
      <alignment horizontal="center" readingOrder="0"/>
    </xf>
    <xf borderId="0" fillId="0" fontId="13" numFmtId="0" xfId="0" applyAlignment="1" applyFont="1">
      <alignment horizontal="center" readingOrder="0"/>
    </xf>
    <xf borderId="0" fillId="0" fontId="13" numFmtId="164" xfId="0" applyAlignment="1" applyFont="1" applyNumberFormat="1">
      <alignment horizontal="center" readingOrder="0"/>
    </xf>
    <xf borderId="0" fillId="2" fontId="7" numFmtId="0" xfId="0" applyAlignment="1" applyFont="1">
      <alignment horizontal="center" readingOrder="0"/>
    </xf>
    <xf borderId="0" fillId="11" fontId="7" numFmtId="0" xfId="0" applyAlignment="1" applyFont="1">
      <alignment horizontal="center"/>
    </xf>
    <xf borderId="0" fillId="24" fontId="7" numFmtId="0" xfId="0" applyAlignment="1" applyFill="1" applyFont="1">
      <alignment horizontal="center"/>
    </xf>
    <xf borderId="0" fillId="24" fontId="7" numFmtId="0" xfId="0" applyAlignment="1" applyFont="1">
      <alignment horizontal="center" readingOrder="0"/>
    </xf>
    <xf borderId="0" fillId="16" fontId="7" numFmtId="0" xfId="0" applyAlignment="1" applyFont="1">
      <alignment horizontal="center" readingOrder="0"/>
    </xf>
    <xf borderId="0" fillId="25" fontId="7" numFmtId="0" xfId="0" applyAlignment="1" applyFill="1" applyFont="1">
      <alignment horizontal="center" readingOrder="0"/>
    </xf>
    <xf borderId="0" fillId="25" fontId="7" numFmtId="0" xfId="0" applyAlignment="1" applyFont="1">
      <alignment horizontal="center"/>
    </xf>
    <xf borderId="0" fillId="3" fontId="7" numFmtId="0" xfId="0" applyAlignment="1" applyFont="1">
      <alignment horizontal="center"/>
    </xf>
    <xf borderId="0" fillId="16" fontId="7" numFmtId="0" xfId="0" applyAlignment="1" applyFont="1">
      <alignment horizontal="center"/>
    </xf>
    <xf borderId="0" fillId="26" fontId="7" numFmtId="0" xfId="0" applyAlignment="1" applyFill="1" applyFont="1">
      <alignment horizontal="center"/>
    </xf>
    <xf borderId="0" fillId="26" fontId="7" numFmtId="0" xfId="0" applyAlignment="1" applyFont="1">
      <alignment horizontal="center" readingOrder="0"/>
    </xf>
    <xf borderId="0" fillId="27" fontId="7" numFmtId="0" xfId="0" applyAlignment="1" applyFill="1" applyFont="1">
      <alignment horizontal="center"/>
    </xf>
    <xf borderId="0" fillId="27" fontId="7" numFmtId="0" xfId="0" applyAlignment="1" applyFont="1">
      <alignment horizontal="center" readingOrder="0"/>
    </xf>
    <xf borderId="0" fillId="2" fontId="7" numFmtId="0" xfId="0" applyAlignment="1" applyFont="1">
      <alignment horizontal="center" readingOrder="0"/>
    </xf>
    <xf borderId="0" fillId="11" fontId="7" numFmtId="0" xfId="0" applyAlignment="1" applyFont="1">
      <alignment horizontal="right" readingOrder="0"/>
    </xf>
    <xf borderId="0" fillId="0" fontId="13" numFmtId="0" xfId="0" applyAlignment="1" applyFont="1">
      <alignment horizontal="right" readingOrder="0"/>
    </xf>
    <xf borderId="0" fillId="0" fontId="13" numFmtId="0" xfId="0" applyAlignment="1" applyFont="1">
      <alignment readingOrder="0"/>
    </xf>
    <xf borderId="0" fillId="16" fontId="7" numFmtId="0" xfId="0" applyAlignment="1" applyFont="1">
      <alignment horizontal="right" readingOrder="0"/>
    </xf>
    <xf borderId="0" fillId="0" fontId="7" numFmtId="0" xfId="0" applyAlignment="1" applyFont="1">
      <alignment horizontal="right" readingOrder="0"/>
    </xf>
    <xf borderId="0" fillId="3" fontId="7" numFmtId="0" xfId="0" applyAlignment="1" applyFont="1">
      <alignment horizontal="right" readingOrder="0"/>
    </xf>
    <xf borderId="0" fillId="25" fontId="7" numFmtId="0" xfId="0" applyAlignment="1" applyFont="1">
      <alignment horizontal="right" readingOrder="0"/>
    </xf>
    <xf borderId="0" fillId="0" fontId="7" numFmtId="0" xfId="0" applyAlignment="1" applyFont="1">
      <alignment horizontal="right"/>
    </xf>
    <xf borderId="0" fillId="0" fontId="7" numFmtId="0" xfId="0" applyAlignment="1" applyFont="1">
      <alignment horizontal="left" readingOrder="0"/>
    </xf>
    <xf borderId="0" fillId="0" fontId="2" numFmtId="167" xfId="0" applyAlignment="1" applyFont="1" applyNumberFormat="1">
      <alignment horizontal="center" readingOrder="0"/>
    </xf>
    <xf borderId="0" fillId="21" fontId="1" numFmtId="0" xfId="0" applyAlignment="1" applyFont="1">
      <alignment horizontal="center" readingOrder="0" shrinkToFit="0" wrapText="0"/>
    </xf>
    <xf borderId="0" fillId="0" fontId="1" numFmtId="0" xfId="0" applyAlignment="1" applyFont="1">
      <alignment horizontal="center" readingOrder="0" shrinkToFit="0" wrapText="0"/>
    </xf>
    <xf borderId="0" fillId="28" fontId="1" numFmtId="0" xfId="0" applyAlignment="1" applyFill="1" applyFont="1">
      <alignment horizontal="center" readingOrder="0" shrinkToFit="0" wrapText="0"/>
    </xf>
    <xf borderId="0" fillId="29" fontId="1" numFmtId="0" xfId="0" applyAlignment="1" applyFill="1" applyFont="1">
      <alignment horizontal="center" readingOrder="0" shrinkToFit="0" wrapText="0"/>
    </xf>
    <xf borderId="0" fillId="7" fontId="1" numFmtId="0" xfId="0" applyAlignment="1" applyFont="1">
      <alignment horizontal="center" readingOrder="0" shrinkToFit="0" wrapText="0"/>
    </xf>
    <xf borderId="0" fillId="7" fontId="1" numFmtId="0" xfId="0" applyAlignment="1" applyFont="1">
      <alignment horizontal="center" shrinkToFit="0" wrapText="0"/>
    </xf>
    <xf borderId="0" fillId="14" fontId="2" numFmtId="0" xfId="0" applyAlignment="1" applyFont="1">
      <alignment horizontal="center" vertical="bottom"/>
    </xf>
    <xf borderId="0" fillId="2" fontId="2" numFmtId="0" xfId="0" applyAlignment="1" applyFont="1">
      <alignment horizontal="center" vertical="bottom"/>
    </xf>
    <xf borderId="0" fillId="9" fontId="2" numFmtId="0" xfId="0" applyAlignment="1" applyFont="1">
      <alignment horizontal="center" vertical="bottom"/>
    </xf>
    <xf borderId="0" fillId="10" fontId="2" numFmtId="0" xfId="0" applyAlignment="1" applyFont="1">
      <alignment horizontal="center" vertical="bottom"/>
    </xf>
    <xf borderId="0" fillId="17" fontId="2" numFmtId="0" xfId="0" applyAlignment="1" applyFont="1">
      <alignment horizontal="center" vertical="bottom"/>
    </xf>
    <xf borderId="0" fillId="8" fontId="2" numFmtId="0" xfId="0" applyAlignment="1" applyFont="1">
      <alignment horizontal="center" vertical="bottom"/>
    </xf>
    <xf borderId="0" fillId="13" fontId="14" numFmtId="0" xfId="0" applyAlignment="1" applyFont="1">
      <alignment horizontal="center" readingOrder="0" vertical="bottom"/>
    </xf>
    <xf borderId="0" fillId="15" fontId="2" numFmtId="0" xfId="0" applyAlignment="1" applyFont="1">
      <alignment horizontal="center" readingOrder="0" vertical="bottom"/>
    </xf>
    <xf borderId="0" fillId="0" fontId="2" numFmtId="0" xfId="0" applyAlignment="1" applyFont="1">
      <alignment horizontal="center" readingOrder="0" vertical="bottom"/>
    </xf>
    <xf borderId="0" fillId="0" fontId="7" numFmtId="167" xfId="0" applyAlignment="1" applyFont="1" applyNumberFormat="1">
      <alignment horizontal="center" readingOrder="0"/>
    </xf>
    <xf borderId="0" fillId="28" fontId="11" numFmtId="0" xfId="0" applyAlignment="1" applyFont="1">
      <alignment horizontal="center" readingOrder="0"/>
    </xf>
    <xf borderId="0" fillId="29" fontId="11" numFmtId="0" xfId="0" applyAlignment="1" applyFont="1">
      <alignment horizontal="center" readingOrder="0"/>
    </xf>
    <xf borderId="0" fillId="30" fontId="0" numFmtId="0" xfId="0" applyAlignment="1" applyFill="1" applyFont="1">
      <alignment horizontal="center" shrinkToFit="0" wrapText="0"/>
    </xf>
    <xf borderId="0" fillId="30" fontId="3" numFmtId="0" xfId="0" applyAlignment="1" applyFont="1">
      <alignment horizontal="center"/>
    </xf>
    <xf borderId="0" fillId="28" fontId="7" numFmtId="0" xfId="0" applyAlignment="1" applyFont="1">
      <alignment horizontal="center" readingOrder="0"/>
    </xf>
    <xf borderId="0" fillId="29" fontId="7" numFmtId="0" xfId="0" applyAlignment="1" applyFont="1">
      <alignment horizontal="center"/>
    </xf>
    <xf borderId="0" fillId="29" fontId="15" numFmtId="0" xfId="0" applyAlignment="1" applyFont="1">
      <alignment horizontal="center" readingOrder="0"/>
    </xf>
    <xf borderId="0" fillId="19" fontId="13" numFmtId="0" xfId="0" applyAlignment="1" applyFont="1">
      <alignment horizontal="center" readingOrder="0"/>
    </xf>
    <xf borderId="0" fillId="31" fontId="3" numFmtId="0" xfId="0" applyAlignment="1" applyFill="1" applyFont="1">
      <alignment horizontal="center"/>
    </xf>
    <xf borderId="0" fillId="28" fontId="16" numFmtId="0" xfId="0" applyAlignment="1" applyFont="1">
      <alignment horizontal="center" readingOrder="0"/>
    </xf>
    <xf borderId="0" fillId="29" fontId="17" numFmtId="0" xfId="0" applyAlignment="1" applyFont="1">
      <alignment horizontal="center" readingOrder="0"/>
    </xf>
    <xf borderId="0" fillId="15" fontId="1" numFmtId="0" xfId="0" applyAlignment="1" applyFont="1">
      <alignment horizontal="center" readingOrder="0" shrinkToFit="0" wrapText="0"/>
    </xf>
    <xf borderId="0" fillId="31" fontId="0" numFmtId="0" xfId="0" applyAlignment="1" applyFont="1">
      <alignment horizontal="center" shrinkToFit="0" wrapText="0"/>
    </xf>
    <xf borderId="0" fillId="29" fontId="7" numFmtId="0" xfId="0" applyAlignment="1" applyFont="1">
      <alignment horizontal="center" readingOrder="0"/>
    </xf>
    <xf borderId="0" fillId="0" fontId="7" numFmtId="167" xfId="0" applyAlignment="1" applyFont="1" applyNumberFormat="1">
      <alignment horizontal="center"/>
    </xf>
    <xf borderId="0" fillId="0" fontId="13" numFmtId="168" xfId="0" applyAlignment="1" applyFont="1" applyNumberFormat="1">
      <alignment horizontal="center" readingOrder="0"/>
    </xf>
    <xf borderId="0" fillId="0" fontId="13" numFmtId="165" xfId="0" applyAlignment="1" applyFont="1" applyNumberFormat="1">
      <alignment horizontal="center" readingOrder="0"/>
    </xf>
    <xf borderId="0" fillId="0" fontId="1" numFmtId="0" xfId="0" applyAlignment="1" applyFont="1">
      <alignment horizontal="center" shrinkToFit="0" wrapText="0"/>
    </xf>
    <xf borderId="0" fillId="0" fontId="13" numFmtId="0" xfId="0" applyAlignment="1" applyFont="1">
      <alignment horizontal="center"/>
    </xf>
    <xf borderId="0" fillId="0" fontId="0" numFmtId="4" xfId="0" applyAlignment="1" applyFont="1" applyNumberFormat="1">
      <alignment horizontal="center" shrinkToFit="0" wrapText="0"/>
    </xf>
    <xf borderId="1" fillId="30" fontId="1" numFmtId="0" xfId="0" applyAlignment="1" applyBorder="1" applyFont="1">
      <alignment horizontal="center" shrinkToFit="0" wrapText="0"/>
    </xf>
    <xf borderId="2" fillId="30" fontId="1" numFmtId="0" xfId="0" applyAlignment="1" applyBorder="1" applyFont="1">
      <alignment horizontal="center" shrinkToFit="0" wrapText="0"/>
    </xf>
    <xf borderId="0" fillId="30" fontId="13" numFmtId="0" xfId="0" applyAlignment="1" applyFont="1">
      <alignment horizontal="center"/>
    </xf>
    <xf borderId="0" fillId="0" fontId="1" numFmtId="0" xfId="0" applyAlignment="1" applyFont="1">
      <alignment horizontal="center" readingOrder="0" shrinkToFit="0" wrapText="0"/>
    </xf>
    <xf borderId="0" fillId="0" fontId="3" numFmtId="0" xfId="0" applyAlignment="1" applyFont="1">
      <alignment horizontal="center"/>
    </xf>
    <xf borderId="0" fillId="0" fontId="3" numFmtId="4" xfId="0" applyAlignment="1" applyFont="1" applyNumberFormat="1">
      <alignment horizontal="center"/>
    </xf>
    <xf borderId="0" fillId="0" fontId="7" numFmtId="4" xfId="0" applyAlignment="1" applyFont="1" applyNumberFormat="1">
      <alignment horizontal="center"/>
    </xf>
    <xf borderId="0" fillId="0" fontId="10" numFmtId="0" xfId="0" applyAlignment="1" applyFont="1">
      <alignment horizontal="center" readingOrder="0"/>
    </xf>
    <xf borderId="0" fillId="0" fontId="3" numFmtId="0" xfId="0" applyAlignment="1" applyFont="1">
      <alignment horizontal="center" readingOrder="0" shrinkToFit="0" vertical="bottom" wrapText="0"/>
    </xf>
    <xf borderId="0" fillId="28" fontId="7" numFmtId="0" xfId="0" applyAlignment="1" applyFont="1">
      <alignment horizontal="center" readingOrder="0"/>
    </xf>
    <xf borderId="0" fillId="31" fontId="7" numFmtId="0" xfId="0" applyAlignment="1" applyFont="1">
      <alignment horizontal="center"/>
    </xf>
    <xf borderId="0" fillId="28" fontId="11" numFmtId="0" xfId="0" applyAlignment="1" applyFont="1">
      <alignment horizontal="center" readingOrder="0"/>
    </xf>
    <xf borderId="0" fillId="7" fontId="16" numFmtId="0" xfId="0" applyAlignment="1" applyFont="1">
      <alignment horizontal="center" readingOrder="0"/>
    </xf>
    <xf borderId="0" fillId="30" fontId="7" numFmtId="0" xfId="0" applyAlignment="1" applyFont="1">
      <alignment horizontal="center"/>
    </xf>
    <xf borderId="0" fillId="28" fontId="17" numFmtId="0" xfId="0" applyAlignment="1" applyFont="1">
      <alignment horizontal="center" readingOrder="0"/>
    </xf>
    <xf borderId="0" fillId="13" fontId="18" numFmtId="0" xfId="0" applyAlignment="1" applyFont="1">
      <alignment horizontal="center" readingOrder="0"/>
    </xf>
    <xf borderId="0" fillId="13" fontId="14" numFmtId="0" xfId="0" applyAlignment="1" applyFont="1">
      <alignment horizontal="center" readingOrder="0" shrinkToFit="0" wrapText="0"/>
    </xf>
    <xf borderId="0" fillId="29" fontId="16" numFmtId="0" xfId="0" applyAlignment="1" applyFont="1">
      <alignment horizontal="center" readingOrder="0"/>
    </xf>
    <xf borderId="0" fillId="0" fontId="13" numFmtId="0" xfId="0" applyAlignment="1" applyFont="1">
      <alignment horizontal="left" readingOrder="0"/>
    </xf>
    <xf borderId="0" fillId="0" fontId="3" numFmtId="0" xfId="0" applyAlignment="1" applyFont="1">
      <alignment horizontal="left" vertical="bottom"/>
    </xf>
    <xf borderId="0" fillId="0" fontId="3" numFmtId="0" xfId="0" applyAlignment="1" applyFont="1">
      <alignment horizontal="left" readingOrder="0" shrinkToFit="0" vertical="bottom" wrapText="0"/>
    </xf>
    <xf borderId="0" fillId="0" fontId="3" numFmtId="0" xfId="0" applyAlignment="1" applyFont="1">
      <alignment horizontal="left" readingOrder="0" vertical="bottom"/>
    </xf>
    <xf borderId="0" fillId="0" fontId="7" numFmtId="0" xfId="0" applyAlignment="1" applyFont="1">
      <alignment horizontal="left"/>
    </xf>
    <xf borderId="0" fillId="0" fontId="2" numFmtId="0" xfId="0" applyAlignment="1" applyFont="1">
      <alignment horizontal="left" readingOrder="0"/>
    </xf>
    <xf borderId="0" fillId="0" fontId="2" numFmtId="0" xfId="0" applyAlignment="1" applyFont="1">
      <alignment horizontal="center" vertical="bottom"/>
    </xf>
    <xf borderId="0" fillId="0" fontId="14" numFmtId="0" xfId="0" applyAlignment="1" applyFont="1">
      <alignment horizontal="center" readingOrder="0" vertical="bottom"/>
    </xf>
    <xf borderId="0" fillId="0" fontId="19" numFmtId="0" xfId="0" applyAlignment="1" applyFont="1">
      <alignment horizontal="center" readingOrder="0"/>
    </xf>
    <xf borderId="0" fillId="0" fontId="20" numFmtId="2" xfId="0" applyAlignment="1" applyFont="1" applyNumberFormat="1">
      <alignment horizontal="center" readingOrder="0"/>
    </xf>
    <xf borderId="0" fillId="0" fontId="21" numFmtId="0" xfId="0" applyAlignment="1" applyFont="1">
      <alignment horizontal="center" readingOrder="0"/>
    </xf>
    <xf borderId="0" fillId="0" fontId="22" numFmtId="0" xfId="0" applyAlignment="1" applyFont="1">
      <alignment horizontal="center" readingOrder="0"/>
    </xf>
    <xf borderId="0" fillId="0" fontId="23" numFmtId="0" xfId="0" applyAlignment="1" applyFont="1">
      <alignment horizontal="center" readingOrder="0"/>
    </xf>
    <xf borderId="0" fillId="0" fontId="24" numFmtId="0" xfId="0" applyAlignment="1" applyFont="1">
      <alignment horizontal="center" readingOrder="0"/>
    </xf>
    <xf borderId="0" fillId="14" fontId="19" numFmtId="0" xfId="0" applyAlignment="1" applyFont="1">
      <alignment horizontal="center" readingOrder="0"/>
    </xf>
    <xf borderId="0" fillId="14" fontId="20" numFmtId="2" xfId="0" applyAlignment="1" applyFont="1" applyNumberFormat="1">
      <alignment horizontal="center" readingOrder="0"/>
    </xf>
    <xf borderId="0" fillId="14" fontId="21" numFmtId="0" xfId="0" applyAlignment="1" applyFont="1">
      <alignment horizontal="center" readingOrder="0"/>
    </xf>
    <xf borderId="0" fillId="14" fontId="22" numFmtId="0" xfId="0" applyAlignment="1" applyFont="1">
      <alignment horizontal="center" readingOrder="0"/>
    </xf>
    <xf borderId="0" fillId="14" fontId="23" numFmtId="0" xfId="0" applyAlignment="1" applyFont="1">
      <alignment horizontal="center" readingOrder="0"/>
    </xf>
    <xf borderId="0" fillId="14" fontId="2" numFmtId="0" xfId="0" applyAlignment="1" applyFont="1">
      <alignment horizontal="center" readingOrder="0"/>
    </xf>
    <xf borderId="0" fillId="14" fontId="24" numFmtId="0" xfId="0" applyAlignment="1" applyFont="1">
      <alignment horizontal="center" readingOrder="0"/>
    </xf>
    <xf borderId="0" fillId="2" fontId="25" numFmtId="0" xfId="0" applyAlignment="1" applyFont="1">
      <alignment horizontal="center" readingOrder="0"/>
    </xf>
    <xf borderId="0" fillId="2" fontId="20" numFmtId="0" xfId="0" applyAlignment="1" applyFont="1">
      <alignment horizontal="center" readingOrder="0"/>
    </xf>
    <xf borderId="0" fillId="2" fontId="21" numFmtId="0" xfId="0" applyAlignment="1" applyFont="1">
      <alignment horizontal="center" readingOrder="0"/>
    </xf>
    <xf borderId="0" fillId="2" fontId="22" numFmtId="2" xfId="0" applyAlignment="1" applyFont="1" applyNumberFormat="1">
      <alignment horizontal="center" readingOrder="0"/>
    </xf>
    <xf borderId="0" fillId="2" fontId="23" numFmtId="0" xfId="0" applyAlignment="1" applyFont="1">
      <alignment horizontal="center" readingOrder="0"/>
    </xf>
    <xf borderId="0" fillId="2" fontId="2" numFmtId="0" xfId="0" applyAlignment="1" applyFont="1">
      <alignment horizontal="center" readingOrder="0"/>
    </xf>
    <xf borderId="0" fillId="2" fontId="24" numFmtId="0" xfId="0" applyAlignment="1" applyFont="1">
      <alignment horizontal="center" readingOrder="0"/>
    </xf>
    <xf borderId="0" fillId="9" fontId="25" numFmtId="0" xfId="0" applyAlignment="1" applyFont="1">
      <alignment horizontal="center" readingOrder="0"/>
    </xf>
    <xf borderId="0" fillId="9" fontId="19" numFmtId="0" xfId="0" applyAlignment="1" applyFont="1">
      <alignment horizontal="center" readingOrder="0"/>
    </xf>
    <xf borderId="0" fillId="9" fontId="21" numFmtId="0" xfId="0" applyAlignment="1" applyFont="1">
      <alignment horizontal="center" readingOrder="0"/>
    </xf>
    <xf borderId="0" fillId="9" fontId="22" numFmtId="0" xfId="0" applyAlignment="1" applyFont="1">
      <alignment horizontal="center" readingOrder="0"/>
    </xf>
    <xf borderId="0" fillId="9" fontId="23" numFmtId="0" xfId="0" applyAlignment="1" applyFont="1">
      <alignment horizontal="center" readingOrder="0"/>
    </xf>
    <xf borderId="0" fillId="9" fontId="2" numFmtId="0" xfId="0" applyAlignment="1" applyFont="1">
      <alignment horizontal="center" readingOrder="0"/>
    </xf>
    <xf borderId="0" fillId="9" fontId="24" numFmtId="0" xfId="0" applyAlignment="1" applyFont="1">
      <alignment horizontal="center" readingOrder="0"/>
    </xf>
    <xf borderId="0" fillId="10" fontId="25" numFmtId="0" xfId="0" applyAlignment="1" applyFont="1">
      <alignment horizontal="center" readingOrder="0"/>
    </xf>
    <xf borderId="0" fillId="10" fontId="19" numFmtId="0" xfId="0" applyAlignment="1" applyFont="1">
      <alignment horizontal="center" readingOrder="0"/>
    </xf>
    <xf borderId="0" fillId="10" fontId="20" numFmtId="0" xfId="0" applyAlignment="1" applyFont="1">
      <alignment horizontal="center" readingOrder="0"/>
    </xf>
    <xf borderId="0" fillId="10" fontId="22" numFmtId="0" xfId="0" applyAlignment="1" applyFont="1">
      <alignment horizontal="center" readingOrder="0"/>
    </xf>
    <xf borderId="0" fillId="10" fontId="23" numFmtId="0" xfId="0" applyAlignment="1" applyFont="1">
      <alignment horizontal="center" readingOrder="0"/>
    </xf>
    <xf borderId="0" fillId="10" fontId="2" numFmtId="0" xfId="0" applyAlignment="1" applyFont="1">
      <alignment horizontal="center" readingOrder="0"/>
    </xf>
    <xf borderId="0" fillId="10" fontId="24" numFmtId="0" xfId="0" applyAlignment="1" applyFont="1">
      <alignment horizontal="center" readingOrder="0"/>
    </xf>
    <xf borderId="0" fillId="17" fontId="25" numFmtId="0" xfId="0" applyAlignment="1" applyFont="1">
      <alignment horizontal="center" readingOrder="0"/>
    </xf>
    <xf borderId="0" fillId="17" fontId="19" numFmtId="0" xfId="0" applyAlignment="1" applyFont="1">
      <alignment horizontal="center" readingOrder="0"/>
    </xf>
    <xf borderId="0" fillId="17" fontId="20" numFmtId="0" xfId="0" applyAlignment="1" applyFont="1">
      <alignment horizontal="center" readingOrder="0"/>
    </xf>
    <xf borderId="0" fillId="17" fontId="21" numFmtId="0" xfId="0" applyAlignment="1" applyFont="1">
      <alignment horizontal="center" readingOrder="0"/>
    </xf>
    <xf borderId="0" fillId="17" fontId="23" numFmtId="0" xfId="0" applyAlignment="1" applyFont="1">
      <alignment horizontal="center" readingOrder="0"/>
    </xf>
    <xf borderId="0" fillId="17" fontId="2" numFmtId="0" xfId="0" applyAlignment="1" applyFont="1">
      <alignment horizontal="center" readingOrder="0"/>
    </xf>
    <xf borderId="0" fillId="17" fontId="24" numFmtId="0" xfId="0" applyAlignment="1" applyFont="1">
      <alignment horizontal="center" readingOrder="0"/>
    </xf>
    <xf borderId="0" fillId="8" fontId="25" numFmtId="0" xfId="0" applyAlignment="1" applyFont="1">
      <alignment horizontal="center" readingOrder="0"/>
    </xf>
    <xf borderId="0" fillId="8" fontId="19" numFmtId="0" xfId="0" applyAlignment="1" applyFont="1">
      <alignment horizontal="center" readingOrder="0"/>
    </xf>
    <xf borderId="0" fillId="8" fontId="20" numFmtId="0" xfId="0" applyAlignment="1" applyFont="1">
      <alignment horizontal="center" readingOrder="0"/>
    </xf>
    <xf borderId="0" fillId="8" fontId="21" numFmtId="0" xfId="0" applyAlignment="1" applyFont="1">
      <alignment horizontal="center" readingOrder="0"/>
    </xf>
    <xf borderId="0" fillId="8" fontId="22" numFmtId="0" xfId="0" applyAlignment="1" applyFont="1">
      <alignment horizontal="center" readingOrder="0"/>
    </xf>
    <xf borderId="0" fillId="8" fontId="2" numFmtId="0" xfId="0" applyAlignment="1" applyFont="1">
      <alignment horizontal="center" readingOrder="0"/>
    </xf>
    <xf borderId="0" fillId="8" fontId="24" numFmtId="0" xfId="0" applyAlignment="1" applyFont="1">
      <alignment horizontal="center" readingOrder="0"/>
    </xf>
    <xf borderId="0" fillId="13" fontId="25" numFmtId="0" xfId="0" applyAlignment="1" applyFont="1">
      <alignment horizontal="center" readingOrder="0"/>
    </xf>
    <xf borderId="0" fillId="13" fontId="19" numFmtId="0" xfId="0" applyAlignment="1" applyFont="1">
      <alignment horizontal="center" readingOrder="0"/>
    </xf>
    <xf borderId="0" fillId="13" fontId="20" numFmtId="0" xfId="0" applyAlignment="1" applyFont="1">
      <alignment horizontal="center" readingOrder="0"/>
    </xf>
    <xf borderId="0" fillId="13" fontId="21" numFmtId="0" xfId="0" applyAlignment="1" applyFont="1">
      <alignment horizontal="center" readingOrder="0"/>
    </xf>
    <xf borderId="0" fillId="13" fontId="22" numFmtId="0" xfId="0" applyAlignment="1" applyFont="1">
      <alignment horizontal="center" readingOrder="0"/>
    </xf>
    <xf borderId="0" fillId="13" fontId="23" numFmtId="0" xfId="0" applyAlignment="1" applyFont="1">
      <alignment horizontal="center" readingOrder="0"/>
    </xf>
    <xf borderId="0" fillId="13" fontId="24" numFmtId="0" xfId="0" applyAlignment="1" applyFont="1">
      <alignment horizontal="center" readingOrder="0"/>
    </xf>
    <xf borderId="0" fillId="15" fontId="25" numFmtId="0" xfId="0" applyAlignment="1" applyFont="1">
      <alignment horizontal="center" readingOrder="0"/>
    </xf>
    <xf borderId="0" fillId="15" fontId="19" numFmtId="0" xfId="0" applyAlignment="1" applyFont="1">
      <alignment horizontal="center" readingOrder="0"/>
    </xf>
    <xf borderId="0" fillId="15" fontId="20" numFmtId="0" xfId="0" applyAlignment="1" applyFont="1">
      <alignment horizontal="center" readingOrder="0"/>
    </xf>
    <xf borderId="0" fillId="15" fontId="21" numFmtId="0" xfId="0" applyAlignment="1" applyFont="1">
      <alignment horizontal="center" readingOrder="0"/>
    </xf>
    <xf borderId="0" fillId="15" fontId="22" numFmtId="0" xfId="0" applyAlignment="1" applyFont="1">
      <alignment horizontal="center" readingOrder="0"/>
    </xf>
    <xf borderId="0" fillId="15" fontId="23" numFmtId="0" xfId="0" applyAlignment="1" applyFont="1">
      <alignment horizontal="center" readingOrder="0"/>
    </xf>
    <xf borderId="0" fillId="15" fontId="1" numFmtId="0" xfId="0" applyAlignment="1" applyFont="1">
      <alignment horizontal="center" readingOrder="0"/>
    </xf>
    <xf borderId="0" fillId="0" fontId="3" numFmtId="167" xfId="0" applyAlignment="1" applyFont="1" applyNumberFormat="1">
      <alignment horizontal="center" readingOrder="0"/>
    </xf>
    <xf borderId="0" fillId="0" fontId="3" numFmtId="0" xfId="0" applyFont="1"/>
    <xf borderId="0" fillId="0" fontId="26" numFmtId="0" xfId="0" applyAlignment="1" applyFont="1">
      <alignment horizontal="center" readingOrder="0"/>
    </xf>
    <xf borderId="0" fillId="0" fontId="2" numFmtId="0" xfId="0" applyAlignment="1" applyFont="1">
      <alignment readingOrder="0"/>
    </xf>
    <xf borderId="0" fillId="0" fontId="2" numFmtId="0" xfId="0" applyFont="1"/>
    <xf borderId="0" fillId="0" fontId="13" numFmtId="0" xfId="0" applyFont="1"/>
    <xf borderId="0" fillId="18" fontId="13" numFmtId="0" xfId="0" applyAlignment="1" applyFont="1">
      <alignment readingOrder="0"/>
    </xf>
    <xf borderId="0" fillId="0" fontId="3" numFmtId="0" xfId="0" applyAlignment="1" applyFont="1">
      <alignment readingOrder="0"/>
    </xf>
    <xf borderId="0" fillId="0" fontId="7" numFmtId="11" xfId="0" applyAlignment="1" applyFont="1" applyNumberFormat="1">
      <alignment readingOrder="0"/>
    </xf>
    <xf borderId="0" fillId="18" fontId="27" numFmtId="0" xfId="0" applyAlignment="1" applyFont="1">
      <alignment readingOrder="0"/>
    </xf>
    <xf borderId="0" fillId="18" fontId="2" numFmtId="0" xfId="0" applyAlignment="1" applyFont="1">
      <alignment readingOrder="0"/>
    </xf>
    <xf borderId="0" fillId="18" fontId="26" numFmtId="0" xfId="0" applyAlignment="1" applyFont="1">
      <alignment readingOrder="0"/>
    </xf>
    <xf borderId="0" fillId="18" fontId="13" numFmtId="11" xfId="0" applyAlignment="1" applyFont="1" applyNumberFormat="1">
      <alignment readingOrder="0"/>
    </xf>
    <xf borderId="0" fillId="18" fontId="27" numFmtId="11" xfId="0" applyAlignment="1" applyFont="1" applyNumberFormat="1">
      <alignment readingOrder="0"/>
    </xf>
    <xf borderId="0" fillId="0" fontId="2" numFmtId="169" xfId="0" applyAlignment="1" applyFont="1" applyNumberFormat="1">
      <alignment horizontal="center" readingOrder="0"/>
    </xf>
    <xf borderId="0" fillId="5" fontId="3" numFmtId="49" xfId="0" applyAlignment="1" applyFont="1" applyNumberFormat="1">
      <alignment horizontal="center"/>
    </xf>
    <xf borderId="0" fillId="5" fontId="3" numFmtId="4" xfId="0" applyAlignment="1" applyFont="1" applyNumberFormat="1">
      <alignment horizontal="center" readingOrder="0"/>
    </xf>
    <xf borderId="0" fillId="5" fontId="0" numFmtId="4" xfId="0" applyAlignment="1" applyFont="1" applyNumberFormat="1">
      <alignment horizontal="center" readingOrder="0" shrinkToFit="0" vertical="bottom" wrapText="0"/>
    </xf>
    <xf borderId="0" fillId="0" fontId="0" numFmtId="0" xfId="0" applyAlignment="1" applyFont="1">
      <alignment horizontal="center" readingOrder="0" shrinkToFit="0" vertical="bottom" wrapText="0"/>
    </xf>
    <xf borderId="0" fillId="5" fontId="3" numFmtId="0" xfId="0" applyAlignment="1" applyFont="1">
      <alignment horizontal="center" readingOrder="0" shrinkToFit="0" wrapText="0"/>
    </xf>
    <xf borderId="0" fillId="5" fontId="3" numFmtId="49" xfId="0" applyAlignment="1" applyFont="1" applyNumberFormat="1">
      <alignment horizontal="center" readingOrder="0"/>
    </xf>
    <xf borderId="0" fillId="5" fontId="3" numFmtId="0" xfId="0" applyAlignment="1" applyFont="1">
      <alignment horizontal="center"/>
    </xf>
    <xf borderId="0" fillId="5" fontId="7" numFmtId="0" xfId="0" applyAlignment="1" applyFont="1">
      <alignment horizontal="center"/>
    </xf>
    <xf borderId="0" fillId="5" fontId="0" numFmtId="0" xfId="0" applyAlignment="1" applyFont="1">
      <alignment horizontal="center" readingOrder="0" shrinkToFit="0" vertical="bottom" wrapText="0"/>
    </xf>
    <xf borderId="0" fillId="0" fontId="2" numFmtId="0" xfId="0" applyAlignment="1" applyFont="1">
      <alignment horizontal="center"/>
    </xf>
    <xf borderId="0" fillId="0" fontId="3" numFmtId="169" xfId="0" applyAlignment="1" applyFont="1" applyNumberFormat="1">
      <alignment horizontal="center"/>
    </xf>
    <xf borderId="0" fillId="13" fontId="14" numFmtId="0" xfId="0" applyAlignment="1" applyFont="1">
      <alignment horizontal="center" readingOrder="0"/>
    </xf>
    <xf borderId="0" fillId="15" fontId="2" numFmtId="0" xfId="0" applyAlignment="1" applyFont="1">
      <alignment horizontal="center" readingOrder="0"/>
    </xf>
    <xf borderId="0" fillId="0" fontId="3" numFmtId="49" xfId="0" applyAlignment="1" applyFont="1" applyNumberFormat="1">
      <alignment horizontal="center" readingOrder="0"/>
    </xf>
    <xf borderId="0" fillId="0" fontId="3" numFmtId="4" xfId="0" applyAlignment="1" applyFont="1" applyNumberFormat="1">
      <alignment horizontal="center" readingOrder="0"/>
    </xf>
    <xf borderId="0" fillId="0" fontId="3" numFmtId="2" xfId="0" applyAlignment="1" applyFont="1" applyNumberFormat="1">
      <alignment horizontal="center"/>
    </xf>
    <xf borderId="0" fillId="0" fontId="7" numFmtId="170" xfId="0" applyAlignment="1" applyFont="1" applyNumberFormat="1">
      <alignment horizontal="center"/>
    </xf>
    <xf borderId="0" fillId="0" fontId="3" numFmtId="49" xfId="0" applyAlignment="1" applyFont="1" applyNumberFormat="1">
      <alignment horizontal="center"/>
    </xf>
    <xf borderId="0" fillId="0" fontId="7" numFmtId="2" xfId="0" applyAlignment="1" applyFont="1" applyNumberFormat="1">
      <alignment horizontal="center" readingOrder="0"/>
    </xf>
    <xf borderId="0" fillId="0" fontId="3" numFmtId="164" xfId="0" applyAlignment="1" applyFont="1" applyNumberFormat="1">
      <alignment horizontal="center" readingOrder="0"/>
    </xf>
    <xf borderId="0" fillId="0" fontId="2" numFmtId="2" xfId="0" applyAlignment="1" applyFont="1" applyNumberFormat="1">
      <alignment horizontal="center" readingOrder="0"/>
    </xf>
    <xf borderId="0" fillId="0" fontId="28" numFmtId="0" xfId="0" applyAlignment="1" applyFont="1">
      <alignment readingOrder="0" shrinkToFit="0" vertical="bottom" wrapText="0"/>
    </xf>
    <xf borderId="0" fillId="0" fontId="28" numFmtId="0" xfId="0" applyAlignment="1" applyFont="1">
      <alignment horizontal="right" readingOrder="0" shrinkToFit="0" vertical="bottom" wrapText="0"/>
    </xf>
    <xf borderId="0" fillId="5" fontId="3" numFmtId="0" xfId="0" applyAlignment="1" applyFont="1">
      <alignment horizontal="right" readingOrder="0"/>
    </xf>
    <xf borderId="0" fillId="5" fontId="3" numFmtId="0" xfId="0" applyAlignment="1" applyFont="1">
      <alignment horizontal="right" readingOrder="0" vertical="bottom"/>
    </xf>
    <xf borderId="0" fillId="5" fontId="7" numFmtId="0" xfId="0" applyAlignment="1" applyFont="1">
      <alignment horizontal="right" readingOrder="0"/>
    </xf>
    <xf borderId="0" fillId="5" fontId="3" numFmtId="0" xfId="0" applyAlignment="1" applyFont="1">
      <alignment horizontal="right" readingOrder="0" shrinkToFit="0" wrapText="0"/>
    </xf>
    <xf borderId="0" fillId="5" fontId="2" numFmtId="0" xfId="0" applyFont="1"/>
    <xf borderId="0" fillId="5" fontId="3" numFmtId="0" xfId="0" applyFont="1"/>
    <xf borderId="0" fillId="5" fontId="3" numFmtId="0" xfId="0" applyAlignment="1" applyFont="1">
      <alignment readingOrder="0"/>
    </xf>
    <xf borderId="0" fillId="5" fontId="2" numFmtId="0" xfId="0" applyAlignment="1" applyFont="1">
      <alignment readingOrder="0"/>
    </xf>
    <xf borderId="0" fillId="5" fontId="2" numFmtId="171" xfId="0" applyAlignment="1" applyFont="1" applyNumberFormat="1">
      <alignment readingOrder="0"/>
    </xf>
    <xf borderId="0" fillId="5" fontId="26" numFmtId="0" xfId="0" applyAlignment="1" applyFont="1">
      <alignment readingOrder="0"/>
    </xf>
    <xf borderId="0" fillId="5" fontId="3" numFmtId="172" xfId="0" applyAlignment="1" applyFont="1" applyNumberFormat="1">
      <alignment readingOrder="0"/>
    </xf>
    <xf borderId="0" fillId="5" fontId="2" numFmtId="172" xfId="0" applyAlignment="1" applyFont="1" applyNumberFormat="1">
      <alignment readingOrder="0"/>
    </xf>
    <xf borderId="0" fillId="5" fontId="3" numFmtId="173" xfId="0" applyAlignment="1" applyFont="1" applyNumberFormat="1">
      <alignment readingOrder="0"/>
    </xf>
    <xf borderId="0" fillId="5" fontId="26" numFmtId="0" xfId="0" applyFont="1"/>
    <xf borderId="0" fillId="5" fontId="26" numFmtId="0" xfId="0" applyFont="1"/>
    <xf borderId="0" fillId="5" fontId="0" numFmtId="0" xfId="0" applyAlignment="1" applyFont="1">
      <alignment horizontal="right" readingOrder="0" shrinkToFit="0" vertical="bottom" wrapText="0"/>
    </xf>
    <xf borderId="0" fillId="13" fontId="3" numFmtId="0" xfId="0" applyFont="1"/>
    <xf borderId="0" fillId="21" fontId="3" numFmtId="0" xfId="0" applyFont="1"/>
    <xf borderId="0" fillId="7" fontId="3" numFmtId="0" xfId="0" applyFont="1"/>
    <xf borderId="0" fillId="0" fontId="0" numFmtId="0" xfId="0" applyAlignment="1" applyFont="1">
      <alignment horizontal="right" readingOrder="0" shrinkToFit="0" vertical="bottom" wrapText="0"/>
    </xf>
    <xf borderId="0" fillId="0" fontId="3" numFmtId="0" xfId="0" applyAlignment="1" applyFont="1">
      <alignment readingOrder="0"/>
    </xf>
    <xf borderId="3" fillId="21" fontId="2" numFmtId="0" xfId="0" applyBorder="1" applyFont="1"/>
    <xf borderId="0" fillId="13" fontId="8" numFmtId="0" xfId="0" applyFont="1"/>
    <xf borderId="0" fillId="32" fontId="3" numFmtId="0" xfId="0" applyFill="1" applyFont="1"/>
    <xf borderId="0" fillId="0" fontId="26" numFmtId="0" xfId="0" applyFont="1"/>
    <xf borderId="0" fillId="0" fontId="2" numFmtId="171" xfId="0" applyFont="1" applyNumberFormat="1"/>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horizontal="right" vertical="bottom"/>
    </xf>
    <xf borderId="0" fillId="0" fontId="0" numFmtId="0" xfId="0" applyAlignment="1" applyFont="1">
      <alignment horizontal="right" vertical="bottom"/>
    </xf>
    <xf borderId="0" fillId="0" fontId="2" numFmtId="0" xfId="0" applyAlignment="1" applyFont="1">
      <alignment horizontal="right" vertical="bottom"/>
    </xf>
    <xf borderId="0" fillId="0" fontId="3" numFmtId="0" xfId="0" applyAlignment="1" applyFont="1">
      <alignment vertical="bottom"/>
    </xf>
    <xf borderId="0" fillId="0" fontId="26" numFmtId="0" xfId="0" applyAlignment="1" applyFont="1">
      <alignment horizontal="right" vertical="bottom"/>
    </xf>
    <xf borderId="0" fillId="0" fontId="0" numFmtId="0" xfId="0" applyAlignment="1" applyFont="1">
      <alignment horizontal="right" vertical="bottom"/>
    </xf>
    <xf borderId="0" fillId="0" fontId="2" numFmtId="174" xfId="0" applyAlignment="1" applyFont="1" applyNumberFormat="1">
      <alignment readingOrder="0"/>
    </xf>
    <xf borderId="0" fillId="18" fontId="3" numFmtId="0" xfId="0" applyFont="1"/>
    <xf borderId="3" fillId="0" fontId="2" numFmtId="0" xfId="0" applyBorder="1" applyFont="1"/>
    <xf borderId="0" fillId="18" fontId="3" numFmtId="0" xfId="0" applyAlignment="1" applyFont="1">
      <alignment readingOrder="0"/>
    </xf>
    <xf borderId="0" fillId="18" fontId="0" numFmtId="0" xfId="0" applyAlignment="1" applyFont="1">
      <alignment horizontal="right" readingOrder="0" shrinkToFit="0" vertical="bottom" wrapText="0"/>
    </xf>
    <xf borderId="3" fillId="0" fontId="2" numFmtId="0" xfId="0" applyAlignment="1" applyBorder="1" applyFont="1">
      <alignment readingOrder="0"/>
    </xf>
    <xf borderId="0" fillId="18" fontId="3" numFmtId="0" xfId="0" applyAlignment="1" applyFont="1">
      <alignment readingOrder="0"/>
    </xf>
    <xf borderId="0" fillId="0" fontId="2" numFmtId="0" xfId="0" applyAlignment="1" applyFont="1">
      <alignment horizontal="center" readingOrder="0" shrinkToFit="0" wrapText="0"/>
    </xf>
    <xf borderId="0" fillId="0" fontId="0" numFmtId="0" xfId="0" applyAlignment="1" applyFont="1">
      <alignment horizontal="center" shrinkToFit="0" wrapText="0"/>
    </xf>
    <xf borderId="0" fillId="0" fontId="0" numFmtId="167" xfId="0" applyAlignment="1" applyFont="1" applyNumberFormat="1">
      <alignment horizontal="center" readingOrder="0" shrinkToFit="0" wrapText="0"/>
    </xf>
    <xf borderId="0" fillId="0" fontId="3" numFmtId="4" xfId="0" applyAlignment="1" applyFont="1" applyNumberFormat="1">
      <alignment horizontal="center" readingOrder="0" shrinkToFit="0" vertical="bottom" wrapText="0"/>
    </xf>
    <xf borderId="0" fillId="21" fontId="4" numFmtId="4" xfId="0" applyAlignment="1" applyFont="1" applyNumberFormat="1">
      <alignment horizontal="center" shrinkToFit="0" wrapText="0"/>
    </xf>
    <xf borderId="0" fillId="28" fontId="4" numFmtId="0" xfId="0" applyAlignment="1" applyFont="1">
      <alignment horizontal="center" readingOrder="0" shrinkToFit="0" wrapText="0"/>
    </xf>
    <xf borderId="0" fillId="29" fontId="4" numFmtId="0" xfId="0" applyAlignment="1" applyFont="1">
      <alignment horizontal="center" readingOrder="0" shrinkToFit="0" wrapText="0"/>
    </xf>
    <xf borderId="0" fillId="0" fontId="3" numFmtId="4" xfId="0" applyAlignment="1" applyFont="1" applyNumberFormat="1">
      <alignment horizontal="center" readingOrder="0" shrinkToFit="0" wrapText="0"/>
    </xf>
    <xf borderId="0" fillId="21" fontId="3" numFmtId="0" xfId="0" applyAlignment="1" applyFont="1">
      <alignment horizontal="center" readingOrder="0" shrinkToFit="0" wrapText="0"/>
    </xf>
    <xf borderId="0" fillId="21" fontId="6" numFmtId="0" xfId="0" applyAlignment="1" applyFont="1">
      <alignment horizontal="center" readingOrder="0" shrinkToFit="0" wrapText="0"/>
    </xf>
    <xf borderId="0" fillId="28" fontId="0" numFmtId="0" xfId="0" applyAlignment="1" applyFont="1">
      <alignment horizontal="center" readingOrder="0" shrinkToFit="0" wrapText="0"/>
    </xf>
    <xf borderId="0" fillId="28" fontId="0" numFmtId="0" xfId="0" applyAlignment="1" applyFont="1">
      <alignment horizontal="center" shrinkToFit="0" wrapText="0"/>
    </xf>
    <xf borderId="0" fillId="29" fontId="0" numFmtId="0" xfId="0" applyAlignment="1" applyFont="1">
      <alignment horizontal="center" readingOrder="0" shrinkToFit="0" wrapText="0"/>
    </xf>
    <xf borderId="0" fillId="29" fontId="0" numFmtId="0" xfId="0" applyAlignment="1" applyFont="1">
      <alignment horizontal="center" shrinkToFit="0" wrapText="0"/>
    </xf>
    <xf borderId="0" fillId="21" fontId="5" numFmtId="4" xfId="0" applyAlignment="1" applyFont="1" applyNumberFormat="1">
      <alignment horizontal="center" readingOrder="0" shrinkToFit="0" wrapText="0"/>
    </xf>
    <xf borderId="0" fillId="29" fontId="3" numFmtId="0" xfId="0" applyAlignment="1" applyFont="1">
      <alignment horizontal="center" readingOrder="0" shrinkToFit="0" wrapText="0"/>
    </xf>
    <xf borderId="0" fillId="21" fontId="5" numFmtId="4" xfId="0" applyAlignment="1" applyFont="1" applyNumberFormat="1">
      <alignment horizontal="center" shrinkToFit="0" wrapText="0"/>
    </xf>
    <xf borderId="0" fillId="28" fontId="6" numFmtId="0" xfId="0" applyAlignment="1" applyFont="1">
      <alignment horizontal="center" readingOrder="0" shrinkToFit="0" wrapText="0"/>
    </xf>
    <xf borderId="0" fillId="29" fontId="6" numFmtId="0" xfId="0" applyAlignment="1" applyFont="1">
      <alignment horizontal="center" readingOrder="0" shrinkToFit="0" wrapText="0"/>
    </xf>
    <xf borderId="0" fillId="28" fontId="3" numFmtId="0" xfId="0" applyAlignment="1" applyFont="1">
      <alignment horizontal="center" shrinkToFit="0" wrapText="0"/>
    </xf>
    <xf borderId="0" fillId="0" fontId="3" numFmtId="2" xfId="0" applyAlignment="1" applyFont="1" applyNumberFormat="1">
      <alignment horizontal="center" readingOrder="0"/>
    </xf>
    <xf borderId="1" fillId="30" fontId="1" numFmtId="4" xfId="0" applyAlignment="1" applyBorder="1" applyFont="1" applyNumberFormat="1">
      <alignment horizontal="center" shrinkToFit="0" wrapText="0"/>
    </xf>
    <xf borderId="0" fillId="30" fontId="2" numFmtId="4" xfId="0" applyAlignment="1" applyFont="1" applyNumberFormat="1">
      <alignment horizontal="center"/>
    </xf>
    <xf borderId="0" fillId="14" fontId="29" numFmtId="0" xfId="0" applyAlignment="1" applyFont="1">
      <alignment horizontal="center" readingOrder="0"/>
    </xf>
    <xf borderId="0" fillId="14" fontId="30" numFmtId="0" xfId="0" applyAlignment="1" applyFont="1">
      <alignment horizontal="center" readingOrder="0"/>
    </xf>
    <xf borderId="0" fillId="14" fontId="31" numFmtId="0" xfId="0" applyAlignment="1" applyFont="1">
      <alignment horizontal="center" readingOrder="0"/>
    </xf>
    <xf borderId="0" fillId="14" fontId="32" numFmtId="0" xfId="0" applyAlignment="1" applyFont="1">
      <alignment horizontal="center" readingOrder="0"/>
    </xf>
    <xf borderId="0" fillId="14" fontId="13" numFmtId="0" xfId="0" applyAlignment="1" applyFont="1">
      <alignment horizontal="center" readingOrder="0"/>
    </xf>
    <xf borderId="0" fillId="14" fontId="33" numFmtId="0" xfId="0" applyAlignment="1" applyFont="1">
      <alignment horizontal="center" readingOrder="0"/>
    </xf>
    <xf borderId="0" fillId="2" fontId="34" numFmtId="0" xfId="0" applyAlignment="1" applyFont="1">
      <alignment horizontal="center" readingOrder="0"/>
    </xf>
    <xf borderId="0" fillId="2" fontId="30" numFmtId="0" xfId="0" applyAlignment="1" applyFont="1">
      <alignment horizontal="center" readingOrder="0"/>
    </xf>
    <xf borderId="0" fillId="2" fontId="32" numFmtId="0" xfId="0" applyAlignment="1" applyFont="1">
      <alignment horizontal="center" readingOrder="0"/>
    </xf>
    <xf borderId="0" fillId="2" fontId="13" numFmtId="0" xfId="0" applyAlignment="1" applyFont="1">
      <alignment horizontal="center" readingOrder="0"/>
    </xf>
    <xf borderId="0" fillId="2" fontId="33" numFmtId="0" xfId="0" applyAlignment="1" applyFont="1">
      <alignment horizontal="center" readingOrder="0"/>
    </xf>
    <xf borderId="0" fillId="9" fontId="30" numFmtId="0" xfId="0" applyAlignment="1" applyFont="1">
      <alignment horizontal="center" readingOrder="0"/>
    </xf>
    <xf borderId="0" fillId="9" fontId="31" numFmtId="0" xfId="0" applyAlignment="1" applyFont="1">
      <alignment horizontal="center" readingOrder="0"/>
    </xf>
    <xf borderId="0" fillId="9" fontId="32" numFmtId="0" xfId="0" applyAlignment="1" applyFont="1">
      <alignment horizontal="center" readingOrder="0"/>
    </xf>
    <xf borderId="0" fillId="9" fontId="13" numFmtId="0" xfId="0" applyAlignment="1" applyFont="1">
      <alignment horizontal="center" readingOrder="0"/>
    </xf>
    <xf borderId="0" fillId="9" fontId="33" numFmtId="0" xfId="0" applyAlignment="1" applyFont="1">
      <alignment horizontal="center" readingOrder="0"/>
    </xf>
    <xf borderId="0" fillId="10" fontId="31" numFmtId="0" xfId="0" applyAlignment="1" applyFont="1">
      <alignment horizontal="center" readingOrder="0"/>
    </xf>
    <xf borderId="0" fillId="10" fontId="32" numFmtId="0" xfId="0" applyAlignment="1" applyFont="1">
      <alignment horizontal="center" readingOrder="0"/>
    </xf>
    <xf borderId="0" fillId="10" fontId="13" numFmtId="0" xfId="0" applyAlignment="1" applyFont="1">
      <alignment horizontal="center" readingOrder="0"/>
    </xf>
    <xf borderId="0" fillId="10" fontId="33" numFmtId="0" xfId="0" applyAlignment="1" applyFont="1">
      <alignment horizontal="center" readingOrder="0"/>
    </xf>
    <xf borderId="0" fillId="17" fontId="32" numFmtId="0" xfId="0" applyAlignment="1" applyFont="1">
      <alignment horizontal="center" readingOrder="0"/>
    </xf>
    <xf borderId="0" fillId="17" fontId="13" numFmtId="0" xfId="0" applyAlignment="1" applyFont="1">
      <alignment horizontal="center" readingOrder="0"/>
    </xf>
    <xf borderId="0" fillId="17" fontId="33" numFmtId="0" xfId="0" applyAlignment="1" applyFont="1">
      <alignment horizontal="center" readingOrder="0"/>
    </xf>
    <xf borderId="0" fillId="8" fontId="13" numFmtId="0" xfId="0" applyAlignment="1" applyFont="1">
      <alignment horizontal="center" readingOrder="0"/>
    </xf>
    <xf borderId="0" fillId="8" fontId="33" numFmtId="0" xfId="0" applyAlignment="1" applyFont="1">
      <alignment horizontal="center" readingOrder="0"/>
    </xf>
    <xf borderId="0" fillId="13" fontId="33" numFmtId="0" xfId="0" applyAlignment="1" applyFont="1">
      <alignment horizontal="center" readingOrder="0"/>
    </xf>
    <xf borderId="0" fillId="5" fontId="7" numFmtId="0" xfId="0" applyAlignment="1" applyFont="1">
      <alignment horizontal="center"/>
    </xf>
    <xf borderId="0" fillId="0" fontId="3" numFmtId="167" xfId="0" applyAlignment="1" applyFont="1" applyNumberFormat="1">
      <alignment horizontal="center" readingOrder="0" shrinkToFit="0" vertical="bottom" wrapText="0"/>
    </xf>
    <xf borderId="0" fillId="21" fontId="3" numFmtId="4" xfId="0" applyAlignment="1" applyFont="1" applyNumberFormat="1">
      <alignment horizontal="center" readingOrder="0" shrinkToFit="0" wrapText="0"/>
    </xf>
    <xf borderId="0" fillId="28" fontId="6" numFmtId="0" xfId="0" applyAlignment="1" applyFont="1">
      <alignment horizontal="center" shrinkToFit="0" wrapText="0"/>
    </xf>
    <xf borderId="0" fillId="29" fontId="6" numFmtId="0" xfId="0" applyAlignment="1" applyFont="1">
      <alignment horizontal="center" shrinkToFit="0" wrapText="0"/>
    </xf>
    <xf borderId="0" fillId="29" fontId="3" numFmtId="0" xfId="0" applyAlignment="1" applyFont="1">
      <alignment horizontal="center" shrinkToFit="0" wrapText="0"/>
    </xf>
    <xf borderId="0" fillId="28" fontId="25" numFmtId="0" xfId="0" applyAlignment="1" applyFont="1">
      <alignment horizontal="center" readingOrder="0" shrinkToFit="0" wrapText="0"/>
    </xf>
    <xf borderId="0" fillId="29" fontId="25" numFmtId="0" xfId="0" applyAlignment="1" applyFont="1">
      <alignment horizontal="center" readingOrder="0" shrinkToFit="0" wrapText="0"/>
    </xf>
    <xf borderId="0" fillId="7" fontId="25" numFmtId="0" xfId="0" applyAlignment="1" applyFont="1">
      <alignment horizontal="center" readingOrder="0" shrinkToFit="0" wrapText="0"/>
    </xf>
    <xf borderId="0" fillId="33" fontId="3" numFmtId="0" xfId="0" applyAlignment="1" applyFill="1" applyFont="1">
      <alignment horizontal="center" readingOrder="0" shrinkToFit="0" wrapText="0"/>
    </xf>
    <xf borderId="0" fillId="33" fontId="35" numFmtId="0" xfId="0" applyAlignment="1" applyFont="1">
      <alignment horizontal="center" readingOrder="0" shrinkToFit="0" wrapText="0"/>
    </xf>
    <xf borderId="0" fillId="33" fontId="3" numFmtId="0" xfId="0" applyAlignment="1" applyFont="1">
      <alignment horizontal="center" shrinkToFit="0" wrapText="0"/>
    </xf>
    <xf borderId="0" fillId="33" fontId="35" numFmtId="0" xfId="0" applyAlignment="1" applyFont="1">
      <alignment horizontal="center" readingOrder="0" shrinkToFit="0" vertical="bottom" wrapText="0"/>
    </xf>
    <xf borderId="0" fillId="5" fontId="3" numFmtId="0" xfId="0" applyAlignment="1" applyFont="1">
      <alignment horizontal="center" shrinkToFit="0" wrapText="0"/>
    </xf>
    <xf borderId="0" fillId="33" fontId="0" numFmtId="0" xfId="0" applyAlignment="1" applyFont="1">
      <alignment horizontal="center" readingOrder="0" shrinkToFit="0" wrapText="0"/>
    </xf>
    <xf borderId="0" fillId="0" fontId="3" numFmtId="4" xfId="0" applyAlignment="1" applyFont="1" applyNumberFormat="1">
      <alignment horizontal="center" vertical="bottom"/>
    </xf>
    <xf borderId="0" fillId="0" fontId="3" numFmtId="2" xfId="0" applyAlignment="1" applyFont="1" applyNumberFormat="1">
      <alignment horizontal="center" vertical="bottom"/>
    </xf>
    <xf borderId="0" fillId="0" fontId="1" numFmtId="0" xfId="0" applyAlignment="1" applyFont="1">
      <alignment horizontal="center" shrinkToFit="0" wrapText="0"/>
    </xf>
    <xf borderId="0" fillId="12" fontId="3" numFmtId="0" xfId="0" applyAlignment="1" applyFont="1">
      <alignment horizontal="center" shrinkToFit="0" wrapText="0"/>
    </xf>
    <xf borderId="0" fillId="0" fontId="3" numFmtId="167" xfId="0" applyAlignment="1" applyFont="1" applyNumberFormat="1">
      <alignment horizontal="center" readingOrder="0" shrinkToFit="0" wrapText="0"/>
    </xf>
    <xf borderId="0" fillId="12" fontId="3" numFmtId="0" xfId="0" applyAlignment="1" applyFont="1">
      <alignment horizontal="center" readingOrder="0" shrinkToFit="0" wrapText="0"/>
    </xf>
    <xf borderId="0" fillId="12" fontId="3" numFmtId="0" xfId="0" applyAlignment="1" applyFont="1">
      <alignment horizontal="center" readingOrder="0" shrinkToFit="0" wrapText="0"/>
    </xf>
    <xf borderId="0" fillId="12" fontId="3" numFmtId="0" xfId="0" applyAlignment="1" applyFont="1">
      <alignment horizontal="center" readingOrder="0"/>
    </xf>
    <xf borderId="0" fillId="28" fontId="3" numFmtId="0" xfId="0" applyAlignment="1" applyFont="1">
      <alignment horizontal="center" readingOrder="0" shrinkToFit="0" wrapText="0"/>
    </xf>
    <xf borderId="0" fillId="28" fontId="3" numFmtId="0" xfId="0" applyAlignment="1" applyFont="1">
      <alignment horizontal="center" readingOrder="0" shrinkToFit="0" wrapText="0"/>
    </xf>
    <xf borderId="0" fillId="9" fontId="3" numFmtId="0" xfId="0" applyAlignment="1" applyFont="1">
      <alignment horizontal="center" readingOrder="0" shrinkToFit="0" wrapText="0"/>
    </xf>
    <xf borderId="0" fillId="14" fontId="3" numFmtId="0" xfId="0" applyAlignment="1" applyFont="1">
      <alignment horizontal="center" readingOrder="0" shrinkToFit="0" wrapText="0"/>
    </xf>
    <xf borderId="0" fillId="2" fontId="3" numFmtId="0" xfId="0" applyAlignment="1" applyFont="1">
      <alignment horizontal="center" readingOrder="0" shrinkToFit="0" wrapText="0"/>
    </xf>
    <xf borderId="0" fillId="29" fontId="21" numFmtId="0" xfId="0" applyAlignment="1" applyFont="1">
      <alignment horizontal="center" readingOrder="0" shrinkToFit="0" wrapText="0"/>
    </xf>
    <xf borderId="0" fillId="30" fontId="13" numFmtId="4" xfId="0" applyAlignment="1" applyFont="1" applyNumberFormat="1">
      <alignment horizontal="center"/>
    </xf>
    <xf borderId="0" fillId="33" fontId="0" numFmtId="0" xfId="0" applyAlignment="1" applyFont="1">
      <alignment horizontal="center" shrinkToFit="0" wrapText="0"/>
    </xf>
    <xf borderId="0" fillId="12" fontId="0" numFmtId="0" xfId="0" applyAlignment="1" applyFont="1">
      <alignment horizontal="center" readingOrder="0" shrinkToFit="0" wrapText="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15" fontId="2" numFmtId="0" xfId="0" applyAlignment="1" applyFont="1">
      <alignment horizontal="center" readingOrder="0" shrinkToFit="0" wrapText="0"/>
    </xf>
    <xf borderId="0" fillId="0" fontId="0" numFmtId="175" xfId="0" applyAlignment="1" applyFont="1" applyNumberFormat="1">
      <alignment horizontal="center" readingOrder="0" shrinkToFit="0" wrapText="0"/>
    </xf>
    <xf borderId="0" fillId="0" fontId="0" numFmtId="165" xfId="0" applyAlignment="1" applyFont="1" applyNumberFormat="1">
      <alignment horizontal="center" readingOrder="0" shrinkToFit="0" vertical="bottom" wrapText="0"/>
    </xf>
    <xf borderId="0" fillId="33" fontId="3" numFmtId="0" xfId="0" applyAlignment="1" applyFont="1">
      <alignment horizontal="center" readingOrder="0"/>
    </xf>
    <xf borderId="0" fillId="30" fontId="1" numFmtId="4" xfId="0" applyAlignment="1" applyFont="1" applyNumberFormat="1">
      <alignment horizontal="center" shrinkToFit="0" wrapText="0"/>
    </xf>
    <xf borderId="0" fillId="0" fontId="7" numFmtId="174" xfId="0" applyAlignment="1" applyFont="1" applyNumberFormat="1">
      <alignment horizontal="center" readingOrder="0"/>
    </xf>
    <xf borderId="0" fillId="29" fontId="7" numFmtId="0" xfId="0" applyAlignment="1" applyFont="1">
      <alignment horizontal="center" readingOrder="0"/>
    </xf>
    <xf borderId="0" fillId="7" fontId="17" numFmtId="0" xfId="0" applyAlignment="1" applyFont="1">
      <alignment horizontal="center" readingOrder="0"/>
    </xf>
    <xf borderId="0" fillId="34" fontId="36" numFmtId="0" xfId="0" applyAlignment="1" applyFill="1" applyFont="1">
      <alignment horizontal="center" readingOrder="0"/>
    </xf>
    <xf borderId="0" fillId="34" fontId="8" numFmtId="0" xfId="0" applyAlignment="1" applyFont="1">
      <alignment horizontal="center" shrinkToFit="0" wrapText="0"/>
    </xf>
    <xf borderId="0" fillId="34" fontId="8" numFmtId="0" xfId="0" applyAlignment="1" applyFont="1">
      <alignment horizontal="center"/>
    </xf>
    <xf borderId="0" fillId="2" fontId="37" numFmtId="0" xfId="0" applyAlignment="1" applyFont="1">
      <alignment horizontal="center" readingOrder="0"/>
    </xf>
    <xf borderId="0" fillId="33" fontId="7" numFmtId="0" xfId="0" applyAlignment="1" applyFont="1">
      <alignment horizontal="center" readingOrder="0"/>
    </xf>
    <xf borderId="0" fillId="5" fontId="7" numFmtId="0" xfId="0" applyAlignment="1" applyFont="1">
      <alignment horizontal="center" readingOrder="0"/>
    </xf>
    <xf borderId="0" fillId="7" fontId="37" numFmtId="0" xfId="0" applyAlignment="1" applyFont="1">
      <alignment horizontal="center" readingOrder="0"/>
    </xf>
    <xf borderId="2" fillId="30" fontId="1" numFmtId="4" xfId="0" applyAlignment="1" applyBorder="1" applyFont="1" applyNumberFormat="1">
      <alignment horizontal="center" shrinkToFit="0" wrapText="0"/>
    </xf>
    <xf borderId="0" fillId="14" fontId="19" numFmtId="0" xfId="0" applyAlignment="1" applyFont="1">
      <alignment horizontal="center" vertical="bottom"/>
    </xf>
    <xf borderId="0" fillId="14" fontId="20" numFmtId="2" xfId="0" applyAlignment="1" applyFont="1" applyNumberFormat="1">
      <alignment horizontal="center" vertical="bottom"/>
    </xf>
    <xf borderId="0" fillId="14" fontId="21" numFmtId="0" xfId="0" applyAlignment="1" applyFont="1">
      <alignment horizontal="center" vertical="bottom"/>
    </xf>
    <xf borderId="0" fillId="14" fontId="22" numFmtId="0" xfId="0" applyAlignment="1" applyFont="1">
      <alignment horizontal="center" vertical="bottom"/>
    </xf>
    <xf borderId="0" fillId="14" fontId="23" numFmtId="0" xfId="0" applyAlignment="1" applyFont="1">
      <alignment horizontal="center" vertical="bottom"/>
    </xf>
    <xf borderId="0" fillId="14" fontId="2" numFmtId="0" xfId="0" applyAlignment="1" applyFont="1">
      <alignment horizontal="center" readingOrder="0" vertical="bottom"/>
    </xf>
    <xf borderId="0" fillId="14" fontId="24" numFmtId="0" xfId="0" applyAlignment="1" applyFont="1">
      <alignment horizontal="center" readingOrder="0" vertical="bottom"/>
    </xf>
    <xf borderId="0" fillId="2" fontId="20" numFmtId="0" xfId="0" applyAlignment="1" applyFont="1">
      <alignment horizontal="center" vertical="bottom"/>
    </xf>
    <xf borderId="0" fillId="2" fontId="21" numFmtId="0" xfId="0" applyAlignment="1" applyFont="1">
      <alignment horizontal="center" vertical="bottom"/>
    </xf>
    <xf borderId="0" fillId="2" fontId="22" numFmtId="2" xfId="0" applyAlignment="1" applyFont="1" applyNumberFormat="1">
      <alignment horizontal="center" vertical="bottom"/>
    </xf>
    <xf borderId="0" fillId="2" fontId="23" numFmtId="0" xfId="0" applyAlignment="1" applyFont="1">
      <alignment horizontal="center" vertical="bottom"/>
    </xf>
    <xf borderId="0" fillId="2" fontId="2" numFmtId="0" xfId="0" applyAlignment="1" applyFont="1">
      <alignment horizontal="center" readingOrder="0" vertical="bottom"/>
    </xf>
    <xf borderId="0" fillId="2" fontId="24" numFmtId="0" xfId="0" applyAlignment="1" applyFont="1">
      <alignment horizontal="center" readingOrder="0" vertical="bottom"/>
    </xf>
    <xf borderId="0" fillId="9" fontId="21" numFmtId="0" xfId="0" applyAlignment="1" applyFont="1">
      <alignment horizontal="center" vertical="bottom"/>
    </xf>
    <xf borderId="0" fillId="9" fontId="22" numFmtId="0" xfId="0" applyAlignment="1" applyFont="1">
      <alignment horizontal="center" vertical="bottom"/>
    </xf>
    <xf borderId="0" fillId="9" fontId="23" numFmtId="0" xfId="0" applyAlignment="1" applyFont="1">
      <alignment horizontal="center" vertical="bottom"/>
    </xf>
    <xf borderId="0" fillId="9" fontId="2" numFmtId="0" xfId="0" applyAlignment="1" applyFont="1">
      <alignment horizontal="center" readingOrder="0" vertical="bottom"/>
    </xf>
    <xf borderId="0" fillId="9" fontId="24" numFmtId="0" xfId="0" applyAlignment="1" applyFont="1">
      <alignment horizontal="center" readingOrder="0" vertical="bottom"/>
    </xf>
    <xf borderId="0" fillId="10" fontId="22" numFmtId="0" xfId="0" applyAlignment="1" applyFont="1">
      <alignment horizontal="center" vertical="bottom"/>
    </xf>
    <xf borderId="0" fillId="10" fontId="23" numFmtId="0" xfId="0" applyAlignment="1" applyFont="1">
      <alignment horizontal="center" vertical="bottom"/>
    </xf>
    <xf borderId="0" fillId="10" fontId="2" numFmtId="0" xfId="0" applyAlignment="1" applyFont="1">
      <alignment horizontal="center" readingOrder="0" vertical="bottom"/>
    </xf>
    <xf borderId="0" fillId="10" fontId="24" numFmtId="0" xfId="0" applyAlignment="1" applyFont="1">
      <alignment horizontal="center" readingOrder="0" vertical="bottom"/>
    </xf>
    <xf borderId="0" fillId="17" fontId="23" numFmtId="0" xfId="0" applyAlignment="1" applyFont="1">
      <alignment horizontal="center" vertical="bottom"/>
    </xf>
    <xf borderId="0" fillId="17" fontId="2" numFmtId="0" xfId="0" applyAlignment="1" applyFont="1">
      <alignment horizontal="center" readingOrder="0" vertical="bottom"/>
    </xf>
    <xf borderId="0" fillId="17" fontId="24" numFmtId="0" xfId="0" applyAlignment="1" applyFont="1">
      <alignment horizontal="center" readingOrder="0" vertical="bottom"/>
    </xf>
    <xf borderId="0" fillId="8" fontId="2" numFmtId="0" xfId="0" applyAlignment="1" applyFont="1">
      <alignment horizontal="center" readingOrder="0" vertical="bottom"/>
    </xf>
    <xf borderId="0" fillId="8" fontId="24" numFmtId="0" xfId="0" applyAlignment="1" applyFont="1">
      <alignment horizontal="center" readingOrder="0" vertical="bottom"/>
    </xf>
    <xf borderId="0" fillId="13" fontId="24" numFmtId="0" xfId="0" applyAlignment="1" applyFont="1">
      <alignment horizontal="center" readingOrder="0" vertical="bottom"/>
    </xf>
    <xf borderId="0" fillId="5" fontId="3" numFmtId="0" xfId="0" applyAlignment="1" applyFont="1">
      <alignment horizontal="center" vertical="bottom"/>
    </xf>
    <xf borderId="0" fillId="35" fontId="1" numFmtId="0" xfId="0" applyAlignment="1" applyFill="1" applyFont="1">
      <alignment horizontal="center" readingOrder="0" shrinkToFit="0" wrapText="0"/>
    </xf>
    <xf borderId="0" fillId="36" fontId="1" numFmtId="0" xfId="0" applyAlignment="1" applyFill="1" applyFont="1">
      <alignment horizontal="center" readingOrder="0" shrinkToFit="0" wrapText="0"/>
    </xf>
    <xf borderId="0" fillId="0" fontId="7" numFmtId="49" xfId="0" applyAlignment="1" applyFont="1" applyNumberFormat="1">
      <alignment horizontal="center" readingOrder="0"/>
    </xf>
    <xf borderId="0" fillId="35" fontId="7" numFmtId="0" xfId="0" applyAlignment="1" applyFont="1">
      <alignment horizontal="center" readingOrder="0"/>
    </xf>
    <xf borderId="0" fillId="36" fontId="7" numFmtId="0" xfId="0" applyAlignment="1" applyFont="1">
      <alignment horizontal="center" readingOrder="0"/>
    </xf>
    <xf borderId="0" fillId="0" fontId="3" numFmtId="0" xfId="0" applyAlignment="1" applyFont="1">
      <alignment horizontal="center" shrinkToFit="0" wrapText="0"/>
    </xf>
    <xf borderId="0" fillId="36" fontId="11" numFmtId="0" xfId="0" applyAlignment="1" applyFont="1">
      <alignment horizontal="center" readingOrder="0"/>
    </xf>
    <xf borderId="0" fillId="30" fontId="3" numFmtId="0" xfId="0" applyAlignment="1" applyFont="1">
      <alignment horizontal="center" readingOrder="0"/>
    </xf>
    <xf borderId="0" fillId="31" fontId="3" numFmtId="0" xfId="0" applyAlignment="1" applyFont="1">
      <alignment horizontal="center" readingOrder="0"/>
    </xf>
    <xf borderId="0" fillId="36" fontId="16" numFmtId="0" xfId="0" applyAlignment="1" applyFont="1">
      <alignment horizontal="center" readingOrder="0"/>
    </xf>
    <xf borderId="0" fillId="35" fontId="11" numFmtId="0" xfId="0" applyAlignment="1" applyFont="1">
      <alignment horizontal="center" readingOrder="0"/>
    </xf>
    <xf borderId="0" fillId="0" fontId="1" numFmtId="2" xfId="0" applyAlignment="1" applyFont="1" applyNumberFormat="1">
      <alignment horizontal="center" shrinkToFit="0" wrapText="0"/>
    </xf>
    <xf borderId="0" fillId="16" fontId="7" numFmtId="49" xfId="0" applyAlignment="1" applyFont="1" applyNumberFormat="1">
      <alignment horizontal="center" readingOrder="0"/>
    </xf>
    <xf borderId="0" fillId="16" fontId="3" numFmtId="0" xfId="0" applyAlignment="1" applyFont="1">
      <alignment horizontal="center" shrinkToFit="0" wrapText="0"/>
    </xf>
    <xf borderId="0" fillId="16" fontId="35" numFmtId="0" xfId="0" applyAlignment="1" applyFont="1">
      <alignment horizontal="center" shrinkToFit="0" wrapText="0"/>
    </xf>
    <xf borderId="0" fillId="11" fontId="7" numFmtId="49" xfId="0" applyAlignment="1" applyFont="1" applyNumberFormat="1">
      <alignment horizontal="center" readingOrder="0"/>
    </xf>
    <xf borderId="0" fillId="11" fontId="35" numFmtId="0" xfId="0" applyAlignment="1" applyFont="1">
      <alignment horizontal="center" readingOrder="0" shrinkToFit="0" wrapText="0"/>
    </xf>
    <xf borderId="0" fillId="16" fontId="38" numFmtId="0" xfId="0" applyAlignment="1" applyFont="1">
      <alignment horizontal="center" readingOrder="0"/>
    </xf>
    <xf borderId="0" fillId="33" fontId="38" numFmtId="0" xfId="0" applyAlignment="1" applyFont="1">
      <alignment horizontal="center" readingOrder="0"/>
    </xf>
    <xf borderId="0" fillId="11" fontId="3" numFmtId="0" xfId="0" applyAlignment="1" applyFont="1">
      <alignment horizontal="center" readingOrder="0"/>
    </xf>
    <xf borderId="0" fillId="11" fontId="38" numFmtId="0" xfId="0" applyAlignment="1" applyFont="1">
      <alignment horizontal="center" readingOrder="0"/>
    </xf>
    <xf borderId="0" fillId="16" fontId="35" numFmtId="0" xfId="0" applyAlignment="1" applyFont="1">
      <alignment horizontal="center" readingOrder="0" shrinkToFit="0" wrapText="0"/>
    </xf>
    <xf borderId="0" fillId="2" fontId="7" numFmtId="49" xfId="0" applyAlignment="1" applyFont="1" applyNumberFormat="1">
      <alignment horizontal="center" readingOrder="0"/>
    </xf>
    <xf borderId="0" fillId="35" fontId="16" numFmtId="0" xfId="0" applyAlignment="1" applyFont="1">
      <alignment horizontal="center" readingOrder="0"/>
    </xf>
    <xf borderId="0" fillId="3" fontId="7" numFmtId="49" xfId="0" applyAlignment="1" applyFont="1" applyNumberFormat="1">
      <alignment horizontal="center" readingOrder="0"/>
    </xf>
    <xf borderId="0" fillId="3" fontId="38" numFmtId="0" xfId="0" applyAlignment="1" applyFont="1">
      <alignment horizontal="center" readingOrder="0"/>
    </xf>
    <xf borderId="0" fillId="3" fontId="35" numFmtId="0" xfId="0" applyAlignment="1" applyFont="1">
      <alignment horizontal="center" readingOrder="0" shrinkToFit="0" wrapText="0"/>
    </xf>
    <xf borderId="0" fillId="16" fontId="35" numFmtId="0" xfId="0" applyAlignment="1" applyFont="1">
      <alignment horizontal="center" shrinkToFit="0" wrapText="0"/>
    </xf>
    <xf borderId="0" fillId="10" fontId="3" numFmtId="0" xfId="0" applyAlignment="1" applyFont="1">
      <alignment horizontal="center" readingOrder="0"/>
    </xf>
    <xf borderId="0" fillId="11" fontId="35" numFmtId="0" xfId="0" applyAlignment="1" applyFont="1">
      <alignment horizontal="center" readingOrder="0" shrinkToFit="0" vertical="bottom" wrapText="0"/>
    </xf>
    <xf borderId="0" fillId="36" fontId="17" numFmtId="0" xfId="0" applyAlignment="1" applyFont="1">
      <alignment horizontal="center" readingOrder="0"/>
    </xf>
    <xf borderId="0" fillId="16" fontId="0" numFmtId="0" xfId="0" applyAlignment="1" applyFont="1">
      <alignment horizontal="center" shrinkToFit="0" wrapText="0"/>
    </xf>
    <xf borderId="1" fillId="30" fontId="1" numFmtId="2" xfId="0" applyAlignment="1" applyBorder="1" applyFont="1" applyNumberFormat="1">
      <alignment horizontal="center" shrinkToFit="0" wrapText="0"/>
    </xf>
    <xf borderId="2" fillId="30" fontId="1" numFmtId="2" xfId="0" applyAlignment="1" applyBorder="1" applyFont="1" applyNumberFormat="1">
      <alignment horizontal="center" shrinkToFit="0" wrapText="0"/>
    </xf>
    <xf borderId="0" fillId="30" fontId="1" numFmtId="2" xfId="0" applyAlignment="1" applyFont="1" applyNumberFormat="1">
      <alignment horizontal="center" shrinkToFit="0" wrapText="0"/>
    </xf>
    <xf borderId="0" fillId="0" fontId="7" numFmtId="164" xfId="0" applyAlignment="1" applyFont="1" applyNumberFormat="1">
      <alignment horizontal="center" readingOrder="0"/>
    </xf>
    <xf borderId="0" fillId="35" fontId="7" numFmtId="0" xfId="0" applyAlignment="1" applyFont="1">
      <alignment horizontal="center" readingOrder="0"/>
    </xf>
    <xf borderId="0" fillId="36" fontId="7" numFmtId="0" xfId="0" applyAlignment="1" applyFont="1">
      <alignment horizontal="center" readingOrder="0"/>
    </xf>
    <xf borderId="0" fillId="16" fontId="38" numFmtId="0" xfId="0" applyAlignment="1" applyFont="1">
      <alignment horizontal="center" readingOrder="0"/>
    </xf>
    <xf borderId="0" fillId="16" fontId="3" numFmtId="0" xfId="0" applyAlignment="1" applyFont="1">
      <alignment horizontal="center" readingOrder="0" shrinkToFit="0" wrapText="0"/>
    </xf>
    <xf borderId="0" fillId="11" fontId="35" numFmtId="0" xfId="0" applyAlignment="1" applyFont="1">
      <alignment horizontal="center" shrinkToFit="0" wrapText="0"/>
    </xf>
    <xf borderId="0" fillId="3" fontId="3" numFmtId="0" xfId="0" applyAlignment="1" applyFont="1">
      <alignment horizontal="center" shrinkToFit="0" wrapText="0"/>
    </xf>
    <xf borderId="0" fillId="3" fontId="35" numFmtId="0" xfId="0" applyAlignment="1" applyFont="1">
      <alignment horizontal="center" shrinkToFit="0" wrapText="0"/>
    </xf>
    <xf borderId="0" fillId="11" fontId="3" numFmtId="0" xfId="0" applyAlignment="1" applyFont="1">
      <alignment horizontal="center" shrinkToFit="0" wrapText="0"/>
    </xf>
    <xf borderId="0" fillId="11" fontId="3" numFmtId="0" xfId="0" applyAlignment="1" applyFont="1">
      <alignment horizontal="center" readingOrder="0" shrinkToFit="0" wrapText="0"/>
    </xf>
    <xf borderId="0" fillId="11" fontId="35" numFmtId="0" xfId="0" applyAlignment="1" applyFont="1">
      <alignment horizontal="center" readingOrder="0"/>
    </xf>
    <xf borderId="0" fillId="16" fontId="3" numFmtId="0" xfId="0" applyAlignment="1" applyFont="1">
      <alignment horizontal="center" readingOrder="0"/>
    </xf>
    <xf borderId="0" fillId="16" fontId="35" numFmtId="0" xfId="0" applyAlignment="1" applyFont="1">
      <alignment horizontal="center" readingOrder="0" shrinkToFit="0" vertical="bottom" wrapText="0"/>
    </xf>
    <xf borderId="0" fillId="0" fontId="1" numFmtId="49" xfId="0" applyAlignment="1" applyFont="1" applyNumberFormat="1">
      <alignment horizontal="center" shrinkToFit="0" wrapText="0"/>
    </xf>
    <xf borderId="0" fillId="0" fontId="3" numFmtId="167" xfId="0" applyAlignment="1" applyFont="1" applyNumberFormat="1">
      <alignment horizontal="center" readingOrder="0" vertical="bottom"/>
    </xf>
    <xf borderId="0" fillId="0" fontId="4" numFmtId="4" xfId="0" applyAlignment="1" applyFont="1" applyNumberFormat="1">
      <alignment horizontal="center" readingOrder="0" shrinkToFit="0" vertical="top" wrapText="0"/>
    </xf>
    <xf borderId="0" fillId="0" fontId="12" numFmtId="0" xfId="0" applyAlignment="1" applyFont="1">
      <alignment horizontal="center" readingOrder="0" shrinkToFit="0" wrapText="0"/>
    </xf>
    <xf borderId="0" fillId="0" fontId="3" numFmtId="0" xfId="0" applyAlignment="1" applyFont="1">
      <alignment horizontal="center" readingOrder="0" shrinkToFit="0" vertical="top" wrapText="0"/>
    </xf>
    <xf borderId="0" fillId="35" fontId="4" numFmtId="0" xfId="0" applyAlignment="1" applyFont="1">
      <alignment horizontal="center" readingOrder="0" shrinkToFit="0" wrapText="0"/>
    </xf>
    <xf borderId="0" fillId="36" fontId="3" numFmtId="0" xfId="0" applyAlignment="1" applyFont="1">
      <alignment horizontal="center" readingOrder="0" shrinkToFit="0" wrapText="0"/>
    </xf>
    <xf borderId="0" fillId="32" fontId="4" numFmtId="0" xfId="0" applyAlignment="1" applyFont="1">
      <alignment horizontal="center" readingOrder="0" shrinkToFit="0" wrapText="0"/>
    </xf>
    <xf borderId="0" fillId="35" fontId="0" numFmtId="0" xfId="0" applyAlignment="1" applyFont="1">
      <alignment horizontal="center" readingOrder="0" shrinkToFit="0" wrapText="0"/>
    </xf>
    <xf borderId="0" fillId="32" fontId="0" numFmtId="0" xfId="0" applyAlignment="1" applyFont="1">
      <alignment horizontal="center" readingOrder="0" shrinkToFit="0" wrapText="0"/>
    </xf>
    <xf borderId="0" fillId="35" fontId="6" numFmtId="0" xfId="0" applyAlignment="1" applyFont="1">
      <alignment horizontal="center" readingOrder="0" shrinkToFit="0" wrapText="0"/>
    </xf>
    <xf borderId="0" fillId="36" fontId="6" numFmtId="0" xfId="0" applyAlignment="1" applyFont="1">
      <alignment horizontal="center" readingOrder="0" shrinkToFit="0" wrapText="0"/>
    </xf>
    <xf borderId="0" fillId="9" fontId="3" numFmtId="0" xfId="0" applyAlignment="1" applyFont="1">
      <alignment horizontal="center" readingOrder="0"/>
    </xf>
    <xf borderId="0" fillId="35" fontId="0" numFmtId="0" xfId="0" applyAlignment="1" applyFont="1">
      <alignment horizontal="center" readingOrder="0" shrinkToFit="0" wrapText="0"/>
    </xf>
    <xf borderId="0" fillId="32" fontId="7" numFmtId="0" xfId="0" applyAlignment="1" applyFont="1">
      <alignment horizontal="center" readingOrder="0"/>
    </xf>
    <xf borderId="0" fillId="36" fontId="4" numFmtId="0" xfId="0" applyAlignment="1" applyFont="1">
      <alignment horizontal="center" readingOrder="0" shrinkToFit="0" wrapText="0"/>
    </xf>
    <xf borderId="0" fillId="32" fontId="11" numFmtId="0" xfId="0" applyAlignment="1" applyFont="1">
      <alignment horizontal="center" readingOrder="0"/>
    </xf>
    <xf borderId="0" fillId="16" fontId="3" numFmtId="49" xfId="0" applyAlignment="1" applyFont="1" applyNumberFormat="1">
      <alignment horizontal="center" vertical="bottom"/>
    </xf>
    <xf borderId="0" fillId="0" fontId="3" numFmtId="49" xfId="0" applyAlignment="1" applyFont="1" applyNumberFormat="1">
      <alignment vertical="bottom"/>
    </xf>
    <xf borderId="0" fillId="0" fontId="3" numFmtId="0" xfId="0" applyAlignment="1" applyFont="1">
      <alignment vertical="bottom"/>
    </xf>
    <xf borderId="0" fillId="16" fontId="3" numFmtId="0" xfId="0" applyAlignment="1" applyFont="1">
      <alignment horizontal="center" vertical="bottom"/>
    </xf>
    <xf borderId="0" fillId="32" fontId="16" numFmtId="0" xfId="0" applyAlignment="1" applyFont="1">
      <alignment horizontal="center" readingOrder="0"/>
    </xf>
    <xf borderId="0" fillId="16" fontId="35" numFmtId="0" xfId="0" applyAlignment="1" applyFont="1">
      <alignment horizontal="center" readingOrder="0"/>
    </xf>
    <xf borderId="0" fillId="0" fontId="4" numFmtId="0" xfId="0" applyAlignment="1" applyFont="1">
      <alignment horizontal="center" readingOrder="0" shrinkToFit="0" vertical="top" wrapText="0"/>
    </xf>
    <xf borderId="0" fillId="0" fontId="10" numFmtId="4" xfId="0" applyAlignment="1" applyFont="1" applyNumberFormat="1">
      <alignment horizontal="center" vertical="bottom"/>
    </xf>
    <xf borderId="0" fillId="5" fontId="3" numFmtId="0" xfId="0" applyAlignment="1" applyFont="1">
      <alignment horizontal="center" readingOrder="0" vertical="bottom"/>
    </xf>
    <xf borderId="0" fillId="32" fontId="3" numFmtId="0" xfId="0" applyAlignment="1" applyFont="1">
      <alignment horizontal="center" readingOrder="0" shrinkToFit="0" wrapText="0"/>
    </xf>
    <xf borderId="0" fillId="34" fontId="8" numFmtId="0" xfId="0" applyAlignment="1" applyFont="1">
      <alignment horizontal="center" readingOrder="0" shrinkToFit="0" wrapText="0"/>
    </xf>
    <xf borderId="0" fillId="3" fontId="3" numFmtId="0" xfId="0" applyAlignment="1" applyFont="1">
      <alignment horizontal="center" readingOrder="0" shrinkToFit="0" wrapText="0"/>
    </xf>
    <xf borderId="0" fillId="32" fontId="6" numFmtId="0" xfId="0" applyAlignment="1" applyFont="1">
      <alignment horizontal="center" readingOrder="0" shrinkToFit="0" wrapText="0"/>
    </xf>
    <xf borderId="0" fillId="34" fontId="8" numFmtId="0" xfId="0" applyAlignment="1" applyFont="1">
      <alignment horizontal="center" readingOrder="0"/>
    </xf>
    <xf borderId="0" fillId="0" fontId="5" numFmtId="4" xfId="0" applyAlignment="1" applyFont="1" applyNumberFormat="1">
      <alignment horizontal="center" readingOrder="0" shrinkToFit="0" vertical="top" wrapText="0"/>
    </xf>
    <xf borderId="0" fillId="3" fontId="35" numFmtId="0" xfId="0" applyAlignment="1" applyFont="1">
      <alignment horizontal="center" readingOrder="0"/>
    </xf>
    <xf borderId="0" fillId="17" fontId="3" numFmtId="0" xfId="0" applyAlignment="1" applyFont="1">
      <alignment horizontal="center" readingOrder="0"/>
    </xf>
    <xf borderId="0" fillId="14" fontId="3" numFmtId="0" xfId="0" applyAlignment="1" applyFont="1">
      <alignment horizontal="center" readingOrder="0"/>
    </xf>
    <xf borderId="0" fillId="5" fontId="3" numFmtId="0" xfId="0" applyAlignment="1" applyFont="1">
      <alignment horizontal="center" shrinkToFit="0" wrapText="0"/>
    </xf>
    <xf borderId="0" fillId="0" fontId="0" numFmtId="167" xfId="0" applyAlignment="1" applyFont="1" applyNumberFormat="1">
      <alignment horizontal="center" readingOrder="0" shrinkToFit="0" vertical="bottom" wrapText="0"/>
    </xf>
    <xf borderId="0" fillId="21" fontId="3" numFmtId="0" xfId="0" applyAlignment="1" applyFont="1">
      <alignment horizontal="center" readingOrder="0"/>
    </xf>
    <xf borderId="0" fillId="36" fontId="3" numFmtId="0" xfId="0" applyAlignment="1" applyFont="1">
      <alignment horizontal="center" readingOrder="0"/>
    </xf>
    <xf borderId="0" fillId="32" fontId="3" numFmtId="0" xfId="0" applyAlignment="1" applyFont="1">
      <alignment horizontal="center" readingOrder="0"/>
    </xf>
    <xf borderId="0" fillId="0" fontId="39" numFmtId="0" xfId="0" applyAlignment="1" applyFont="1">
      <alignment horizontal="center" readingOrder="0" shrinkToFit="0" wrapText="0"/>
    </xf>
    <xf borderId="0" fillId="36" fontId="6" numFmtId="0" xfId="0" applyAlignment="1" applyFont="1">
      <alignment horizontal="center" vertical="bottom"/>
    </xf>
    <xf borderId="0" fillId="13" fontId="8" numFmtId="0" xfId="0" applyAlignment="1" applyFont="1">
      <alignment horizontal="center" readingOrder="0"/>
    </xf>
    <xf borderId="0" fillId="2" fontId="3" numFmtId="0" xfId="0" applyAlignment="1" applyFont="1">
      <alignment horizontal="center" readingOrder="0"/>
    </xf>
    <xf borderId="0" fillId="0" fontId="3" numFmtId="0" xfId="0" applyAlignment="1" applyFont="1">
      <alignment horizontal="left"/>
    </xf>
    <xf borderId="0" fillId="0" fontId="3" numFmtId="0" xfId="0" applyAlignment="1" applyFont="1">
      <alignment horizontal="left" readingOrder="0"/>
    </xf>
    <xf borderId="0" fillId="0" fontId="4" numFmtId="4" xfId="0" applyAlignment="1" applyFont="1" applyNumberFormat="1">
      <alignment horizontal="center" readingOrder="0"/>
    </xf>
    <xf borderId="0" fillId="36" fontId="3" numFmtId="0" xfId="0" applyAlignment="1" applyFont="1">
      <alignment horizontal="center" readingOrder="0" shrinkToFit="0" wrapText="0"/>
    </xf>
    <xf borderId="0" fillId="17" fontId="0" numFmtId="0" xfId="0" applyAlignment="1" applyFont="1">
      <alignment horizontal="center" readingOrder="0"/>
    </xf>
    <xf borderId="0" fillId="0" fontId="0" numFmtId="2" xfId="0" applyAlignment="1" applyFont="1" applyNumberFormat="1">
      <alignment horizontal="center" shrinkToFit="0" wrapText="0"/>
    </xf>
    <xf borderId="0" fillId="32" fontId="6" numFmtId="0" xfId="0" applyAlignment="1" applyFont="1">
      <alignment horizontal="center" readingOrder="0"/>
    </xf>
    <xf borderId="0" fillId="0" fontId="35" numFmtId="0" xfId="0" applyAlignment="1" applyFont="1">
      <alignment horizontal="center" readingOrder="0"/>
    </xf>
    <xf borderId="0" fillId="0" fontId="35" numFmtId="0" xfId="0" applyAlignment="1" applyFont="1">
      <alignment horizontal="center" readingOrder="0" shrinkToFit="0" vertical="bottom" wrapText="0"/>
    </xf>
    <xf borderId="0" fillId="0" fontId="3" numFmtId="165" xfId="0" applyAlignment="1" applyFont="1" applyNumberFormat="1">
      <alignment horizontal="center" readingOrder="0"/>
    </xf>
    <xf borderId="0" fillId="0" fontId="3" numFmtId="176" xfId="0" applyAlignment="1" applyFont="1" applyNumberFormat="1">
      <alignment horizontal="center" readingOrder="0"/>
    </xf>
    <xf borderId="0" fillId="28" fontId="3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Bartonella species relative counts in captive colony</a:t>
            </a:r>
          </a:p>
        </c:rich>
      </c:tx>
      <c:overlay val="0"/>
    </c:title>
    <c:plotArea>
      <c:layout/>
      <c:barChart>
        <c:barDir val="col"/>
        <c:grouping val="stacked"/>
        <c:ser>
          <c:idx val="0"/>
          <c:order val="0"/>
          <c:tx>
            <c:strRef>
              <c:f>Frequency!$B$32</c:f>
            </c:strRef>
          </c:tx>
          <c:spPr>
            <a:solidFill>
              <a:srgbClr val="FF0000"/>
            </a:solidFill>
            <a:ln cmpd="sng">
              <a:solidFill>
                <a:srgbClr val="000000"/>
              </a:solidFill>
            </a:ln>
          </c:spPr>
          <c:cat>
            <c:strRef>
              <c:f>Frequency!$A$33:$A$34</c:f>
            </c:strRef>
          </c:cat>
          <c:val>
            <c:numRef>
              <c:f>Frequency!$B$33:$B$34</c:f>
              <c:numCache/>
            </c:numRef>
          </c:val>
        </c:ser>
        <c:ser>
          <c:idx val="1"/>
          <c:order val="1"/>
          <c:tx>
            <c:strRef>
              <c:f>Frequency!$C$32</c:f>
            </c:strRef>
          </c:tx>
          <c:spPr>
            <a:solidFill>
              <a:srgbClr val="FFFF00"/>
            </a:solidFill>
            <a:ln cmpd="sng">
              <a:solidFill>
                <a:srgbClr val="000000"/>
              </a:solidFill>
            </a:ln>
          </c:spPr>
          <c:cat>
            <c:strRef>
              <c:f>Frequency!$A$33:$A$34</c:f>
            </c:strRef>
          </c:cat>
          <c:val>
            <c:numRef>
              <c:f>Frequency!$C$33:$C$34</c:f>
              <c:numCache/>
            </c:numRef>
          </c:val>
        </c:ser>
        <c:ser>
          <c:idx val="2"/>
          <c:order val="2"/>
          <c:tx>
            <c:strRef>
              <c:f>Frequency!$D$32</c:f>
            </c:strRef>
          </c:tx>
          <c:spPr>
            <a:solidFill>
              <a:srgbClr val="109618"/>
            </a:solidFill>
            <a:ln cmpd="sng">
              <a:solidFill>
                <a:srgbClr val="000000"/>
              </a:solidFill>
            </a:ln>
          </c:spPr>
          <c:cat>
            <c:strRef>
              <c:f>Frequency!$A$33:$A$34</c:f>
            </c:strRef>
          </c:cat>
          <c:val>
            <c:numRef>
              <c:f>Frequency!$D$33:$D$34</c:f>
              <c:numCache/>
            </c:numRef>
          </c:val>
        </c:ser>
        <c:ser>
          <c:idx val="3"/>
          <c:order val="3"/>
          <c:tx>
            <c:strRef>
              <c:f>Frequency!$E$32</c:f>
            </c:strRef>
          </c:tx>
          <c:spPr>
            <a:solidFill>
              <a:srgbClr val="3366CC"/>
            </a:solidFill>
            <a:ln cmpd="sng">
              <a:solidFill>
                <a:srgbClr val="000000"/>
              </a:solidFill>
            </a:ln>
          </c:spPr>
          <c:cat>
            <c:strRef>
              <c:f>Frequency!$A$33:$A$34</c:f>
            </c:strRef>
          </c:cat>
          <c:val>
            <c:numRef>
              <c:f>Frequency!$E$33:$E$34</c:f>
              <c:numCache/>
            </c:numRef>
          </c:val>
        </c:ser>
        <c:ser>
          <c:idx val="4"/>
          <c:order val="4"/>
          <c:tx>
            <c:strRef>
              <c:f>Frequency!$F$32</c:f>
            </c:strRef>
          </c:tx>
          <c:spPr>
            <a:solidFill>
              <a:srgbClr val="9900FF"/>
            </a:solidFill>
            <a:ln cmpd="sng">
              <a:solidFill>
                <a:srgbClr val="000000"/>
              </a:solidFill>
            </a:ln>
          </c:spPr>
          <c:cat>
            <c:strRef>
              <c:f>Frequency!$A$33:$A$34</c:f>
            </c:strRef>
          </c:cat>
          <c:val>
            <c:numRef>
              <c:f>Frequency!$F$33:$F$34</c:f>
              <c:numCache/>
            </c:numRef>
          </c:val>
        </c:ser>
        <c:ser>
          <c:idx val="5"/>
          <c:order val="5"/>
          <c:tx>
            <c:strRef>
              <c:f>Frequency!$G$32</c:f>
            </c:strRef>
          </c:tx>
          <c:spPr>
            <a:solidFill>
              <a:srgbClr val="783F04"/>
            </a:solidFill>
            <a:ln cmpd="sng">
              <a:solidFill>
                <a:srgbClr val="000000"/>
              </a:solidFill>
            </a:ln>
          </c:spPr>
          <c:cat>
            <c:strRef>
              <c:f>Frequency!$A$33:$A$34</c:f>
            </c:strRef>
          </c:cat>
          <c:val>
            <c:numRef>
              <c:f>Frequency!$G$33:$G$34</c:f>
              <c:numCache/>
            </c:numRef>
          </c:val>
        </c:ser>
        <c:ser>
          <c:idx val="6"/>
          <c:order val="6"/>
          <c:tx>
            <c:strRef>
              <c:f>Frequency!$H$32</c:f>
            </c:strRef>
          </c:tx>
          <c:spPr>
            <a:solidFill>
              <a:srgbClr val="000000"/>
            </a:solidFill>
            <a:ln cmpd="sng">
              <a:solidFill>
                <a:srgbClr val="000000"/>
              </a:solidFill>
            </a:ln>
          </c:spPr>
          <c:cat>
            <c:strRef>
              <c:f>Frequency!$A$33:$A$34</c:f>
            </c:strRef>
          </c:cat>
          <c:val>
            <c:numRef>
              <c:f>Frequency!$H$33:$H$34</c:f>
              <c:numCache/>
            </c:numRef>
          </c:val>
        </c:ser>
        <c:ser>
          <c:idx val="7"/>
          <c:order val="7"/>
          <c:tx>
            <c:strRef>
              <c:f>Frequency!$I$32</c:f>
            </c:strRef>
          </c:tx>
          <c:spPr>
            <a:solidFill>
              <a:srgbClr val="FF00FF"/>
            </a:solidFill>
            <a:ln cmpd="sng">
              <a:solidFill>
                <a:srgbClr val="000000"/>
              </a:solidFill>
            </a:ln>
          </c:spPr>
          <c:cat>
            <c:strRef>
              <c:f>Frequency!$A$33:$A$34</c:f>
            </c:strRef>
          </c:cat>
          <c:val>
            <c:numRef>
              <c:f>Frequency!$I$33:$I$34</c:f>
              <c:numCache/>
            </c:numRef>
          </c:val>
        </c:ser>
        <c:overlap val="100"/>
        <c:axId val="889268266"/>
        <c:axId val="1291219186"/>
      </c:barChart>
      <c:catAx>
        <c:axId val="889268266"/>
        <c:scaling>
          <c:orientation val="minMax"/>
        </c:scaling>
        <c:delete val="0"/>
        <c:axPos val="b"/>
        <c:title>
          <c:tx>
            <c:rich>
              <a:bodyPr/>
              <a:lstStyle/>
              <a:p>
                <a:pPr lvl="0">
                  <a:defRPr b="1" i="0" sz="1400">
                    <a:solidFill>
                      <a:srgbClr val="222222"/>
                    </a:solidFill>
                    <a:latin typeface="Roboto"/>
                  </a:defRPr>
                </a:pPr>
                <a:r>
                  <a:rPr b="1" i="0" sz="1400">
                    <a:solidFill>
                      <a:srgbClr val="222222"/>
                    </a:solidFill>
                    <a:latin typeface="Roboto"/>
                  </a:rPr>
                  <a:t>Date</a:t>
                </a:r>
              </a:p>
            </c:rich>
          </c:tx>
          <c:overlay val="0"/>
        </c:title>
        <c:numFmt formatCode="General" sourceLinked="1"/>
        <c:majorTickMark val="none"/>
        <c:minorTickMark val="none"/>
        <c:spPr/>
        <c:txPr>
          <a:bodyPr rot="-3600000"/>
          <a:lstStyle/>
          <a:p>
            <a:pPr lvl="0">
              <a:defRPr b="0" sz="1000">
                <a:solidFill>
                  <a:srgbClr val="222222"/>
                </a:solidFill>
                <a:latin typeface="Roboto"/>
              </a:defRPr>
            </a:pPr>
          </a:p>
        </c:txPr>
        <c:crossAx val="1291219186"/>
      </c:catAx>
      <c:valAx>
        <c:axId val="12912191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sz="1400">
                    <a:solidFill>
                      <a:srgbClr val="222222"/>
                    </a:solidFill>
                    <a:latin typeface="Roboto"/>
                  </a:defRPr>
                </a:pPr>
                <a:r>
                  <a:rPr b="1" i="0" sz="1400">
                    <a:solidFill>
                      <a:srgbClr val="222222"/>
                    </a:solidFill>
                    <a:latin typeface="Roboto"/>
                  </a:rPr>
                  <a:t>Bartonella species relative counts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889268266"/>
      </c:valAx>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Bartonella species relative abundance in captive colony</a:t>
            </a:r>
          </a:p>
        </c:rich>
      </c:tx>
      <c:overlay val="0"/>
    </c:title>
    <c:plotArea>
      <c:layout/>
      <c:barChart>
        <c:barDir val="col"/>
        <c:grouping val="stacked"/>
        <c:ser>
          <c:idx val="0"/>
          <c:order val="0"/>
          <c:tx>
            <c:strRef>
              <c:f>Frequency!$B$67</c:f>
            </c:strRef>
          </c:tx>
          <c:spPr>
            <a:solidFill>
              <a:srgbClr val="FF0000"/>
            </a:solidFill>
            <a:ln cmpd="sng">
              <a:solidFill>
                <a:srgbClr val="000000"/>
              </a:solidFill>
            </a:ln>
          </c:spPr>
          <c:cat>
            <c:strRef>
              <c:f>Frequency!$A$68:$A$69</c:f>
            </c:strRef>
          </c:cat>
          <c:val>
            <c:numRef>
              <c:f>Frequency!$B$68:$B$69</c:f>
              <c:numCache/>
            </c:numRef>
          </c:val>
        </c:ser>
        <c:ser>
          <c:idx val="1"/>
          <c:order val="1"/>
          <c:tx>
            <c:strRef>
              <c:f>Frequency!$C$67</c:f>
            </c:strRef>
          </c:tx>
          <c:spPr>
            <a:solidFill>
              <a:srgbClr val="FFFF00"/>
            </a:solidFill>
            <a:ln cmpd="sng">
              <a:solidFill>
                <a:srgbClr val="000000"/>
              </a:solidFill>
            </a:ln>
          </c:spPr>
          <c:cat>
            <c:strRef>
              <c:f>Frequency!$A$68:$A$69</c:f>
            </c:strRef>
          </c:cat>
          <c:val>
            <c:numRef>
              <c:f>Frequency!$C$68:$C$69</c:f>
              <c:numCache/>
            </c:numRef>
          </c:val>
        </c:ser>
        <c:ser>
          <c:idx val="2"/>
          <c:order val="2"/>
          <c:tx>
            <c:strRef>
              <c:f>Frequency!$D$67</c:f>
            </c:strRef>
          </c:tx>
          <c:spPr>
            <a:solidFill>
              <a:srgbClr val="109618"/>
            </a:solidFill>
            <a:ln cmpd="sng">
              <a:solidFill>
                <a:srgbClr val="000000"/>
              </a:solidFill>
            </a:ln>
          </c:spPr>
          <c:cat>
            <c:strRef>
              <c:f>Frequency!$A$68:$A$69</c:f>
            </c:strRef>
          </c:cat>
          <c:val>
            <c:numRef>
              <c:f>Frequency!$D$68:$D$69</c:f>
              <c:numCache/>
            </c:numRef>
          </c:val>
        </c:ser>
        <c:ser>
          <c:idx val="3"/>
          <c:order val="3"/>
          <c:tx>
            <c:strRef>
              <c:f>Frequency!$E$67</c:f>
            </c:strRef>
          </c:tx>
          <c:spPr>
            <a:solidFill>
              <a:srgbClr val="3366CC"/>
            </a:solidFill>
            <a:ln cmpd="sng">
              <a:solidFill>
                <a:srgbClr val="000000"/>
              </a:solidFill>
            </a:ln>
          </c:spPr>
          <c:cat>
            <c:strRef>
              <c:f>Frequency!$A$68:$A$69</c:f>
            </c:strRef>
          </c:cat>
          <c:val>
            <c:numRef>
              <c:f>Frequency!$E$68:$E$69</c:f>
              <c:numCache/>
            </c:numRef>
          </c:val>
        </c:ser>
        <c:ser>
          <c:idx val="4"/>
          <c:order val="4"/>
          <c:tx>
            <c:strRef>
              <c:f>Frequency!$F$67</c:f>
            </c:strRef>
          </c:tx>
          <c:spPr>
            <a:solidFill>
              <a:srgbClr val="9900FF"/>
            </a:solidFill>
            <a:ln cmpd="sng">
              <a:solidFill>
                <a:srgbClr val="000000"/>
              </a:solidFill>
            </a:ln>
          </c:spPr>
          <c:cat>
            <c:strRef>
              <c:f>Frequency!$A$68:$A$69</c:f>
            </c:strRef>
          </c:cat>
          <c:val>
            <c:numRef>
              <c:f>Frequency!$F$68:$F$69</c:f>
              <c:numCache/>
            </c:numRef>
          </c:val>
        </c:ser>
        <c:ser>
          <c:idx val="5"/>
          <c:order val="5"/>
          <c:tx>
            <c:strRef>
              <c:f>Frequency!$G$67</c:f>
            </c:strRef>
          </c:tx>
          <c:spPr>
            <a:solidFill>
              <a:srgbClr val="783F04"/>
            </a:solidFill>
            <a:ln cmpd="sng">
              <a:solidFill>
                <a:srgbClr val="000000"/>
              </a:solidFill>
            </a:ln>
          </c:spPr>
          <c:cat>
            <c:strRef>
              <c:f>Frequency!$A$68:$A$69</c:f>
            </c:strRef>
          </c:cat>
          <c:val>
            <c:numRef>
              <c:f>Frequency!$G$68:$G$69</c:f>
              <c:numCache/>
            </c:numRef>
          </c:val>
        </c:ser>
        <c:ser>
          <c:idx val="6"/>
          <c:order val="6"/>
          <c:tx>
            <c:strRef>
              <c:f>Frequency!$H$67</c:f>
            </c:strRef>
          </c:tx>
          <c:spPr>
            <a:solidFill>
              <a:srgbClr val="000000"/>
            </a:solidFill>
            <a:ln cmpd="sng">
              <a:solidFill>
                <a:srgbClr val="000000"/>
              </a:solidFill>
            </a:ln>
          </c:spPr>
          <c:cat>
            <c:strRef>
              <c:f>Frequency!$A$68:$A$69</c:f>
            </c:strRef>
          </c:cat>
          <c:val>
            <c:numRef>
              <c:f>Frequency!$H$68:$H$69</c:f>
              <c:numCache/>
            </c:numRef>
          </c:val>
        </c:ser>
        <c:ser>
          <c:idx val="7"/>
          <c:order val="7"/>
          <c:tx>
            <c:strRef>
              <c:f>Frequency!$I$67</c:f>
            </c:strRef>
          </c:tx>
          <c:spPr>
            <a:solidFill>
              <a:srgbClr val="FF00FF"/>
            </a:solidFill>
            <a:ln cmpd="sng">
              <a:solidFill>
                <a:srgbClr val="000000"/>
              </a:solidFill>
            </a:ln>
          </c:spPr>
          <c:cat>
            <c:strRef>
              <c:f>Frequency!$A$68:$A$69</c:f>
            </c:strRef>
          </c:cat>
          <c:val>
            <c:numRef>
              <c:f>Frequency!$I$68:$I$69</c:f>
              <c:numCache/>
            </c:numRef>
          </c:val>
        </c:ser>
        <c:overlap val="100"/>
        <c:axId val="1363154207"/>
        <c:axId val="1938927765"/>
      </c:barChart>
      <c:catAx>
        <c:axId val="1363154207"/>
        <c:scaling>
          <c:orientation val="minMax"/>
        </c:scaling>
        <c:delete val="0"/>
        <c:axPos val="b"/>
        <c:title>
          <c:tx>
            <c:rich>
              <a:bodyPr/>
              <a:lstStyle/>
              <a:p>
                <a:pPr lvl="0">
                  <a:defRPr b="1" i="0" sz="1400">
                    <a:solidFill>
                      <a:srgbClr val="222222"/>
                    </a:solidFill>
                    <a:latin typeface="Roboto"/>
                  </a:defRPr>
                </a:pPr>
                <a:r>
                  <a:rPr b="1" i="0" sz="1400">
                    <a:solidFill>
                      <a:srgbClr val="222222"/>
                    </a:solidFill>
                    <a:latin typeface="Roboto"/>
                  </a:rPr>
                  <a:t>Date</a:t>
                </a:r>
              </a:p>
            </c:rich>
          </c:tx>
          <c:overlay val="0"/>
        </c:title>
        <c:numFmt formatCode="General" sourceLinked="1"/>
        <c:majorTickMark val="none"/>
        <c:minorTickMark val="none"/>
        <c:spPr/>
        <c:txPr>
          <a:bodyPr rot="-3600000"/>
          <a:lstStyle/>
          <a:p>
            <a:pPr lvl="0">
              <a:defRPr b="0" sz="1000">
                <a:solidFill>
                  <a:srgbClr val="222222"/>
                </a:solidFill>
                <a:latin typeface="Roboto"/>
              </a:defRPr>
            </a:pPr>
          </a:p>
        </c:txPr>
        <c:crossAx val="1938927765"/>
      </c:catAx>
      <c:valAx>
        <c:axId val="19389277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sz="1400">
                    <a:solidFill>
                      <a:srgbClr val="222222"/>
                    </a:solidFill>
                    <a:latin typeface="Roboto"/>
                  </a:defRPr>
                </a:pPr>
                <a:r>
                  <a:rPr b="1" i="0" sz="1400">
                    <a:solidFill>
                      <a:srgbClr val="222222"/>
                    </a:solidFill>
                    <a:latin typeface="Roboto"/>
                  </a:rPr>
                  <a:t>Bartonella species relative counts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63154207"/>
      </c:valAx>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Bartonella prevalence in captive colony</a:t>
            </a:r>
          </a:p>
        </c:rich>
      </c:tx>
      <c:overlay val="0"/>
    </c:title>
    <c:plotArea>
      <c:layout/>
      <c:lineChart>
        <c:ser>
          <c:idx val="0"/>
          <c:order val="0"/>
          <c:tx>
            <c:strRef>
              <c:f>Prevalence!$B$1</c:f>
            </c:strRef>
          </c:tx>
          <c:spPr>
            <a:ln cmpd="sng" w="38100">
              <a:solidFill>
                <a:srgbClr val="FF0000">
                  <a:alpha val="100000"/>
                </a:srgbClr>
              </a:solidFill>
            </a:ln>
          </c:spPr>
          <c:marker>
            <c:symbol val="none"/>
          </c:marker>
          <c:cat>
            <c:strRef>
              <c:f>Prevalence!$A$2:$A$15</c:f>
            </c:strRef>
          </c:cat>
          <c:val>
            <c:numRef>
              <c:f>Prevalence!$B$2:$B$15</c:f>
              <c:numCache/>
            </c:numRef>
          </c:val>
          <c:smooth val="0"/>
        </c:ser>
        <c:ser>
          <c:idx val="1"/>
          <c:order val="1"/>
          <c:tx>
            <c:strRef>
              <c:f>Prevalence!$C$1</c:f>
            </c:strRef>
          </c:tx>
          <c:spPr>
            <a:ln cmpd="sng" w="38100">
              <a:solidFill>
                <a:srgbClr val="FF9900">
                  <a:alpha val="100000"/>
                </a:srgbClr>
              </a:solidFill>
            </a:ln>
          </c:spPr>
          <c:marker>
            <c:symbol val="none"/>
          </c:marker>
          <c:cat>
            <c:strRef>
              <c:f>Prevalence!$A$2:$A$15</c:f>
            </c:strRef>
          </c:cat>
          <c:val>
            <c:numRef>
              <c:f>Prevalence!$C$2:$C$15</c:f>
              <c:numCache/>
            </c:numRef>
          </c:val>
          <c:smooth val="0"/>
        </c:ser>
        <c:ser>
          <c:idx val="2"/>
          <c:order val="2"/>
          <c:tx>
            <c:strRef>
              <c:f>Prevalence!$D$1</c:f>
            </c:strRef>
          </c:tx>
          <c:spPr>
            <a:ln cmpd="sng" w="38100">
              <a:solidFill>
                <a:srgbClr val="109618">
                  <a:alpha val="100000"/>
                </a:srgbClr>
              </a:solidFill>
            </a:ln>
          </c:spPr>
          <c:marker>
            <c:symbol val="none"/>
          </c:marker>
          <c:cat>
            <c:strRef>
              <c:f>Prevalence!$A$2:$A$15</c:f>
            </c:strRef>
          </c:cat>
          <c:val>
            <c:numRef>
              <c:f>Prevalence!$D$2:$D$15</c:f>
              <c:numCache/>
            </c:numRef>
          </c:val>
          <c:smooth val="0"/>
        </c:ser>
        <c:ser>
          <c:idx val="3"/>
          <c:order val="3"/>
          <c:tx>
            <c:strRef>
              <c:f>Prevalence!$E$1</c:f>
            </c:strRef>
          </c:tx>
          <c:spPr>
            <a:ln cmpd="sng" w="38100">
              <a:solidFill>
                <a:srgbClr val="3366CC">
                  <a:alpha val="100000"/>
                </a:srgbClr>
              </a:solidFill>
            </a:ln>
          </c:spPr>
          <c:marker>
            <c:symbol val="none"/>
          </c:marker>
          <c:cat>
            <c:strRef>
              <c:f>Prevalence!$A$2:$A$15</c:f>
            </c:strRef>
          </c:cat>
          <c:val>
            <c:numRef>
              <c:f>Prevalence!$E$2:$E$15</c:f>
              <c:numCache/>
            </c:numRef>
          </c:val>
          <c:smooth val="0"/>
        </c:ser>
        <c:axId val="565664594"/>
        <c:axId val="1442339342"/>
      </c:lineChart>
      <c:catAx>
        <c:axId val="565664594"/>
        <c:scaling>
          <c:orientation val="minMax"/>
        </c:scaling>
        <c:delete val="0"/>
        <c:axPos val="b"/>
        <c:title>
          <c:tx>
            <c:rich>
              <a:bodyPr/>
              <a:lstStyle/>
              <a:p>
                <a:pPr lvl="0">
                  <a:defRPr b="1" i="0" sz="1400">
                    <a:solidFill>
                      <a:srgbClr val="222222"/>
                    </a:solidFill>
                    <a:latin typeface="Roboto"/>
                  </a:defRPr>
                </a:pPr>
                <a:r>
                  <a:rPr b="1" i="0" sz="1400">
                    <a:solidFill>
                      <a:srgbClr val="222222"/>
                    </a:solidFill>
                    <a:latin typeface="Roboto"/>
                  </a:rPr>
                  <a:t>Date</a:t>
                </a:r>
              </a:p>
            </c:rich>
          </c:tx>
          <c:overlay val="0"/>
        </c:title>
        <c:numFmt formatCode="General" sourceLinked="1"/>
        <c:majorTickMark val="none"/>
        <c:minorTickMark val="none"/>
        <c:spPr/>
        <c:txPr>
          <a:bodyPr rot="-3600000"/>
          <a:lstStyle/>
          <a:p>
            <a:pPr lvl="0">
              <a:defRPr b="0" sz="1000">
                <a:solidFill>
                  <a:srgbClr val="222222"/>
                </a:solidFill>
                <a:latin typeface="Roboto"/>
              </a:defRPr>
            </a:pPr>
          </a:p>
        </c:txPr>
        <c:crossAx val="1442339342"/>
      </c:catAx>
      <c:valAx>
        <c:axId val="14423393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sz="1400">
                    <a:solidFill>
                      <a:srgbClr val="222222"/>
                    </a:solidFill>
                    <a:latin typeface="Roboto"/>
                  </a:defRPr>
                </a:pPr>
                <a:r>
                  <a:rPr b="1" i="0" sz="1400">
                    <a:solidFill>
                      <a:srgbClr val="222222"/>
                    </a:solidFill>
                    <a:latin typeface="Roboto"/>
                  </a:rPr>
                  <a:t>Bartonella prevalence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65664594"/>
      </c:valAx>
    </c:plotArea>
    <c:legend>
      <c:legendPos val="r"/>
      <c:overlay val="0"/>
      <c:txPr>
        <a:bodyPr/>
        <a:lstStyle/>
        <a:p>
          <a:pPr lvl="0">
            <a:defRPr b="0">
              <a:solidFill>
                <a:srgbClr val="000000"/>
              </a:solidFill>
              <a:latin typeface="Roboto"/>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Bartonella species relative counts in captive colony</a:t>
            </a:r>
          </a:p>
        </c:rich>
      </c:tx>
      <c:overlay val="0"/>
    </c:title>
    <c:plotArea>
      <c:layout/>
      <c:barChart>
        <c:barDir val="col"/>
        <c:grouping val="stacked"/>
        <c:ser>
          <c:idx val="0"/>
          <c:order val="0"/>
          <c:tx>
            <c:strRef>
              <c:f>Prevalence!$B$33</c:f>
            </c:strRef>
          </c:tx>
          <c:spPr>
            <a:solidFill>
              <a:srgbClr val="FF0000"/>
            </a:solidFill>
            <a:ln cmpd="sng">
              <a:solidFill>
                <a:srgbClr val="000000"/>
              </a:solidFill>
            </a:ln>
          </c:spPr>
          <c:cat>
            <c:strRef>
              <c:f>Prevalence!$A$34:$A$47</c:f>
            </c:strRef>
          </c:cat>
          <c:val>
            <c:numRef>
              <c:f>Prevalence!$B$34:$B$47</c:f>
              <c:numCache/>
            </c:numRef>
          </c:val>
        </c:ser>
        <c:ser>
          <c:idx val="1"/>
          <c:order val="1"/>
          <c:tx>
            <c:strRef>
              <c:f>Prevalence!$C$33</c:f>
            </c:strRef>
          </c:tx>
          <c:spPr>
            <a:solidFill>
              <a:srgbClr val="FFFF00"/>
            </a:solidFill>
            <a:ln cmpd="sng">
              <a:solidFill>
                <a:srgbClr val="000000"/>
              </a:solidFill>
            </a:ln>
          </c:spPr>
          <c:cat>
            <c:strRef>
              <c:f>Prevalence!$A$34:$A$47</c:f>
            </c:strRef>
          </c:cat>
          <c:val>
            <c:numRef>
              <c:f>Prevalence!$C$34:$C$47</c:f>
              <c:numCache/>
            </c:numRef>
          </c:val>
        </c:ser>
        <c:ser>
          <c:idx val="2"/>
          <c:order val="2"/>
          <c:tx>
            <c:strRef>
              <c:f>Prevalence!$D$33</c:f>
            </c:strRef>
          </c:tx>
          <c:spPr>
            <a:solidFill>
              <a:srgbClr val="109618"/>
            </a:solidFill>
            <a:ln cmpd="sng">
              <a:solidFill>
                <a:srgbClr val="000000"/>
              </a:solidFill>
            </a:ln>
          </c:spPr>
          <c:cat>
            <c:strRef>
              <c:f>Prevalence!$A$34:$A$47</c:f>
            </c:strRef>
          </c:cat>
          <c:val>
            <c:numRef>
              <c:f>Prevalence!$D$34:$D$47</c:f>
              <c:numCache/>
            </c:numRef>
          </c:val>
        </c:ser>
        <c:ser>
          <c:idx val="3"/>
          <c:order val="3"/>
          <c:tx>
            <c:strRef>
              <c:f>Prevalence!$E$33</c:f>
            </c:strRef>
          </c:tx>
          <c:spPr>
            <a:solidFill>
              <a:srgbClr val="3366CC"/>
            </a:solidFill>
            <a:ln cmpd="sng">
              <a:solidFill>
                <a:srgbClr val="000000"/>
              </a:solidFill>
            </a:ln>
          </c:spPr>
          <c:cat>
            <c:strRef>
              <c:f>Prevalence!$A$34:$A$47</c:f>
            </c:strRef>
          </c:cat>
          <c:val>
            <c:numRef>
              <c:f>Prevalence!$E$34:$E$47</c:f>
              <c:numCache/>
            </c:numRef>
          </c:val>
        </c:ser>
        <c:ser>
          <c:idx val="4"/>
          <c:order val="4"/>
          <c:tx>
            <c:strRef>
              <c:f>Prevalence!$F$33</c:f>
            </c:strRef>
          </c:tx>
          <c:spPr>
            <a:solidFill>
              <a:srgbClr val="9900FF"/>
            </a:solidFill>
            <a:ln cmpd="sng">
              <a:solidFill>
                <a:srgbClr val="000000"/>
              </a:solidFill>
            </a:ln>
          </c:spPr>
          <c:cat>
            <c:strRef>
              <c:f>Prevalence!$A$34:$A$47</c:f>
            </c:strRef>
          </c:cat>
          <c:val>
            <c:numRef>
              <c:f>Prevalence!$F$34:$F$47</c:f>
              <c:numCache/>
            </c:numRef>
          </c:val>
        </c:ser>
        <c:ser>
          <c:idx val="5"/>
          <c:order val="5"/>
          <c:tx>
            <c:strRef>
              <c:f>Prevalence!$G$33</c:f>
            </c:strRef>
          </c:tx>
          <c:spPr>
            <a:solidFill>
              <a:srgbClr val="783F04"/>
            </a:solidFill>
            <a:ln cmpd="sng">
              <a:solidFill>
                <a:srgbClr val="000000"/>
              </a:solidFill>
            </a:ln>
          </c:spPr>
          <c:cat>
            <c:strRef>
              <c:f>Prevalence!$A$34:$A$47</c:f>
            </c:strRef>
          </c:cat>
          <c:val>
            <c:numRef>
              <c:f>Prevalence!$G$34:$G$47</c:f>
              <c:numCache/>
            </c:numRef>
          </c:val>
        </c:ser>
        <c:ser>
          <c:idx val="6"/>
          <c:order val="6"/>
          <c:tx>
            <c:strRef>
              <c:f>Prevalence!$H$33</c:f>
            </c:strRef>
          </c:tx>
          <c:spPr>
            <a:solidFill>
              <a:srgbClr val="000000"/>
            </a:solidFill>
            <a:ln cmpd="sng">
              <a:solidFill>
                <a:srgbClr val="000000"/>
              </a:solidFill>
            </a:ln>
          </c:spPr>
          <c:cat>
            <c:strRef>
              <c:f>Prevalence!$A$34:$A$47</c:f>
            </c:strRef>
          </c:cat>
          <c:val>
            <c:numRef>
              <c:f>Prevalence!$H$34:$H$47</c:f>
              <c:numCache/>
            </c:numRef>
          </c:val>
        </c:ser>
        <c:ser>
          <c:idx val="7"/>
          <c:order val="7"/>
          <c:tx>
            <c:strRef>
              <c:f>Prevalence!$I$33</c:f>
            </c:strRef>
          </c:tx>
          <c:spPr>
            <a:solidFill>
              <a:srgbClr val="FF00FF"/>
            </a:solidFill>
            <a:ln cmpd="sng">
              <a:solidFill>
                <a:srgbClr val="000000"/>
              </a:solidFill>
            </a:ln>
          </c:spPr>
          <c:cat>
            <c:strRef>
              <c:f>Prevalence!$A$34:$A$47</c:f>
            </c:strRef>
          </c:cat>
          <c:val>
            <c:numRef>
              <c:f>Prevalence!$I$34:$I$47</c:f>
              <c:numCache/>
            </c:numRef>
          </c:val>
        </c:ser>
        <c:overlap val="100"/>
        <c:axId val="748156611"/>
        <c:axId val="1557979744"/>
      </c:barChart>
      <c:catAx>
        <c:axId val="748156611"/>
        <c:scaling>
          <c:orientation val="minMax"/>
        </c:scaling>
        <c:delete val="0"/>
        <c:axPos val="b"/>
        <c:title>
          <c:tx>
            <c:rich>
              <a:bodyPr/>
              <a:lstStyle/>
              <a:p>
                <a:pPr lvl="0">
                  <a:defRPr b="1" i="0" sz="1400">
                    <a:solidFill>
                      <a:srgbClr val="222222"/>
                    </a:solidFill>
                    <a:latin typeface="Roboto"/>
                  </a:defRPr>
                </a:pPr>
                <a:r>
                  <a:rPr b="1" i="0" sz="1400">
                    <a:solidFill>
                      <a:srgbClr val="222222"/>
                    </a:solidFill>
                    <a:latin typeface="Roboto"/>
                  </a:rPr>
                  <a:t>Date</a:t>
                </a:r>
              </a:p>
            </c:rich>
          </c:tx>
          <c:overlay val="0"/>
        </c:title>
        <c:numFmt formatCode="General" sourceLinked="1"/>
        <c:majorTickMark val="none"/>
        <c:minorTickMark val="none"/>
        <c:spPr/>
        <c:txPr>
          <a:bodyPr rot="-3600000"/>
          <a:lstStyle/>
          <a:p>
            <a:pPr lvl="0">
              <a:defRPr b="0" sz="1000">
                <a:solidFill>
                  <a:srgbClr val="222222"/>
                </a:solidFill>
                <a:latin typeface="Roboto"/>
              </a:defRPr>
            </a:pPr>
          </a:p>
        </c:txPr>
        <c:crossAx val="1557979744"/>
      </c:catAx>
      <c:valAx>
        <c:axId val="15579797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sz="1400">
                    <a:solidFill>
                      <a:srgbClr val="222222"/>
                    </a:solidFill>
                    <a:latin typeface="Roboto"/>
                  </a:defRPr>
                </a:pPr>
                <a:r>
                  <a:rPr b="1" i="0" sz="1400">
                    <a:solidFill>
                      <a:srgbClr val="222222"/>
                    </a:solidFill>
                    <a:latin typeface="Roboto"/>
                  </a:rPr>
                  <a:t>Bartonella species relative counts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748156611"/>
      </c:valAx>
    </c:plotArea>
    <c:legend>
      <c:legendPos val="r"/>
      <c:overlay val="0"/>
      <c:txPr>
        <a:bodyPr/>
        <a:lstStyle/>
        <a:p>
          <a:pPr lvl="0">
            <a:defRPr b="0">
              <a:solidFill>
                <a:srgbClr val="000000"/>
              </a:solidFill>
              <a:latin typeface="Roboto"/>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Bartonella species diversity in captive colony</a:t>
            </a:r>
          </a:p>
        </c:rich>
      </c:tx>
      <c:overlay val="0"/>
    </c:title>
    <c:plotArea>
      <c:layout/>
      <c:lineChart>
        <c:ser>
          <c:idx val="0"/>
          <c:order val="0"/>
          <c:tx>
            <c:strRef>
              <c:f>Prevalence!$K$59</c:f>
            </c:strRef>
          </c:tx>
          <c:spPr>
            <a:ln cmpd="sng" w="38100">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Prevalence!$A$60:$A$77</c:f>
            </c:strRef>
          </c:cat>
          <c:val>
            <c:numRef>
              <c:f>Prevalence!$K$60:$K$73</c:f>
              <c:numCache/>
            </c:numRef>
          </c:val>
          <c:smooth val="0"/>
        </c:ser>
        <c:ser>
          <c:idx val="1"/>
          <c:order val="1"/>
          <c:tx>
            <c:strRef>
              <c:f>Prevalence!$L$33</c:f>
            </c:strRef>
          </c:tx>
          <c:spPr>
            <a:ln cmpd="sng">
              <a:solidFill>
                <a:srgbClr val="DC3912"/>
              </a:solidFill>
            </a:ln>
          </c:spPr>
          <c:marker>
            <c:symbol val="none"/>
          </c:marker>
          <c:cat>
            <c:strRef>
              <c:f>Prevalence!$A$60:$A$77</c:f>
            </c:strRef>
          </c:cat>
          <c:val>
            <c:numRef>
              <c:f>Prevalence!$L$34:$L$47</c:f>
              <c:numCache/>
            </c:numRef>
          </c:val>
          <c:smooth val="0"/>
        </c:ser>
        <c:axId val="1198153838"/>
        <c:axId val="299416873"/>
      </c:lineChart>
      <c:catAx>
        <c:axId val="1198153838"/>
        <c:scaling>
          <c:orientation val="minMax"/>
        </c:scaling>
        <c:delete val="0"/>
        <c:axPos val="b"/>
        <c:title>
          <c:tx>
            <c:rich>
              <a:bodyPr/>
              <a:lstStyle/>
              <a:p>
                <a:pPr lvl="0">
                  <a:defRPr b="1" i="0" sz="1400">
                    <a:solidFill>
                      <a:srgbClr val="222222"/>
                    </a:solidFill>
                    <a:latin typeface="Roboto"/>
                  </a:defRPr>
                </a:pPr>
                <a:r>
                  <a:rPr b="1" i="0" sz="1400">
                    <a:solidFill>
                      <a:srgbClr val="222222"/>
                    </a:solidFill>
                    <a:latin typeface="Roboto"/>
                  </a:rPr>
                  <a:t>Date</a:t>
                </a:r>
              </a:p>
            </c:rich>
          </c:tx>
          <c:overlay val="0"/>
        </c:title>
        <c:numFmt formatCode="General" sourceLinked="1"/>
        <c:majorTickMark val="none"/>
        <c:minorTickMark val="none"/>
        <c:spPr/>
        <c:txPr>
          <a:bodyPr rot="-3600000"/>
          <a:lstStyle/>
          <a:p>
            <a:pPr lvl="0">
              <a:defRPr b="0" sz="1000">
                <a:solidFill>
                  <a:srgbClr val="222222"/>
                </a:solidFill>
                <a:latin typeface="Roboto"/>
              </a:defRPr>
            </a:pPr>
          </a:p>
        </c:txPr>
        <c:crossAx val="299416873"/>
      </c:catAx>
      <c:valAx>
        <c:axId val="2994168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sz="1400">
                    <a:solidFill>
                      <a:srgbClr val="222222"/>
                    </a:solidFill>
                    <a:latin typeface="Roboto"/>
                  </a:defRPr>
                </a:pPr>
                <a:r>
                  <a:rPr b="1" i="0" sz="1400">
                    <a:solidFill>
                      <a:srgbClr val="222222"/>
                    </a:solidFill>
                    <a:latin typeface="Roboto"/>
                  </a:rPr>
                  <a:t>Shannon diversity index</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98153838"/>
      </c:valAx>
    </c:plotArea>
    <c:legend>
      <c:legendPos val="r"/>
      <c:overlay val="0"/>
      <c:txPr>
        <a:bodyPr/>
        <a:lstStyle/>
        <a:p>
          <a:pPr lvl="0">
            <a:defRPr b="0">
              <a:solidFill>
                <a:srgbClr val="000000"/>
              </a:solidFill>
              <a:latin typeface="Roboto"/>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Bartonella species diversity in captive colony</a:t>
            </a:r>
          </a:p>
        </c:rich>
      </c:tx>
      <c:overlay val="0"/>
    </c:title>
    <c:plotArea>
      <c:layout/>
      <c:lineChart>
        <c:varyColors val="0"/>
        <c:ser>
          <c:idx val="0"/>
          <c:order val="0"/>
          <c:tx>
            <c:strRef>
              <c:f>Prevalence!$L$59</c:f>
            </c:strRef>
          </c:tx>
          <c:spPr>
            <a:ln cmpd="sng" w="38100">
              <a:solidFill>
                <a:srgbClr val="000000">
                  <a:alpha val="100000"/>
                </a:srgbClr>
              </a:solidFill>
            </a:ln>
          </c:spPr>
          <c:marker>
            <c:symbol val="circle"/>
            <c:size val="7"/>
            <c:spPr>
              <a:solidFill>
                <a:srgbClr val="000000">
                  <a:alpha val="100000"/>
                </a:srgbClr>
              </a:solidFill>
              <a:ln cmpd="sng">
                <a:solidFill>
                  <a:srgbClr val="000000">
                    <a:alpha val="100000"/>
                  </a:srgbClr>
                </a:solidFill>
              </a:ln>
            </c:spPr>
          </c:marker>
          <c:cat>
            <c:strRef>
              <c:f>Prevalence!$A$60:$A$77</c:f>
            </c:strRef>
          </c:cat>
          <c:val>
            <c:numRef>
              <c:f>Prevalence!$L$60:$L$73</c:f>
              <c:numCache/>
            </c:numRef>
          </c:val>
          <c:smooth val="0"/>
        </c:ser>
        <c:axId val="1087334793"/>
        <c:axId val="1831637463"/>
      </c:lineChart>
      <c:catAx>
        <c:axId val="1087334793"/>
        <c:scaling>
          <c:orientation val="minMax"/>
        </c:scaling>
        <c:delete val="0"/>
        <c:axPos val="b"/>
        <c:title>
          <c:tx>
            <c:rich>
              <a:bodyPr/>
              <a:lstStyle/>
              <a:p>
                <a:pPr lvl="0">
                  <a:defRPr b="1" i="0" sz="1400">
                    <a:solidFill>
                      <a:srgbClr val="222222"/>
                    </a:solidFill>
                    <a:latin typeface="Roboto"/>
                  </a:defRPr>
                </a:pPr>
                <a:r>
                  <a:rPr b="1" i="0" sz="1400">
                    <a:solidFill>
                      <a:srgbClr val="222222"/>
                    </a:solidFill>
                    <a:latin typeface="Roboto"/>
                  </a:rPr>
                  <a:t>Date</a:t>
                </a:r>
              </a:p>
            </c:rich>
          </c:tx>
          <c:overlay val="0"/>
        </c:title>
        <c:numFmt formatCode="General" sourceLinked="1"/>
        <c:majorTickMark val="none"/>
        <c:minorTickMark val="none"/>
        <c:spPr/>
        <c:txPr>
          <a:bodyPr rot="-3600000"/>
          <a:lstStyle/>
          <a:p>
            <a:pPr lvl="0">
              <a:defRPr b="0" sz="1000">
                <a:solidFill>
                  <a:srgbClr val="222222"/>
                </a:solidFill>
                <a:latin typeface="Roboto"/>
              </a:defRPr>
            </a:pPr>
          </a:p>
        </c:txPr>
        <c:crossAx val="1831637463"/>
      </c:catAx>
      <c:valAx>
        <c:axId val="1831637463"/>
        <c:scaling>
          <c:orientation val="minMax"/>
          <c:max val="1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sz="1400">
                    <a:solidFill>
                      <a:srgbClr val="222222"/>
                    </a:solidFill>
                    <a:latin typeface="Roboto"/>
                  </a:defRPr>
                </a:pPr>
                <a:r>
                  <a:rPr b="1" i="0" sz="1400">
                    <a:solidFill>
                      <a:srgbClr val="222222"/>
                    </a:solidFill>
                    <a:latin typeface="Roboto"/>
                  </a:rPr>
                  <a:t>Bartonella species richness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087334793"/>
      </c:valAx>
    </c:plotArea>
    <c:legend>
      <c:legendPos val="r"/>
      <c:overlay val="0"/>
      <c:txPr>
        <a:bodyPr/>
        <a:lstStyle/>
        <a:p>
          <a:pPr lvl="0">
            <a:defRPr b="0">
              <a:solidFill>
                <a:srgbClr val="000000"/>
              </a:solidFill>
              <a:latin typeface="Roboto"/>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Prevalence and mixed infections in captive colony</a:t>
            </a:r>
          </a:p>
        </c:rich>
      </c:tx>
      <c:overlay val="0"/>
    </c:title>
    <c:plotArea>
      <c:layout/>
      <c:lineChart>
        <c:ser>
          <c:idx val="0"/>
          <c:order val="0"/>
          <c:tx>
            <c:strRef>
              <c:f>Prevalence!$F$17</c:f>
            </c:strRef>
          </c:tx>
          <c:spPr>
            <a:ln cmpd="sng" w="38100">
              <a:solidFill>
                <a:srgbClr val="FF0000">
                  <a:alpha val="100000"/>
                </a:srgbClr>
              </a:solidFill>
            </a:ln>
          </c:spPr>
          <c:marker>
            <c:symbol val="none"/>
          </c:marker>
          <c:cat>
            <c:strRef>
              <c:f>Prevalence!$A$2:$A$15</c:f>
            </c:strRef>
          </c:cat>
          <c:val>
            <c:numRef>
              <c:f>Prevalence!$F$18:$F$31</c:f>
              <c:numCache/>
            </c:numRef>
          </c:val>
          <c:smooth val="0"/>
        </c:ser>
        <c:ser>
          <c:idx val="1"/>
          <c:order val="1"/>
          <c:tx>
            <c:strRef>
              <c:f>Prevalence!$G$17</c:f>
            </c:strRef>
          </c:tx>
          <c:spPr>
            <a:ln cmpd="sng" w="19050">
              <a:solidFill>
                <a:srgbClr val="E06666">
                  <a:alpha val="100000"/>
                </a:srgbClr>
              </a:solidFill>
            </a:ln>
          </c:spPr>
          <c:marker>
            <c:symbol val="none"/>
          </c:marker>
          <c:cat>
            <c:strRef>
              <c:f>Prevalence!$A$2:$A$15</c:f>
            </c:strRef>
          </c:cat>
          <c:val>
            <c:numRef>
              <c:f>Prevalence!$G$18:$G$31</c:f>
              <c:numCache/>
            </c:numRef>
          </c:val>
          <c:smooth val="0"/>
        </c:ser>
        <c:ser>
          <c:idx val="2"/>
          <c:order val="2"/>
          <c:tx>
            <c:strRef>
              <c:f>Prevalence!$H$17</c:f>
            </c:strRef>
          </c:tx>
          <c:spPr>
            <a:ln cmpd="sng" w="19050">
              <a:solidFill>
                <a:srgbClr val="E06666">
                  <a:alpha val="100000"/>
                </a:srgbClr>
              </a:solidFill>
            </a:ln>
          </c:spPr>
          <c:marker>
            <c:symbol val="none"/>
          </c:marker>
          <c:cat>
            <c:strRef>
              <c:f>Prevalence!$A$2:$A$15</c:f>
            </c:strRef>
          </c:cat>
          <c:val>
            <c:numRef>
              <c:f>Prevalence!$H$18:$H$31</c:f>
              <c:numCache/>
            </c:numRef>
          </c:val>
          <c:smooth val="0"/>
        </c:ser>
        <c:ser>
          <c:idx val="3"/>
          <c:order val="3"/>
          <c:tx>
            <c:strRef>
              <c:f>Prevalence!$L$1</c:f>
            </c:strRef>
          </c:tx>
          <c:spPr>
            <a:ln cmpd="sng" w="38100">
              <a:solidFill>
                <a:srgbClr val="0000FF">
                  <a:alpha val="100000"/>
                </a:srgbClr>
              </a:solidFill>
            </a:ln>
          </c:spPr>
          <c:marker>
            <c:symbol val="none"/>
          </c:marker>
          <c:cat>
            <c:strRef>
              <c:f>Prevalence!$A$2:$A$15</c:f>
            </c:strRef>
          </c:cat>
          <c:val>
            <c:numRef>
              <c:f>Prevalence!$L$2:$L$15</c:f>
              <c:numCache/>
            </c:numRef>
          </c:val>
          <c:smooth val="0"/>
        </c:ser>
        <c:ser>
          <c:idx val="4"/>
          <c:order val="4"/>
          <c:tx>
            <c:strRef>
              <c:f>Prevalence!$M$1</c:f>
            </c:strRef>
          </c:tx>
          <c:spPr>
            <a:ln cmpd="sng" w="19050">
              <a:solidFill>
                <a:srgbClr val="6FA8DC">
                  <a:alpha val="100000"/>
                </a:srgbClr>
              </a:solidFill>
            </a:ln>
          </c:spPr>
          <c:marker>
            <c:symbol val="none"/>
          </c:marker>
          <c:cat>
            <c:strRef>
              <c:f>Prevalence!$A$2:$A$15</c:f>
            </c:strRef>
          </c:cat>
          <c:val>
            <c:numRef>
              <c:f>Prevalence!$M$2:$M$15</c:f>
              <c:numCache/>
            </c:numRef>
          </c:val>
          <c:smooth val="0"/>
        </c:ser>
        <c:ser>
          <c:idx val="5"/>
          <c:order val="5"/>
          <c:tx>
            <c:strRef>
              <c:f>Prevalence!$N$1</c:f>
            </c:strRef>
          </c:tx>
          <c:spPr>
            <a:ln cmpd="sng" w="19050">
              <a:solidFill>
                <a:srgbClr val="6FA8DC">
                  <a:alpha val="100000"/>
                </a:srgbClr>
              </a:solidFill>
            </a:ln>
          </c:spPr>
          <c:marker>
            <c:symbol val="none"/>
          </c:marker>
          <c:cat>
            <c:strRef>
              <c:f>Prevalence!$A$2:$A$15</c:f>
            </c:strRef>
          </c:cat>
          <c:val>
            <c:numRef>
              <c:f>Prevalence!$N$2:$N$15</c:f>
              <c:numCache/>
            </c:numRef>
          </c:val>
          <c:smooth val="0"/>
        </c:ser>
        <c:axId val="594586327"/>
        <c:axId val="1532683787"/>
      </c:lineChart>
      <c:catAx>
        <c:axId val="594586327"/>
        <c:scaling>
          <c:orientation val="minMax"/>
        </c:scaling>
        <c:delete val="0"/>
        <c:axPos val="b"/>
        <c:title>
          <c:tx>
            <c:rich>
              <a:bodyPr/>
              <a:lstStyle/>
              <a:p>
                <a:pPr lvl="0">
                  <a:defRPr b="1" i="0" sz="1400">
                    <a:solidFill>
                      <a:srgbClr val="222222"/>
                    </a:solidFill>
                    <a:latin typeface="Roboto"/>
                  </a:defRPr>
                </a:pPr>
                <a:r>
                  <a:rPr b="1" i="0" sz="1400">
                    <a:solidFill>
                      <a:srgbClr val="222222"/>
                    </a:solidFill>
                    <a:latin typeface="Roboto"/>
                  </a:rPr>
                  <a:t>Date</a:t>
                </a:r>
              </a:p>
            </c:rich>
          </c:tx>
          <c:overlay val="0"/>
        </c:title>
        <c:numFmt formatCode="General" sourceLinked="1"/>
        <c:majorTickMark val="none"/>
        <c:minorTickMark val="none"/>
        <c:spPr/>
        <c:txPr>
          <a:bodyPr rot="-3600000"/>
          <a:lstStyle/>
          <a:p>
            <a:pPr lvl="0">
              <a:defRPr b="0" sz="1000">
                <a:solidFill>
                  <a:srgbClr val="222222"/>
                </a:solidFill>
                <a:latin typeface="Roboto"/>
              </a:defRPr>
            </a:pPr>
          </a:p>
        </c:txPr>
        <c:crossAx val="1532683787"/>
      </c:catAx>
      <c:valAx>
        <c:axId val="15326837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sz="1400">
                    <a:solidFill>
                      <a:srgbClr val="222222"/>
                    </a:solidFill>
                    <a:latin typeface="Roboto"/>
                  </a:defRPr>
                </a:pPr>
                <a:r>
                  <a:rPr b="1" i="0" sz="1400">
                    <a:solidFill>
                      <a:srgbClr val="222222"/>
                    </a:solidFill>
                    <a:latin typeface="Roboto"/>
                  </a:rPr>
                  <a:t>Bartonella prevalence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94586327"/>
      </c:valAx>
    </c:plotArea>
    <c:legend>
      <c:legendPos val="r"/>
      <c:overlay val="0"/>
      <c:txPr>
        <a:bodyPr/>
        <a:lstStyle/>
        <a:p>
          <a:pPr lvl="0">
            <a:defRPr b="0">
              <a:solidFill>
                <a:srgbClr val="000000"/>
              </a:solidFill>
              <a:latin typeface="Roboto"/>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Bartonella species relative counts in captive colony</a:t>
            </a:r>
          </a:p>
        </c:rich>
      </c:tx>
      <c:overlay val="0"/>
    </c:title>
    <c:plotArea>
      <c:layout/>
      <c:barChart>
        <c:barDir val="col"/>
        <c:grouping val="stacked"/>
        <c:ser>
          <c:idx val="0"/>
          <c:order val="0"/>
          <c:tx>
            <c:strRef>
              <c:f>Prevalence!$B$49</c:f>
            </c:strRef>
          </c:tx>
          <c:spPr>
            <a:solidFill>
              <a:srgbClr val="FF0000"/>
            </a:solidFill>
            <a:ln cmpd="sng">
              <a:solidFill>
                <a:srgbClr val="000000"/>
              </a:solidFill>
            </a:ln>
          </c:spPr>
          <c:cat>
            <c:strRef>
              <c:f>Prevalence!$A$50:$A$57</c:f>
            </c:strRef>
          </c:cat>
          <c:val>
            <c:numRef>
              <c:f>Prevalence!$B$50:$B$57</c:f>
              <c:numCache/>
            </c:numRef>
          </c:val>
        </c:ser>
        <c:ser>
          <c:idx val="1"/>
          <c:order val="1"/>
          <c:tx>
            <c:strRef>
              <c:f>Prevalence!$C$49</c:f>
            </c:strRef>
          </c:tx>
          <c:spPr>
            <a:solidFill>
              <a:srgbClr val="FFFF00"/>
            </a:solidFill>
            <a:ln cmpd="sng">
              <a:solidFill>
                <a:srgbClr val="000000"/>
              </a:solidFill>
            </a:ln>
          </c:spPr>
          <c:cat>
            <c:strRef>
              <c:f>Prevalence!$A$50:$A$57</c:f>
            </c:strRef>
          </c:cat>
          <c:val>
            <c:numRef>
              <c:f>Prevalence!$C$50:$C$57</c:f>
              <c:numCache/>
            </c:numRef>
          </c:val>
        </c:ser>
        <c:ser>
          <c:idx val="2"/>
          <c:order val="2"/>
          <c:tx>
            <c:strRef>
              <c:f>Prevalence!$D$49</c:f>
            </c:strRef>
          </c:tx>
          <c:spPr>
            <a:solidFill>
              <a:srgbClr val="109618"/>
            </a:solidFill>
            <a:ln cmpd="sng">
              <a:solidFill>
                <a:srgbClr val="000000"/>
              </a:solidFill>
            </a:ln>
          </c:spPr>
          <c:cat>
            <c:strRef>
              <c:f>Prevalence!$A$50:$A$57</c:f>
            </c:strRef>
          </c:cat>
          <c:val>
            <c:numRef>
              <c:f>Prevalence!$D$50:$D$57</c:f>
              <c:numCache/>
            </c:numRef>
          </c:val>
        </c:ser>
        <c:ser>
          <c:idx val="3"/>
          <c:order val="3"/>
          <c:tx>
            <c:strRef>
              <c:f>Prevalence!$E$49</c:f>
            </c:strRef>
          </c:tx>
          <c:spPr>
            <a:solidFill>
              <a:srgbClr val="3366CC"/>
            </a:solidFill>
            <a:ln cmpd="sng">
              <a:solidFill>
                <a:srgbClr val="000000"/>
              </a:solidFill>
            </a:ln>
          </c:spPr>
          <c:cat>
            <c:strRef>
              <c:f>Prevalence!$A$50:$A$57</c:f>
            </c:strRef>
          </c:cat>
          <c:val>
            <c:numRef>
              <c:f>Prevalence!$E$50:$E$57</c:f>
              <c:numCache/>
            </c:numRef>
          </c:val>
        </c:ser>
        <c:ser>
          <c:idx val="4"/>
          <c:order val="4"/>
          <c:tx>
            <c:strRef>
              <c:f>Prevalence!$F$49</c:f>
            </c:strRef>
          </c:tx>
          <c:spPr>
            <a:solidFill>
              <a:srgbClr val="9900FF"/>
            </a:solidFill>
            <a:ln cmpd="sng">
              <a:solidFill>
                <a:srgbClr val="000000"/>
              </a:solidFill>
            </a:ln>
          </c:spPr>
          <c:cat>
            <c:strRef>
              <c:f>Prevalence!$A$50:$A$57</c:f>
            </c:strRef>
          </c:cat>
          <c:val>
            <c:numRef>
              <c:f>Prevalence!$F$50:$F$57</c:f>
              <c:numCache/>
            </c:numRef>
          </c:val>
        </c:ser>
        <c:ser>
          <c:idx val="5"/>
          <c:order val="5"/>
          <c:tx>
            <c:strRef>
              <c:f>Prevalence!$G$49</c:f>
            </c:strRef>
          </c:tx>
          <c:spPr>
            <a:solidFill>
              <a:srgbClr val="5B0F00"/>
            </a:solidFill>
            <a:ln cmpd="sng">
              <a:solidFill>
                <a:srgbClr val="000000"/>
              </a:solidFill>
            </a:ln>
          </c:spPr>
          <c:cat>
            <c:strRef>
              <c:f>Prevalence!$A$50:$A$57</c:f>
            </c:strRef>
          </c:cat>
          <c:val>
            <c:numRef>
              <c:f>Prevalence!$G$50:$G$57</c:f>
              <c:numCache/>
            </c:numRef>
          </c:val>
        </c:ser>
        <c:ser>
          <c:idx val="6"/>
          <c:order val="6"/>
          <c:tx>
            <c:strRef>
              <c:f>Prevalence!$H$49</c:f>
            </c:strRef>
          </c:tx>
          <c:spPr>
            <a:solidFill>
              <a:srgbClr val="000000"/>
            </a:solidFill>
            <a:ln cmpd="sng">
              <a:solidFill>
                <a:srgbClr val="000000"/>
              </a:solidFill>
            </a:ln>
          </c:spPr>
          <c:cat>
            <c:strRef>
              <c:f>Prevalence!$A$50:$A$57</c:f>
            </c:strRef>
          </c:cat>
          <c:val>
            <c:numRef>
              <c:f>Prevalence!$H$50:$H$57</c:f>
              <c:numCache/>
            </c:numRef>
          </c:val>
        </c:ser>
        <c:ser>
          <c:idx val="7"/>
          <c:order val="7"/>
          <c:tx>
            <c:strRef>
              <c:f>Prevalence!$I$49</c:f>
            </c:strRef>
          </c:tx>
          <c:spPr>
            <a:solidFill>
              <a:srgbClr val="FF00FF"/>
            </a:solidFill>
            <a:ln cmpd="sng">
              <a:solidFill>
                <a:srgbClr val="000000"/>
              </a:solidFill>
            </a:ln>
          </c:spPr>
          <c:cat>
            <c:strRef>
              <c:f>Prevalence!$A$50:$A$57</c:f>
            </c:strRef>
          </c:cat>
          <c:val>
            <c:numRef>
              <c:f>Prevalence!$I$50:$I$57</c:f>
              <c:numCache/>
            </c:numRef>
          </c:val>
        </c:ser>
        <c:overlap val="100"/>
        <c:axId val="22882810"/>
        <c:axId val="2008619574"/>
      </c:barChart>
      <c:catAx>
        <c:axId val="22882810"/>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08619574"/>
      </c:catAx>
      <c:valAx>
        <c:axId val="20086195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2882810"/>
      </c:valAx>
    </c:plotArea>
    <c:legend>
      <c:legendPos val="r"/>
      <c:overlay val="0"/>
      <c:txPr>
        <a:bodyPr/>
        <a:lstStyle/>
        <a:p>
          <a:pPr lvl="0">
            <a:defRPr b="0">
              <a:solidFill>
                <a:srgbClr val="000000"/>
              </a:solidFill>
              <a:latin typeface="Roboto"/>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linear"/>
            <c:dispRSqr val="1"/>
            <c:dispEq val="0"/>
          </c:trendline>
          <c:xVal>
            <c:numRef>
              <c:f>Coinfections!$S$39:$S$94</c:f>
            </c:numRef>
          </c:xVal>
          <c:yVal>
            <c:numRef>
              <c:f>Coinfections!$N$39:$N$94</c:f>
              <c:numCache/>
            </c:numRef>
          </c:yVal>
        </c:ser>
        <c:dLbls>
          <c:showLegendKey val="0"/>
          <c:showVal val="0"/>
          <c:showCatName val="0"/>
          <c:showSerName val="0"/>
          <c:showPercent val="0"/>
          <c:showBubbleSize val="0"/>
        </c:dLbls>
        <c:axId val="2020208755"/>
        <c:axId val="181536081"/>
      </c:scatterChart>
      <c:valAx>
        <c:axId val="202020875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Ratio of infections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1536081"/>
      </c:valAx>
      <c:valAx>
        <c:axId val="1815360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020208755"/>
      </c:valAx>
    </c:plotArea>
    <c:legend>
      <c:legendPos val="r"/>
      <c:overlay val="0"/>
      <c:txPr>
        <a:bodyPr/>
        <a:lstStyle/>
        <a:p>
          <a:pPr lvl="0">
            <a:defRPr b="0">
              <a:solidFill>
                <a:srgbClr val="000000"/>
              </a:solidFill>
              <a:latin typeface="Roboto"/>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linear"/>
            <c:dispRSqr val="1"/>
            <c:dispEq val="0"/>
          </c:trendline>
          <c:xVal>
            <c:numRef>
              <c:f>Coinfections!$R$39:$R$95</c:f>
            </c:numRef>
          </c:xVal>
          <c:yVal>
            <c:numRef>
              <c:f>Coinfections!$N$39:$N$95</c:f>
              <c:numCache/>
            </c:numRef>
          </c:yVal>
        </c:ser>
        <c:dLbls>
          <c:showLegendKey val="0"/>
          <c:showVal val="0"/>
          <c:showCatName val="0"/>
          <c:showSerName val="0"/>
          <c:showPercent val="0"/>
          <c:showBubbleSize val="0"/>
        </c:dLbls>
        <c:axId val="600732867"/>
        <c:axId val="888241606"/>
      </c:scatterChart>
      <c:valAx>
        <c:axId val="60073286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Ratio of infections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888241606"/>
      </c:valAx>
      <c:valAx>
        <c:axId val="8882416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600732867"/>
      </c:valAx>
    </c:plotArea>
    <c:legend>
      <c:legendPos val="r"/>
      <c:overlay val="0"/>
      <c:txPr>
        <a:bodyPr/>
        <a:lstStyle/>
        <a:p>
          <a:pPr lvl="0">
            <a:defRPr b="0">
              <a:solidFill>
                <a:srgbClr val="000000"/>
              </a:solidFill>
              <a:latin typeface="Roboto"/>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
            <c:spPr>
              <a:ln w="19050">
                <a:solidFill>
                  <a:srgbClr val="3366CC"/>
                </a:solidFill>
              </a:ln>
            </c:spPr>
            <c:trendlineType val="linear"/>
            <c:dispRSqr val="1"/>
            <c:dispEq val="1"/>
          </c:trendline>
          <c:xVal>
            <c:numRef>
              <c:f>Coinfections!$Q$39:$Q$94</c:f>
            </c:numRef>
          </c:xVal>
          <c:yVal>
            <c:numRef>
              <c:f>Coinfections!$N$39:$N$94</c:f>
              <c:numCache/>
            </c:numRef>
          </c:yVal>
        </c:ser>
        <c:dLbls>
          <c:showLegendKey val="0"/>
          <c:showVal val="0"/>
          <c:showCatName val="0"/>
          <c:showSerName val="0"/>
          <c:showPercent val="0"/>
          <c:showBubbleSize val="0"/>
        </c:dLbls>
        <c:axId val="1377842848"/>
        <c:axId val="1463461727"/>
      </c:scatterChart>
      <c:valAx>
        <c:axId val="137784284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Phylogenetic distance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463461727"/>
      </c:valAx>
      <c:valAx>
        <c:axId val="146346172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77842848"/>
      </c:valAx>
    </c:plotArea>
    <c:legend>
      <c:legendPos val="r"/>
      <c:overlay val="0"/>
      <c:txPr>
        <a:bodyPr/>
        <a:lstStyle/>
        <a:p>
          <a:pPr lvl="0">
            <a:defRPr b="0">
              <a:solidFill>
                <a:srgbClr val="000000"/>
              </a:solidFill>
              <a:latin typeface="Roboto"/>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linear"/>
            <c:dispRSqr val="1"/>
            <c:dispEq val="0"/>
          </c:trendline>
          <c:xVal>
            <c:numRef>
              <c:f>Coinfections!$T$39:$T$95</c:f>
            </c:numRef>
          </c:xVal>
          <c:yVal>
            <c:numRef>
              <c:f>Coinfections!$N$39:$N$95</c:f>
              <c:numCache/>
            </c:numRef>
          </c:yVal>
        </c:ser>
        <c:dLbls>
          <c:showLegendKey val="0"/>
          <c:showVal val="0"/>
          <c:showCatName val="0"/>
          <c:showSerName val="0"/>
          <c:showPercent val="0"/>
          <c:showBubbleSize val="0"/>
        </c:dLbls>
        <c:axId val="1984212313"/>
        <c:axId val="1380573624"/>
      </c:scatterChart>
      <c:valAx>
        <c:axId val="198421231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Observed frequency</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80573624"/>
      </c:valAx>
      <c:valAx>
        <c:axId val="13805736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984212313"/>
      </c:valAx>
    </c:plotArea>
    <c:legend>
      <c:legendPos val="r"/>
      <c:overlay val="0"/>
      <c:txPr>
        <a:bodyPr/>
        <a:lstStyle/>
        <a:p>
          <a:pPr lvl="0">
            <a:defRPr b="0">
              <a:solidFill>
                <a:srgbClr val="000000"/>
              </a:solidFill>
              <a:latin typeface="Roboto"/>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linear"/>
            <c:dispRSqr val="1"/>
            <c:dispEq val="0"/>
          </c:trendline>
          <c:xVal>
            <c:numRef>
              <c:f>Coinfections!$Q$118:$Q$174</c:f>
            </c:numRef>
          </c:xVal>
          <c:yVal>
            <c:numRef>
              <c:f>Coinfections!$N$118:$N$174</c:f>
              <c:numCache/>
            </c:numRef>
          </c:yVal>
        </c:ser>
        <c:dLbls>
          <c:showLegendKey val="0"/>
          <c:showVal val="0"/>
          <c:showCatName val="0"/>
          <c:showSerName val="0"/>
          <c:showPercent val="0"/>
          <c:showBubbleSize val="0"/>
        </c:dLbls>
        <c:axId val="189704239"/>
        <c:axId val="1165245743"/>
      </c:scatterChart>
      <c:valAx>
        <c:axId val="18970423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Phylogenetic distance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65245743"/>
      </c:valAx>
      <c:valAx>
        <c:axId val="1165245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9704239"/>
      </c:valAx>
    </c:plotArea>
    <c:legend>
      <c:legendPos val="r"/>
      <c:overlay val="0"/>
      <c:txPr>
        <a:bodyPr/>
        <a:lstStyle/>
        <a:p>
          <a:pPr lvl="0">
            <a:defRPr b="0">
              <a:solidFill>
                <a:srgbClr val="000000"/>
              </a:solidFill>
              <a:latin typeface="Roboto"/>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linear"/>
            <c:dispRSqr val="1"/>
            <c:dispEq val="0"/>
          </c:trendline>
          <c:xVal>
            <c:numRef>
              <c:f>Coinfections!$T$118:$T$174</c:f>
            </c:numRef>
          </c:xVal>
          <c:yVal>
            <c:numRef>
              <c:f>Coinfections!$N$118:$N$174</c:f>
              <c:numCache/>
            </c:numRef>
          </c:yVal>
        </c:ser>
        <c:dLbls>
          <c:showLegendKey val="0"/>
          <c:showVal val="0"/>
          <c:showCatName val="0"/>
          <c:showSerName val="0"/>
          <c:showPercent val="0"/>
          <c:showBubbleSize val="0"/>
        </c:dLbls>
        <c:axId val="1751363549"/>
        <c:axId val="1416759545"/>
      </c:scatterChart>
      <c:valAx>
        <c:axId val="175136354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Observed frequency</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416759545"/>
      </c:valAx>
      <c:valAx>
        <c:axId val="14167595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751363549"/>
      </c:valAx>
    </c:plotArea>
    <c:legend>
      <c:legendPos val="r"/>
      <c:overlay val="0"/>
      <c:txPr>
        <a:bodyPr/>
        <a:lstStyle/>
        <a:p>
          <a:pPr lvl="0">
            <a:defRPr b="0">
              <a:solidFill>
                <a:srgbClr val="000000"/>
              </a:solidFill>
              <a:latin typeface="Roboto"/>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exp"/>
            <c:dispRSqr val="1"/>
            <c:dispEq val="0"/>
          </c:trendline>
          <c:xVal>
            <c:numRef>
              <c:f>Coinfections!$R$118:$R$174</c:f>
            </c:numRef>
          </c:xVal>
          <c:yVal>
            <c:numRef>
              <c:f>Coinfections!$N$118:$N$174</c:f>
              <c:numCache/>
            </c:numRef>
          </c:yVal>
        </c:ser>
        <c:dLbls>
          <c:showLegendKey val="0"/>
          <c:showVal val="0"/>
          <c:showCatName val="0"/>
          <c:showSerName val="0"/>
          <c:showPercent val="0"/>
          <c:showBubbleSize val="0"/>
        </c:dLbls>
        <c:axId val="1936389775"/>
        <c:axId val="2122205948"/>
      </c:scatterChart>
      <c:valAx>
        <c:axId val="193638977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Ratio of infections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122205948"/>
      </c:valAx>
      <c:valAx>
        <c:axId val="21222059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936389775"/>
      </c:valAx>
    </c:plotArea>
    <c:legend>
      <c:legendPos val="r"/>
      <c:overlay val="0"/>
      <c:txPr>
        <a:bodyPr/>
        <a:lstStyle/>
        <a:p>
          <a:pPr lvl="0">
            <a:defRPr b="0">
              <a:solidFill>
                <a:srgbClr val="000000"/>
              </a:solidFill>
              <a:latin typeface="Roboto"/>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exp"/>
            <c:dispRSqr val="1"/>
            <c:dispEq val="0"/>
          </c:trendline>
          <c:xVal>
            <c:numRef>
              <c:f>Coinfections!$S$118:$S$174</c:f>
            </c:numRef>
          </c:xVal>
          <c:yVal>
            <c:numRef>
              <c:f>Coinfections!$N$118:$N$174</c:f>
              <c:numCache/>
            </c:numRef>
          </c:yVal>
        </c:ser>
        <c:dLbls>
          <c:showLegendKey val="0"/>
          <c:showVal val="0"/>
          <c:showCatName val="0"/>
          <c:showSerName val="0"/>
          <c:showPercent val="0"/>
          <c:showBubbleSize val="0"/>
        </c:dLbls>
        <c:axId val="1954775134"/>
        <c:axId val="291826837"/>
      </c:scatterChart>
      <c:valAx>
        <c:axId val="195477513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Ratio of infections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91826837"/>
      </c:valAx>
      <c:valAx>
        <c:axId val="2918268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954775134"/>
      </c:valAx>
    </c:plotArea>
    <c:legend>
      <c:legendPos val="r"/>
      <c:overlay val="0"/>
      <c:txPr>
        <a:bodyPr/>
        <a:lstStyle/>
        <a:p>
          <a:pPr lvl="0">
            <a:defRPr b="0">
              <a:solidFill>
                <a:srgbClr val="000000"/>
              </a:solidFill>
              <a:latin typeface="Roboto"/>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linear"/>
            <c:dispRSqr val="1"/>
            <c:dispEq val="0"/>
          </c:trendline>
          <c:xVal>
            <c:numRef>
              <c:f>Coinfections!$Q$197:$Q$238</c:f>
            </c:numRef>
          </c:xVal>
          <c:yVal>
            <c:numRef>
              <c:f>Coinfections!$N$197:$N$238</c:f>
              <c:numCache/>
            </c:numRef>
          </c:yVal>
        </c:ser>
        <c:dLbls>
          <c:showLegendKey val="0"/>
          <c:showVal val="0"/>
          <c:showCatName val="0"/>
          <c:showSerName val="0"/>
          <c:showPercent val="0"/>
          <c:showBubbleSize val="0"/>
        </c:dLbls>
        <c:axId val="1418381458"/>
        <c:axId val="2101046698"/>
      </c:scatterChart>
      <c:valAx>
        <c:axId val="141838145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Phylogenetic distance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101046698"/>
      </c:valAx>
      <c:valAx>
        <c:axId val="21010466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418381458"/>
      </c:valAx>
    </c:plotArea>
    <c:legend>
      <c:legendPos val="r"/>
      <c:overlay val="0"/>
      <c:txPr>
        <a:bodyPr/>
        <a:lstStyle/>
        <a:p>
          <a:pPr lvl="0">
            <a:defRPr b="0">
              <a:solidFill>
                <a:srgbClr val="000000"/>
              </a:solidFill>
              <a:latin typeface="Roboto"/>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linear"/>
            <c:dispRSqr val="1"/>
            <c:dispEq val="0"/>
          </c:trendline>
          <c:xVal>
            <c:numRef>
              <c:f>Coinfections!$T$197:$T$238</c:f>
            </c:numRef>
          </c:xVal>
          <c:yVal>
            <c:numRef>
              <c:f>Coinfections!$N$197:$N$238</c:f>
              <c:numCache/>
            </c:numRef>
          </c:yVal>
        </c:ser>
        <c:dLbls>
          <c:showLegendKey val="0"/>
          <c:showVal val="0"/>
          <c:showCatName val="0"/>
          <c:showSerName val="0"/>
          <c:showPercent val="0"/>
          <c:showBubbleSize val="0"/>
        </c:dLbls>
        <c:axId val="1359759879"/>
        <c:axId val="1249554871"/>
      </c:scatterChart>
      <c:valAx>
        <c:axId val="135975987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Observed frequency</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249554871"/>
      </c:valAx>
      <c:valAx>
        <c:axId val="12495548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59759879"/>
      </c:valAx>
    </c:plotArea>
    <c:legend>
      <c:legendPos val="r"/>
      <c:overlay val="0"/>
      <c:txPr>
        <a:bodyPr/>
        <a:lstStyle/>
        <a:p>
          <a:pPr lvl="0">
            <a:defRPr b="0">
              <a:solidFill>
                <a:srgbClr val="000000"/>
              </a:solidFill>
              <a:latin typeface="Roboto"/>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exp"/>
            <c:dispRSqr val="1"/>
            <c:dispEq val="0"/>
          </c:trendline>
          <c:xVal>
            <c:numRef>
              <c:f>Coinfections!$R$197:$R$238</c:f>
            </c:numRef>
          </c:xVal>
          <c:yVal>
            <c:numRef>
              <c:f>Coinfections!$N$197:$N$238</c:f>
              <c:numCache/>
            </c:numRef>
          </c:yVal>
        </c:ser>
        <c:dLbls>
          <c:showLegendKey val="0"/>
          <c:showVal val="0"/>
          <c:showCatName val="0"/>
          <c:showSerName val="0"/>
          <c:showPercent val="0"/>
          <c:showBubbleSize val="0"/>
        </c:dLbls>
        <c:axId val="55234086"/>
        <c:axId val="321159905"/>
      </c:scatterChart>
      <c:valAx>
        <c:axId val="5523408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Ratio of infections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321159905"/>
      </c:valAx>
      <c:valAx>
        <c:axId val="3211599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5234086"/>
      </c:valAx>
    </c:plotArea>
    <c:legend>
      <c:legendPos val="r"/>
      <c:overlay val="0"/>
      <c:txPr>
        <a:bodyPr/>
        <a:lstStyle/>
        <a:p>
          <a:pPr lvl="0">
            <a:defRPr b="0">
              <a:solidFill>
                <a:srgbClr val="000000"/>
              </a:solidFill>
              <a:latin typeface="Roboto"/>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rgbClr val="3366CC"/>
              </a:solidFill>
              <a:ln cmpd="sng">
                <a:solidFill>
                  <a:srgbClr val="3366CC"/>
                </a:solidFill>
              </a:ln>
            </c:spPr>
          </c:marker>
          <c:trendline>
            <c:name>Trendline for series 1</c:name>
            <c:spPr>
              <a:ln w="19050">
                <a:solidFill>
                  <a:srgbClr val="3366CC"/>
                </a:solidFill>
              </a:ln>
            </c:spPr>
            <c:trendlineType val="exp"/>
            <c:dispRSqr val="1"/>
            <c:dispEq val="0"/>
          </c:trendline>
          <c:xVal>
            <c:numRef>
              <c:f>Coinfections!$S$197:$S$238</c:f>
            </c:numRef>
          </c:xVal>
          <c:yVal>
            <c:numRef>
              <c:f>Coinfections!$N$197:$N$238</c:f>
              <c:numCache/>
            </c:numRef>
          </c:yVal>
        </c:ser>
        <c:dLbls>
          <c:showLegendKey val="0"/>
          <c:showVal val="0"/>
          <c:showCatName val="0"/>
          <c:showSerName val="0"/>
          <c:showPercent val="0"/>
          <c:showBubbleSize val="0"/>
        </c:dLbls>
        <c:axId val="707523233"/>
        <c:axId val="1144008498"/>
      </c:scatterChart>
      <c:valAx>
        <c:axId val="70752323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Ratio of infections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44008498"/>
      </c:valAx>
      <c:valAx>
        <c:axId val="11440084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Roboto"/>
                  </a:defRPr>
                </a:pPr>
                <a:r>
                  <a:rPr b="1">
                    <a:solidFill>
                      <a:srgbClr val="000000"/>
                    </a:solidFill>
                    <a:latin typeface="Roboto"/>
                  </a:rPr>
                  <a:t>Effect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707523233"/>
      </c:valAx>
    </c:plotArea>
    <c:legend>
      <c:legendPos val="r"/>
      <c:overlay val="0"/>
      <c:txPr>
        <a:bodyPr/>
        <a:lstStyle/>
        <a:p>
          <a:pPr lvl="0">
            <a:defRPr b="0">
              <a:solidFill>
                <a:srgbClr val="000000"/>
              </a:solidFill>
              <a:latin typeface="Roboto"/>
            </a:defRPr>
          </a:pPr>
        </a:p>
      </c:txPr>
    </c:legend>
    <c:plotVisOnly val="1"/>
  </c:chart>
</c:chartSpace>
</file>

<file path=xl/drawings/_rels/drawing8.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 Id="rId4" Type="http://schemas.openxmlformats.org/officeDocument/2006/relationships/chart" Target="../charts/chart6.xml"/><Relationship Id="rId5" Type="http://schemas.openxmlformats.org/officeDocument/2006/relationships/chart" Target="../charts/chart7.xml"/><Relationship Id="rId6"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chart" Target="../charts/chart12.xml"/><Relationship Id="rId11" Type="http://schemas.openxmlformats.org/officeDocument/2006/relationships/chart" Target="../charts/chart19.xml"/><Relationship Id="rId10" Type="http://schemas.openxmlformats.org/officeDocument/2006/relationships/chart" Target="../charts/chart18.xml"/><Relationship Id="rId12" Type="http://schemas.openxmlformats.org/officeDocument/2006/relationships/chart" Target="../charts/chart20.xml"/><Relationship Id="rId9" Type="http://schemas.openxmlformats.org/officeDocument/2006/relationships/chart" Target="../charts/chart17.xml"/><Relationship Id="rId5" Type="http://schemas.openxmlformats.org/officeDocument/2006/relationships/chart" Target="../charts/chart13.xml"/><Relationship Id="rId6" Type="http://schemas.openxmlformats.org/officeDocument/2006/relationships/chart" Target="../charts/chart14.xml"/><Relationship Id="rId7" Type="http://schemas.openxmlformats.org/officeDocument/2006/relationships/chart" Target="../charts/chart15.xml"/><Relationship Id="rId8"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981075</xdr:colOff>
      <xdr:row>18</xdr:row>
      <xdr:rowOff>85725</xdr:rowOff>
    </xdr:from>
    <xdr:ext cx="7019925" cy="4343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895350</xdr:colOff>
      <xdr:row>50</xdr:row>
      <xdr:rowOff>180975</xdr:rowOff>
    </xdr:from>
    <xdr:ext cx="7019925" cy="43434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114300</xdr:colOff>
      <xdr:row>0</xdr:row>
      <xdr:rowOff>142875</xdr:rowOff>
    </xdr:from>
    <xdr:ext cx="7600950" cy="48482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152400</xdr:colOff>
      <xdr:row>33</xdr:row>
      <xdr:rowOff>152400</xdr:rowOff>
    </xdr:from>
    <xdr:ext cx="7019925" cy="4343400"/>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409575</xdr:colOff>
      <xdr:row>68</xdr:row>
      <xdr:rowOff>123825</xdr:rowOff>
    </xdr:from>
    <xdr:ext cx="5715000" cy="3990975"/>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19</xdr:col>
      <xdr:colOff>600075</xdr:colOff>
      <xdr:row>68</xdr:row>
      <xdr:rowOff>161925</xdr:rowOff>
    </xdr:from>
    <xdr:ext cx="5715000" cy="4010025"/>
    <xdr:graphicFrame>
      <xdr:nvGraphicFramePr>
        <xdr:cNvPr id="6" name="Chart 6"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20</xdr:col>
      <xdr:colOff>933450</xdr:colOff>
      <xdr:row>0</xdr:row>
      <xdr:rowOff>104775</xdr:rowOff>
    </xdr:from>
    <xdr:ext cx="7915275" cy="4895850"/>
    <xdr:graphicFrame>
      <xdr:nvGraphicFramePr>
        <xdr:cNvPr id="7" name="Chart 7"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180975</xdr:colOff>
      <xdr:row>95</xdr:row>
      <xdr:rowOff>152400</xdr:rowOff>
    </xdr:from>
    <xdr:ext cx="6600825" cy="4076700"/>
    <xdr:graphicFrame>
      <xdr:nvGraphicFramePr>
        <xdr:cNvPr id="8" name="Chart 8"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38</xdr:col>
      <xdr:colOff>0</xdr:colOff>
      <xdr:row>38</xdr:row>
      <xdr:rowOff>0</xdr:rowOff>
    </xdr:from>
    <xdr:ext cx="6400800" cy="39528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32</xdr:col>
      <xdr:colOff>0</xdr:colOff>
      <xdr:row>38</xdr:row>
      <xdr:rowOff>0</xdr:rowOff>
    </xdr:from>
    <xdr:ext cx="6400800" cy="3952875"/>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21</xdr:col>
      <xdr:colOff>0</xdr:colOff>
      <xdr:row>38</xdr:row>
      <xdr:rowOff>0</xdr:rowOff>
    </xdr:from>
    <xdr:ext cx="5715000" cy="3533775"/>
    <xdr:graphicFrame>
      <xdr:nvGraphicFramePr>
        <xdr:cNvPr id="11" name="Chart 1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26</xdr:col>
      <xdr:colOff>523875</xdr:colOff>
      <xdr:row>38</xdr:row>
      <xdr:rowOff>19050</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21</xdr:col>
      <xdr:colOff>0</xdr:colOff>
      <xdr:row>116</xdr:row>
      <xdr:rowOff>0</xdr:rowOff>
    </xdr:from>
    <xdr:ext cx="5715000" cy="3533775"/>
    <xdr:graphicFrame>
      <xdr:nvGraphicFramePr>
        <xdr:cNvPr id="13" name="Chart 13"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27</xdr:col>
      <xdr:colOff>0</xdr:colOff>
      <xdr:row>116</xdr:row>
      <xdr:rowOff>0</xdr:rowOff>
    </xdr:from>
    <xdr:ext cx="5715000" cy="3533775"/>
    <xdr:graphicFrame>
      <xdr:nvGraphicFramePr>
        <xdr:cNvPr id="14" name="Chart 14"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33</xdr:col>
      <xdr:colOff>0</xdr:colOff>
      <xdr:row>116</xdr:row>
      <xdr:rowOff>0</xdr:rowOff>
    </xdr:from>
    <xdr:ext cx="6400800" cy="3952875"/>
    <xdr:graphicFrame>
      <xdr:nvGraphicFramePr>
        <xdr:cNvPr id="15" name="Chart 15"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39</xdr:col>
      <xdr:colOff>0</xdr:colOff>
      <xdr:row>116</xdr:row>
      <xdr:rowOff>0</xdr:rowOff>
    </xdr:from>
    <xdr:ext cx="6400800" cy="3952875"/>
    <xdr:graphicFrame>
      <xdr:nvGraphicFramePr>
        <xdr:cNvPr id="16" name="Chart 16"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21</xdr:col>
      <xdr:colOff>0</xdr:colOff>
      <xdr:row>196</xdr:row>
      <xdr:rowOff>0</xdr:rowOff>
    </xdr:from>
    <xdr:ext cx="5715000" cy="3533775"/>
    <xdr:graphicFrame>
      <xdr:nvGraphicFramePr>
        <xdr:cNvPr id="17" name="Chart 17"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27</xdr:col>
      <xdr:colOff>0</xdr:colOff>
      <xdr:row>196</xdr:row>
      <xdr:rowOff>0</xdr:rowOff>
    </xdr:from>
    <xdr:ext cx="5715000" cy="3533775"/>
    <xdr:graphicFrame>
      <xdr:nvGraphicFramePr>
        <xdr:cNvPr id="18" name="Chart 18"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33</xdr:col>
      <xdr:colOff>0</xdr:colOff>
      <xdr:row>196</xdr:row>
      <xdr:rowOff>0</xdr:rowOff>
    </xdr:from>
    <xdr:ext cx="6400800" cy="3952875"/>
    <xdr:graphicFrame>
      <xdr:nvGraphicFramePr>
        <xdr:cNvPr id="19" name="Chart 19"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39</xdr:col>
      <xdr:colOff>0</xdr:colOff>
      <xdr:row>196</xdr:row>
      <xdr:rowOff>0</xdr:rowOff>
    </xdr:from>
    <xdr:ext cx="6400800" cy="3952875"/>
    <xdr:graphicFrame>
      <xdr:nvGraphicFramePr>
        <xdr:cNvPr id="20" name="Chart 20" title="Chart"/>
        <xdr:cNvGraphicFramePr/>
      </xdr:nvGraphicFramePr>
      <xdr:xfrm>
        <a:off x="0" y="0"/>
        <a:ext cx="0" cy="0"/>
      </xdr:xfrm>
      <a:graphic>
        <a:graphicData uri="http://schemas.openxmlformats.org/drawingml/2006/chart">
          <c:chart r:id="rId12"/>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8.71"/>
    <col customWidth="1" min="3" max="3" width="15.71"/>
    <col customWidth="1" min="4" max="12" width="8.71"/>
    <col customWidth="1" min="13" max="13" width="15.71"/>
  </cols>
  <sheetData>
    <row r="1">
      <c r="A1" s="1" t="s">
        <v>0</v>
      </c>
      <c r="B1" s="1" t="s">
        <v>1</v>
      </c>
      <c r="C1" s="1" t="s">
        <v>2</v>
      </c>
      <c r="D1" s="1" t="s">
        <v>3</v>
      </c>
      <c r="E1" s="1" t="s">
        <v>4</v>
      </c>
      <c r="F1" s="2">
        <v>39995.0</v>
      </c>
      <c r="G1" s="2">
        <v>40118.0</v>
      </c>
      <c r="H1" s="2">
        <v>40179.0</v>
      </c>
      <c r="I1" s="2">
        <v>40238.0</v>
      </c>
      <c r="J1" s="2">
        <v>40299.0</v>
      </c>
      <c r="K1" s="2">
        <v>40360.0</v>
      </c>
      <c r="L1" s="2">
        <v>40422.0</v>
      </c>
      <c r="M1" s="2">
        <v>40483.0</v>
      </c>
    </row>
    <row r="2">
      <c r="A2" s="3" t="s">
        <v>5</v>
      </c>
      <c r="B2" s="3">
        <v>1.0</v>
      </c>
      <c r="C2" s="3" t="s">
        <v>6</v>
      </c>
      <c r="D2" s="3" t="s">
        <v>7</v>
      </c>
      <c r="E2" s="3" t="s">
        <v>8</v>
      </c>
      <c r="F2" s="3" t="s">
        <v>9</v>
      </c>
      <c r="G2" s="3" t="s">
        <v>10</v>
      </c>
      <c r="H2" s="3" t="s">
        <v>11</v>
      </c>
      <c r="I2" s="3" t="s">
        <v>6</v>
      </c>
      <c r="J2" s="3" t="s">
        <v>6</v>
      </c>
      <c r="K2" s="3" t="s">
        <v>6</v>
      </c>
      <c r="L2" s="3" t="s">
        <v>6</v>
      </c>
      <c r="M2" s="3" t="s">
        <v>6</v>
      </c>
    </row>
    <row r="3">
      <c r="A3" s="3" t="s">
        <v>12</v>
      </c>
      <c r="B3" s="3">
        <v>1.0</v>
      </c>
      <c r="C3" s="3" t="s">
        <v>13</v>
      </c>
      <c r="D3" s="3" t="s">
        <v>7</v>
      </c>
      <c r="E3" s="3" t="s">
        <v>8</v>
      </c>
      <c r="F3" s="3" t="s">
        <v>14</v>
      </c>
      <c r="G3" s="3" t="s">
        <v>15</v>
      </c>
      <c r="H3" s="3" t="s">
        <v>16</v>
      </c>
      <c r="I3" s="3" t="s">
        <v>13</v>
      </c>
      <c r="J3" s="3" t="s">
        <v>13</v>
      </c>
      <c r="K3" s="4" t="s">
        <v>17</v>
      </c>
      <c r="L3" s="4" t="s">
        <v>17</v>
      </c>
      <c r="M3" s="3" t="s">
        <v>13</v>
      </c>
    </row>
    <row r="4">
      <c r="A4" s="3" t="s">
        <v>18</v>
      </c>
      <c r="B4" s="3">
        <v>1.0</v>
      </c>
      <c r="C4" s="3" t="s">
        <v>19</v>
      </c>
      <c r="D4" s="3" t="s">
        <v>7</v>
      </c>
      <c r="E4" s="3" t="s">
        <v>8</v>
      </c>
      <c r="F4" s="3" t="s">
        <v>20</v>
      </c>
      <c r="G4" s="3" t="s">
        <v>21</v>
      </c>
      <c r="H4" s="3" t="s">
        <v>22</v>
      </c>
      <c r="I4" s="3" t="s">
        <v>19</v>
      </c>
      <c r="J4" s="3" t="s">
        <v>19</v>
      </c>
      <c r="K4" s="3" t="s">
        <v>19</v>
      </c>
      <c r="L4" s="3" t="s">
        <v>19</v>
      </c>
      <c r="M4" s="3" t="s">
        <v>19</v>
      </c>
    </row>
    <row r="5">
      <c r="A5" s="3" t="s">
        <v>23</v>
      </c>
      <c r="B5" s="3">
        <v>1.0</v>
      </c>
      <c r="C5" s="3" t="s">
        <v>24</v>
      </c>
      <c r="D5" s="3" t="s">
        <v>7</v>
      </c>
      <c r="E5" s="3" t="s">
        <v>8</v>
      </c>
      <c r="F5" s="3" t="s">
        <v>25</v>
      </c>
      <c r="G5" s="3" t="s">
        <v>26</v>
      </c>
      <c r="H5" s="3" t="s">
        <v>27</v>
      </c>
      <c r="I5" s="4" t="s">
        <v>17</v>
      </c>
      <c r="J5" s="4" t="s">
        <v>17</v>
      </c>
      <c r="K5" s="3" t="s">
        <v>24</v>
      </c>
      <c r="L5" s="3" t="s">
        <v>24</v>
      </c>
      <c r="M5" s="3" t="s">
        <v>24</v>
      </c>
    </row>
    <row r="6">
      <c r="A6" s="3" t="s">
        <v>28</v>
      </c>
      <c r="B6" s="3">
        <v>1.0</v>
      </c>
      <c r="C6" s="3" t="s">
        <v>29</v>
      </c>
      <c r="D6" s="3" t="s">
        <v>7</v>
      </c>
      <c r="E6" s="3" t="s">
        <v>8</v>
      </c>
      <c r="F6" s="3" t="s">
        <v>30</v>
      </c>
      <c r="G6" s="3" t="s">
        <v>31</v>
      </c>
      <c r="H6" s="3" t="s">
        <v>32</v>
      </c>
      <c r="I6" s="3" t="s">
        <v>29</v>
      </c>
      <c r="J6" s="3" t="s">
        <v>29</v>
      </c>
      <c r="K6" s="3" t="s">
        <v>29</v>
      </c>
      <c r="L6" s="3" t="s">
        <v>29</v>
      </c>
      <c r="M6" s="3" t="s">
        <v>29</v>
      </c>
    </row>
    <row r="7">
      <c r="A7" s="3" t="s">
        <v>33</v>
      </c>
      <c r="B7" s="3">
        <v>1.0</v>
      </c>
      <c r="C7" s="3" t="s">
        <v>17</v>
      </c>
      <c r="D7" s="3" t="s">
        <v>7</v>
      </c>
      <c r="E7" s="3" t="s">
        <v>8</v>
      </c>
      <c r="F7" s="3" t="s">
        <v>34</v>
      </c>
      <c r="G7" s="4" t="s">
        <v>17</v>
      </c>
      <c r="H7" s="4" t="s">
        <v>17</v>
      </c>
      <c r="I7" s="4" t="s">
        <v>17</v>
      </c>
      <c r="J7" s="4" t="s">
        <v>17</v>
      </c>
      <c r="K7" s="4" t="s">
        <v>17</v>
      </c>
      <c r="L7" s="4" t="s">
        <v>17</v>
      </c>
      <c r="M7" s="4" t="s">
        <v>17</v>
      </c>
    </row>
    <row r="8">
      <c r="A8" s="3" t="s">
        <v>35</v>
      </c>
      <c r="B8" s="3">
        <v>1.0</v>
      </c>
      <c r="C8" s="3" t="s">
        <v>36</v>
      </c>
      <c r="D8" s="3" t="s">
        <v>37</v>
      </c>
      <c r="E8" s="3" t="s">
        <v>8</v>
      </c>
      <c r="F8" s="3" t="s">
        <v>38</v>
      </c>
      <c r="G8" s="3" t="s">
        <v>39</v>
      </c>
      <c r="H8" s="3" t="s">
        <v>40</v>
      </c>
      <c r="I8" s="4" t="s">
        <v>17</v>
      </c>
      <c r="J8" s="3" t="s">
        <v>36</v>
      </c>
      <c r="K8" s="3" t="s">
        <v>36</v>
      </c>
      <c r="L8" s="3" t="s">
        <v>36</v>
      </c>
      <c r="M8" s="3" t="s">
        <v>36</v>
      </c>
    </row>
    <row r="9">
      <c r="A9" s="3" t="s">
        <v>41</v>
      </c>
      <c r="B9" s="3">
        <v>1.0</v>
      </c>
      <c r="C9" s="3" t="s">
        <v>42</v>
      </c>
      <c r="D9" s="3" t="s">
        <v>7</v>
      </c>
      <c r="E9" s="3" t="s">
        <v>8</v>
      </c>
      <c r="F9" s="3" t="s">
        <v>43</v>
      </c>
      <c r="G9" s="3" t="s">
        <v>44</v>
      </c>
      <c r="H9" s="3" t="s">
        <v>45</v>
      </c>
      <c r="I9" s="3" t="s">
        <v>42</v>
      </c>
      <c r="J9" s="3" t="s">
        <v>42</v>
      </c>
      <c r="K9" s="3" t="s">
        <v>42</v>
      </c>
      <c r="L9" s="3" t="s">
        <v>42</v>
      </c>
      <c r="M9" s="3" t="s">
        <v>42</v>
      </c>
    </row>
    <row r="10">
      <c r="A10" s="3" t="s">
        <v>46</v>
      </c>
      <c r="B10" s="3">
        <v>1.0</v>
      </c>
      <c r="C10" s="3" t="s">
        <v>17</v>
      </c>
      <c r="D10" s="3" t="s">
        <v>7</v>
      </c>
      <c r="E10" s="3" t="s">
        <v>8</v>
      </c>
      <c r="F10" s="3" t="s">
        <v>47</v>
      </c>
      <c r="G10" s="4" t="s">
        <v>17</v>
      </c>
      <c r="H10" s="4" t="s">
        <v>17</v>
      </c>
      <c r="I10" s="4" t="s">
        <v>17</v>
      </c>
      <c r="J10" s="4" t="s">
        <v>17</v>
      </c>
      <c r="K10" s="4" t="s">
        <v>17</v>
      </c>
      <c r="L10" s="4" t="s">
        <v>17</v>
      </c>
      <c r="M10" s="4" t="s">
        <v>17</v>
      </c>
    </row>
    <row r="11">
      <c r="A11" s="3" t="s">
        <v>48</v>
      </c>
      <c r="B11" s="3">
        <v>1.0</v>
      </c>
      <c r="C11" s="3" t="s">
        <v>49</v>
      </c>
      <c r="D11" s="3" t="s">
        <v>7</v>
      </c>
      <c r="E11" s="3" t="s">
        <v>8</v>
      </c>
      <c r="F11" s="3" t="s">
        <v>50</v>
      </c>
      <c r="G11" s="3" t="s">
        <v>51</v>
      </c>
      <c r="H11" s="3" t="s">
        <v>52</v>
      </c>
      <c r="I11" s="4" t="s">
        <v>17</v>
      </c>
      <c r="J11" s="4" t="s">
        <v>17</v>
      </c>
      <c r="K11" s="4" t="s">
        <v>17</v>
      </c>
      <c r="L11" s="4" t="s">
        <v>17</v>
      </c>
      <c r="M11" s="3" t="s">
        <v>49</v>
      </c>
    </row>
    <row r="12">
      <c r="A12" s="3" t="s">
        <v>53</v>
      </c>
      <c r="B12" s="3">
        <v>1.0</v>
      </c>
      <c r="C12" s="3" t="s">
        <v>54</v>
      </c>
      <c r="D12" s="3" t="s">
        <v>7</v>
      </c>
      <c r="E12" s="3" t="s">
        <v>8</v>
      </c>
      <c r="F12" s="3" t="s">
        <v>55</v>
      </c>
      <c r="G12" s="3" t="s">
        <v>56</v>
      </c>
      <c r="H12" s="3" t="s">
        <v>57</v>
      </c>
      <c r="I12" s="4" t="s">
        <v>17</v>
      </c>
      <c r="J12" s="4" t="s">
        <v>17</v>
      </c>
      <c r="K12" s="4" t="s">
        <v>17</v>
      </c>
      <c r="L12" s="4" t="s">
        <v>17</v>
      </c>
      <c r="M12" s="3" t="s">
        <v>54</v>
      </c>
    </row>
    <row r="13">
      <c r="A13" s="3" t="s">
        <v>58</v>
      </c>
      <c r="B13" s="3">
        <v>1.0</v>
      </c>
      <c r="C13" s="3" t="s">
        <v>17</v>
      </c>
      <c r="D13" s="3" t="s">
        <v>7</v>
      </c>
      <c r="E13" s="3" t="s">
        <v>8</v>
      </c>
      <c r="F13" s="3" t="s">
        <v>59</v>
      </c>
      <c r="G13" s="4" t="s">
        <v>17</v>
      </c>
      <c r="H13" s="4" t="s">
        <v>17</v>
      </c>
      <c r="I13" s="4" t="s">
        <v>17</v>
      </c>
      <c r="J13" s="4" t="s">
        <v>17</v>
      </c>
      <c r="K13" s="4" t="s">
        <v>17</v>
      </c>
      <c r="L13" s="4" t="s">
        <v>17</v>
      </c>
      <c r="M13" s="4" t="s">
        <v>17</v>
      </c>
    </row>
    <row r="14">
      <c r="A14" s="3" t="s">
        <v>60</v>
      </c>
      <c r="B14" s="3">
        <v>2.0</v>
      </c>
      <c r="C14" s="3" t="s">
        <v>61</v>
      </c>
      <c r="D14" s="3" t="s">
        <v>62</v>
      </c>
      <c r="E14" s="3" t="s">
        <v>8</v>
      </c>
      <c r="F14" s="4" t="s">
        <v>17</v>
      </c>
      <c r="G14" s="3" t="s">
        <v>63</v>
      </c>
      <c r="H14" s="3" t="s">
        <v>64</v>
      </c>
      <c r="I14" s="3" t="s">
        <v>61</v>
      </c>
      <c r="J14" s="3" t="s">
        <v>61</v>
      </c>
      <c r="K14" s="3" t="s">
        <v>61</v>
      </c>
      <c r="L14" s="3" t="s">
        <v>61</v>
      </c>
      <c r="M14" s="3" t="s">
        <v>61</v>
      </c>
    </row>
    <row r="15">
      <c r="A15" s="3" t="s">
        <v>65</v>
      </c>
      <c r="B15" s="3">
        <v>2.0</v>
      </c>
      <c r="C15" s="3" t="s">
        <v>66</v>
      </c>
      <c r="D15" s="3" t="s">
        <v>7</v>
      </c>
      <c r="E15" s="3" t="s">
        <v>67</v>
      </c>
      <c r="F15" s="4" t="s">
        <v>17</v>
      </c>
      <c r="G15" s="3" t="s">
        <v>68</v>
      </c>
      <c r="H15" s="3" t="s">
        <v>69</v>
      </c>
      <c r="I15" s="3" t="s">
        <v>66</v>
      </c>
      <c r="J15" s="4" t="s">
        <v>17</v>
      </c>
      <c r="K15" s="4" t="s">
        <v>17</v>
      </c>
      <c r="L15" s="3" t="s">
        <v>66</v>
      </c>
      <c r="M15" s="3" t="s">
        <v>66</v>
      </c>
    </row>
    <row r="16">
      <c r="A16" s="3" t="s">
        <v>70</v>
      </c>
      <c r="B16" s="3">
        <v>2.0</v>
      </c>
      <c r="C16" s="3" t="s">
        <v>71</v>
      </c>
      <c r="D16" s="3" t="s">
        <v>7</v>
      </c>
      <c r="E16" s="3" t="s">
        <v>8</v>
      </c>
      <c r="F16" s="4" t="s">
        <v>17</v>
      </c>
      <c r="G16" s="3" t="s">
        <v>72</v>
      </c>
      <c r="H16" s="3" t="s">
        <v>73</v>
      </c>
      <c r="I16" s="3" t="s">
        <v>74</v>
      </c>
      <c r="J16" s="3" t="s">
        <v>74</v>
      </c>
      <c r="K16" s="3" t="s">
        <v>74</v>
      </c>
      <c r="L16" s="3" t="s">
        <v>75</v>
      </c>
      <c r="M16" s="3" t="s">
        <v>71</v>
      </c>
    </row>
    <row r="17">
      <c r="A17" s="3" t="s">
        <v>76</v>
      </c>
      <c r="B17" s="3">
        <v>2.0</v>
      </c>
      <c r="C17" s="3" t="s">
        <v>77</v>
      </c>
      <c r="D17" s="3" t="s">
        <v>37</v>
      </c>
      <c r="E17" s="3" t="s">
        <v>67</v>
      </c>
      <c r="F17" s="4" t="s">
        <v>17</v>
      </c>
      <c r="G17" s="3" t="s">
        <v>78</v>
      </c>
      <c r="H17" s="4" t="s">
        <v>17</v>
      </c>
      <c r="I17" s="4" t="s">
        <v>17</v>
      </c>
      <c r="J17" s="4" t="s">
        <v>17</v>
      </c>
      <c r="K17" s="4" t="s">
        <v>17</v>
      </c>
      <c r="L17" s="4" t="s">
        <v>17</v>
      </c>
      <c r="M17" s="3" t="s">
        <v>77</v>
      </c>
    </row>
    <row r="18">
      <c r="A18" s="3" t="s">
        <v>79</v>
      </c>
      <c r="B18" s="3">
        <v>2.0</v>
      </c>
      <c r="C18" s="3" t="s">
        <v>80</v>
      </c>
      <c r="D18" s="3" t="s">
        <v>7</v>
      </c>
      <c r="E18" s="3" t="s">
        <v>8</v>
      </c>
      <c r="F18" s="4" t="s">
        <v>17</v>
      </c>
      <c r="G18" s="3" t="s">
        <v>81</v>
      </c>
      <c r="H18" s="3" t="s">
        <v>82</v>
      </c>
      <c r="I18" s="3" t="s">
        <v>80</v>
      </c>
      <c r="J18" s="3" t="s">
        <v>80</v>
      </c>
      <c r="K18" s="3" t="s">
        <v>80</v>
      </c>
      <c r="L18" s="3" t="s">
        <v>80</v>
      </c>
      <c r="M18" s="3" t="s">
        <v>80</v>
      </c>
    </row>
    <row r="19">
      <c r="A19" s="3" t="s">
        <v>83</v>
      </c>
      <c r="B19" s="3">
        <v>2.0</v>
      </c>
      <c r="C19" s="3" t="s">
        <v>84</v>
      </c>
      <c r="D19" s="3" t="s">
        <v>7</v>
      </c>
      <c r="E19" s="3" t="s">
        <v>67</v>
      </c>
      <c r="F19" s="4" t="s">
        <v>17</v>
      </c>
      <c r="G19" s="3" t="s">
        <v>85</v>
      </c>
      <c r="H19" s="3" t="s">
        <v>86</v>
      </c>
      <c r="I19" s="3" t="s">
        <v>84</v>
      </c>
      <c r="J19" s="3" t="s">
        <v>84</v>
      </c>
      <c r="K19" s="3" t="s">
        <v>84</v>
      </c>
      <c r="L19" s="3" t="s">
        <v>84</v>
      </c>
      <c r="M19" s="3" t="s">
        <v>84</v>
      </c>
    </row>
    <row r="20">
      <c r="A20" s="3" t="s">
        <v>87</v>
      </c>
      <c r="B20" s="3">
        <v>2.0</v>
      </c>
      <c r="C20" s="3" t="s">
        <v>88</v>
      </c>
      <c r="D20" s="3" t="s">
        <v>7</v>
      </c>
      <c r="E20" s="3" t="s">
        <v>8</v>
      </c>
      <c r="F20" s="4" t="s">
        <v>17</v>
      </c>
      <c r="G20" s="3" t="s">
        <v>89</v>
      </c>
      <c r="H20" s="3" t="s">
        <v>90</v>
      </c>
      <c r="I20" s="3" t="s">
        <v>91</v>
      </c>
      <c r="J20" s="4" t="s">
        <v>91</v>
      </c>
      <c r="K20" s="3" t="s">
        <v>91</v>
      </c>
      <c r="L20" s="3" t="s">
        <v>92</v>
      </c>
      <c r="M20" s="3" t="s">
        <v>88</v>
      </c>
    </row>
    <row r="21">
      <c r="A21" s="3" t="s">
        <v>93</v>
      </c>
      <c r="B21" s="3">
        <v>2.0</v>
      </c>
      <c r="C21" s="3" t="s">
        <v>94</v>
      </c>
      <c r="D21" s="3" t="s">
        <v>37</v>
      </c>
      <c r="E21" s="3" t="s">
        <v>67</v>
      </c>
      <c r="F21" s="4" t="s">
        <v>17</v>
      </c>
      <c r="G21" s="3" t="s">
        <v>95</v>
      </c>
      <c r="H21" s="3" t="s">
        <v>96</v>
      </c>
      <c r="I21" s="3" t="s">
        <v>94</v>
      </c>
      <c r="J21" s="3" t="s">
        <v>94</v>
      </c>
      <c r="K21" s="3" t="s">
        <v>94</v>
      </c>
      <c r="L21" s="3" t="s">
        <v>94</v>
      </c>
      <c r="M21" s="3" t="s">
        <v>94</v>
      </c>
    </row>
    <row r="22">
      <c r="A22" s="3" t="s">
        <v>97</v>
      </c>
      <c r="B22" s="3">
        <v>2.0</v>
      </c>
      <c r="C22" s="3" t="s">
        <v>98</v>
      </c>
      <c r="D22" s="3" t="s">
        <v>37</v>
      </c>
      <c r="E22" s="3" t="s">
        <v>67</v>
      </c>
      <c r="F22" s="4" t="s">
        <v>17</v>
      </c>
      <c r="G22" s="3" t="s">
        <v>99</v>
      </c>
      <c r="H22" s="4" t="s">
        <v>17</v>
      </c>
      <c r="I22" s="3" t="s">
        <v>98</v>
      </c>
      <c r="J22" s="3" t="s">
        <v>98</v>
      </c>
      <c r="K22" s="3" t="s">
        <v>98</v>
      </c>
      <c r="L22" s="3" t="s">
        <v>98</v>
      </c>
      <c r="M22" s="3" t="s">
        <v>98</v>
      </c>
    </row>
    <row r="23">
      <c r="A23" s="3" t="s">
        <v>100</v>
      </c>
      <c r="B23" s="3">
        <v>2.0</v>
      </c>
      <c r="C23" s="3" t="s">
        <v>101</v>
      </c>
      <c r="D23" s="3" t="s">
        <v>7</v>
      </c>
      <c r="E23" s="3" t="s">
        <v>8</v>
      </c>
      <c r="F23" s="4" t="s">
        <v>17</v>
      </c>
      <c r="G23" s="3" t="s">
        <v>102</v>
      </c>
      <c r="H23" s="3" t="s">
        <v>103</v>
      </c>
      <c r="I23" s="3" t="s">
        <v>101</v>
      </c>
      <c r="J23" s="3" t="s">
        <v>101</v>
      </c>
      <c r="K23" s="3" t="s">
        <v>101</v>
      </c>
      <c r="L23" s="3" t="s">
        <v>101</v>
      </c>
      <c r="M23" s="3" t="s">
        <v>101</v>
      </c>
    </row>
    <row r="24">
      <c r="A24" s="3" t="s">
        <v>104</v>
      </c>
      <c r="B24" s="3">
        <v>2.0</v>
      </c>
      <c r="C24" s="3" t="s">
        <v>105</v>
      </c>
      <c r="D24" s="3" t="s">
        <v>7</v>
      </c>
      <c r="E24" s="3" t="s">
        <v>67</v>
      </c>
      <c r="F24" s="4" t="s">
        <v>17</v>
      </c>
      <c r="G24" s="3" t="s">
        <v>106</v>
      </c>
      <c r="H24" s="3" t="s">
        <v>107</v>
      </c>
      <c r="I24" s="3" t="s">
        <v>105</v>
      </c>
      <c r="J24" s="3" t="s">
        <v>105</v>
      </c>
      <c r="K24" s="3" t="s">
        <v>105</v>
      </c>
      <c r="L24" s="3" t="s">
        <v>105</v>
      </c>
      <c r="M24" s="3" t="s">
        <v>105</v>
      </c>
    </row>
    <row r="25">
      <c r="A25" s="3" t="s">
        <v>108</v>
      </c>
      <c r="B25" s="3">
        <v>2.0</v>
      </c>
      <c r="C25" s="3" t="s">
        <v>109</v>
      </c>
      <c r="D25" s="3" t="s">
        <v>62</v>
      </c>
      <c r="E25" s="3" t="s">
        <v>8</v>
      </c>
      <c r="F25" s="4" t="s">
        <v>17</v>
      </c>
      <c r="G25" s="3" t="s">
        <v>110</v>
      </c>
      <c r="H25" s="3" t="s">
        <v>111</v>
      </c>
      <c r="I25" s="3" t="s">
        <v>109</v>
      </c>
      <c r="J25" s="3" t="s">
        <v>109</v>
      </c>
      <c r="K25" s="3" t="s">
        <v>109</v>
      </c>
      <c r="L25" s="4" t="s">
        <v>17</v>
      </c>
      <c r="M25" s="3" t="s">
        <v>109</v>
      </c>
    </row>
    <row r="26">
      <c r="A26" s="3" t="s">
        <v>112</v>
      </c>
      <c r="B26" s="3">
        <v>2.0</v>
      </c>
      <c r="C26" s="3" t="s">
        <v>113</v>
      </c>
      <c r="D26" s="3" t="s">
        <v>7</v>
      </c>
      <c r="E26" s="3" t="s">
        <v>8</v>
      </c>
      <c r="F26" s="4" t="s">
        <v>17</v>
      </c>
      <c r="G26" s="3" t="s">
        <v>114</v>
      </c>
      <c r="H26" s="3" t="s">
        <v>115</v>
      </c>
      <c r="I26" s="3" t="s">
        <v>113</v>
      </c>
      <c r="J26" s="3" t="s">
        <v>113</v>
      </c>
      <c r="K26" s="4" t="s">
        <v>17</v>
      </c>
      <c r="L26" s="3" t="s">
        <v>113</v>
      </c>
      <c r="M26" s="3" t="s">
        <v>113</v>
      </c>
    </row>
    <row r="27">
      <c r="A27" s="3" t="s">
        <v>116</v>
      </c>
      <c r="B27" s="3">
        <v>3.0</v>
      </c>
      <c r="C27" s="3" t="s">
        <v>117</v>
      </c>
      <c r="D27" s="3" t="s">
        <v>7</v>
      </c>
      <c r="E27" s="3" t="s">
        <v>8</v>
      </c>
      <c r="F27" s="4" t="s">
        <v>17</v>
      </c>
      <c r="G27" s="4" t="s">
        <v>17</v>
      </c>
      <c r="H27" s="3" t="s">
        <v>118</v>
      </c>
      <c r="I27" s="3" t="s">
        <v>117</v>
      </c>
      <c r="J27" s="4" t="s">
        <v>117</v>
      </c>
      <c r="K27" s="4" t="s">
        <v>17</v>
      </c>
      <c r="L27" s="3" t="s">
        <v>117</v>
      </c>
      <c r="M27" s="3" t="s">
        <v>117</v>
      </c>
    </row>
    <row r="28">
      <c r="A28" s="3" t="s">
        <v>119</v>
      </c>
      <c r="B28" s="3">
        <v>3.0</v>
      </c>
      <c r="C28" s="3" t="s">
        <v>120</v>
      </c>
      <c r="D28" s="3" t="s">
        <v>62</v>
      </c>
      <c r="E28" s="3" t="s">
        <v>8</v>
      </c>
      <c r="F28" s="4" t="s">
        <v>17</v>
      </c>
      <c r="G28" s="4" t="s">
        <v>17</v>
      </c>
      <c r="H28" s="3" t="s">
        <v>121</v>
      </c>
      <c r="I28" s="3" t="s">
        <v>120</v>
      </c>
      <c r="J28" s="3" t="s">
        <v>120</v>
      </c>
      <c r="K28" s="3" t="s">
        <v>120</v>
      </c>
      <c r="L28" s="3" t="s">
        <v>120</v>
      </c>
      <c r="M28" s="3" t="s">
        <v>120</v>
      </c>
    </row>
    <row r="29">
      <c r="A29" s="3" t="s">
        <v>122</v>
      </c>
      <c r="B29" s="3">
        <v>3.0</v>
      </c>
      <c r="C29" s="3" t="s">
        <v>123</v>
      </c>
      <c r="D29" s="3" t="s">
        <v>7</v>
      </c>
      <c r="E29" s="3" t="s">
        <v>8</v>
      </c>
      <c r="F29" s="4" t="s">
        <v>17</v>
      </c>
      <c r="G29" s="4" t="s">
        <v>17</v>
      </c>
      <c r="H29" s="3" t="s">
        <v>124</v>
      </c>
      <c r="I29" s="3" t="s">
        <v>123</v>
      </c>
      <c r="J29" s="3" t="s">
        <v>123</v>
      </c>
      <c r="K29" s="3" t="s">
        <v>123</v>
      </c>
      <c r="L29" s="4" t="s">
        <v>17</v>
      </c>
      <c r="M29" s="3" t="s">
        <v>123</v>
      </c>
    </row>
    <row r="30">
      <c r="A30" s="3" t="s">
        <v>125</v>
      </c>
      <c r="B30" s="3">
        <v>3.0</v>
      </c>
      <c r="C30" s="3" t="s">
        <v>126</v>
      </c>
      <c r="D30" s="3" t="s">
        <v>7</v>
      </c>
      <c r="E30" s="3" t="s">
        <v>8</v>
      </c>
      <c r="F30" s="4" t="s">
        <v>17</v>
      </c>
      <c r="G30" s="4" t="s">
        <v>17</v>
      </c>
      <c r="H30" s="3" t="s">
        <v>127</v>
      </c>
      <c r="I30" s="3" t="s">
        <v>126</v>
      </c>
      <c r="J30" s="3" t="s">
        <v>126</v>
      </c>
      <c r="K30" s="3" t="s">
        <v>126</v>
      </c>
      <c r="L30" s="3" t="s">
        <v>126</v>
      </c>
      <c r="M30" s="3" t="s">
        <v>126</v>
      </c>
    </row>
    <row r="31">
      <c r="A31" s="3" t="s">
        <v>128</v>
      </c>
      <c r="B31" s="3">
        <v>3.0</v>
      </c>
      <c r="C31" s="3" t="s">
        <v>129</v>
      </c>
      <c r="D31" s="3" t="s">
        <v>7</v>
      </c>
      <c r="E31" s="3" t="s">
        <v>8</v>
      </c>
      <c r="F31" s="4" t="s">
        <v>17</v>
      </c>
      <c r="G31" s="4" t="s">
        <v>17</v>
      </c>
      <c r="H31" s="3" t="s">
        <v>130</v>
      </c>
      <c r="I31" s="3" t="s">
        <v>129</v>
      </c>
      <c r="J31" s="3" t="s">
        <v>129</v>
      </c>
      <c r="K31" s="3" t="s">
        <v>129</v>
      </c>
      <c r="L31" s="3" t="s">
        <v>129</v>
      </c>
      <c r="M31" s="3" t="s">
        <v>129</v>
      </c>
    </row>
    <row r="32">
      <c r="A32" s="3" t="s">
        <v>131</v>
      </c>
      <c r="B32" s="3">
        <v>3.0</v>
      </c>
      <c r="C32" s="3" t="s">
        <v>132</v>
      </c>
      <c r="D32" s="3" t="s">
        <v>7</v>
      </c>
      <c r="E32" s="3" t="s">
        <v>67</v>
      </c>
      <c r="F32" s="4" t="s">
        <v>17</v>
      </c>
      <c r="G32" s="4" t="s">
        <v>17</v>
      </c>
      <c r="H32" s="3" t="s">
        <v>133</v>
      </c>
      <c r="I32" s="3" t="s">
        <v>132</v>
      </c>
      <c r="J32" s="3" t="s">
        <v>132</v>
      </c>
      <c r="K32" s="3" t="s">
        <v>132</v>
      </c>
      <c r="L32" s="3" t="s">
        <v>132</v>
      </c>
      <c r="M32" s="3" t="s">
        <v>132</v>
      </c>
    </row>
    <row r="33">
      <c r="A33" s="3" t="s">
        <v>134</v>
      </c>
      <c r="B33" s="3">
        <v>3.0</v>
      </c>
      <c r="C33" s="3" t="s">
        <v>135</v>
      </c>
      <c r="D33" s="3" t="s">
        <v>7</v>
      </c>
      <c r="E33" s="3" t="s">
        <v>8</v>
      </c>
      <c r="F33" s="4" t="s">
        <v>17</v>
      </c>
      <c r="G33" s="4" t="s">
        <v>17</v>
      </c>
      <c r="H33" s="3" t="s">
        <v>136</v>
      </c>
      <c r="I33" s="3" t="s">
        <v>135</v>
      </c>
      <c r="J33" s="3" t="s">
        <v>135</v>
      </c>
      <c r="K33" s="3" t="s">
        <v>135</v>
      </c>
      <c r="L33" s="3" t="s">
        <v>135</v>
      </c>
      <c r="M33" s="3" t="s">
        <v>135</v>
      </c>
    </row>
    <row r="34">
      <c r="A34" s="3" t="s">
        <v>137</v>
      </c>
      <c r="B34" s="3">
        <v>3.0</v>
      </c>
      <c r="C34" s="3" t="s">
        <v>138</v>
      </c>
      <c r="D34" s="3" t="s">
        <v>37</v>
      </c>
      <c r="E34" s="3" t="s">
        <v>8</v>
      </c>
      <c r="F34" s="4" t="s">
        <v>17</v>
      </c>
      <c r="G34" s="4" t="s">
        <v>17</v>
      </c>
      <c r="H34" s="3" t="s">
        <v>139</v>
      </c>
      <c r="I34" s="3" t="s">
        <v>138</v>
      </c>
      <c r="J34" s="3" t="s">
        <v>138</v>
      </c>
      <c r="K34" s="3" t="s">
        <v>138</v>
      </c>
      <c r="L34" s="3" t="s">
        <v>138</v>
      </c>
      <c r="M34" s="3" t="s">
        <v>138</v>
      </c>
    </row>
    <row r="35">
      <c r="A35" s="3" t="s">
        <v>140</v>
      </c>
      <c r="B35" s="3">
        <v>3.0</v>
      </c>
      <c r="C35" s="3" t="s">
        <v>141</v>
      </c>
      <c r="D35" s="3" t="s">
        <v>7</v>
      </c>
      <c r="E35" s="3" t="s">
        <v>8</v>
      </c>
      <c r="F35" s="4" t="s">
        <v>17</v>
      </c>
      <c r="G35" s="4" t="s">
        <v>17</v>
      </c>
      <c r="H35" s="3" t="s">
        <v>142</v>
      </c>
      <c r="I35" s="3" t="s">
        <v>141</v>
      </c>
      <c r="J35" s="3" t="s">
        <v>141</v>
      </c>
      <c r="K35" s="3" t="s">
        <v>141</v>
      </c>
      <c r="L35" s="3" t="s">
        <v>141</v>
      </c>
      <c r="M35" s="3" t="s">
        <v>141</v>
      </c>
    </row>
    <row r="36">
      <c r="A36" s="3" t="s">
        <v>143</v>
      </c>
      <c r="B36" s="3">
        <v>3.0</v>
      </c>
      <c r="C36" s="3" t="s">
        <v>144</v>
      </c>
      <c r="D36" s="3" t="s">
        <v>7</v>
      </c>
      <c r="E36" s="3" t="s">
        <v>8</v>
      </c>
      <c r="F36" s="4" t="s">
        <v>17</v>
      </c>
      <c r="G36" s="4" t="s">
        <v>17</v>
      </c>
      <c r="H36" s="3" t="s">
        <v>145</v>
      </c>
      <c r="I36" s="3" t="s">
        <v>144</v>
      </c>
      <c r="J36" s="3" t="s">
        <v>144</v>
      </c>
      <c r="K36" s="3" t="s">
        <v>144</v>
      </c>
      <c r="L36" s="3" t="s">
        <v>144</v>
      </c>
      <c r="M36" s="3" t="s">
        <v>144</v>
      </c>
    </row>
    <row r="37">
      <c r="A37" s="3" t="s">
        <v>146</v>
      </c>
      <c r="B37" s="3">
        <v>3.0</v>
      </c>
      <c r="C37" s="3" t="s">
        <v>147</v>
      </c>
      <c r="D37" s="3" t="s">
        <v>7</v>
      </c>
      <c r="E37" s="3" t="s">
        <v>67</v>
      </c>
      <c r="F37" s="4" t="s">
        <v>17</v>
      </c>
      <c r="G37" s="4" t="s">
        <v>17</v>
      </c>
      <c r="H37" s="3" t="s">
        <v>148</v>
      </c>
      <c r="I37" s="4" t="s">
        <v>17</v>
      </c>
      <c r="J37" s="3" t="s">
        <v>149</v>
      </c>
      <c r="K37" s="3" t="s">
        <v>149</v>
      </c>
      <c r="L37" s="3" t="s">
        <v>150</v>
      </c>
      <c r="M37" s="3" t="s">
        <v>147</v>
      </c>
    </row>
    <row r="38">
      <c r="A38" s="3" t="s">
        <v>151</v>
      </c>
      <c r="B38" s="3">
        <v>3.0</v>
      </c>
      <c r="C38" s="3" t="s">
        <v>152</v>
      </c>
      <c r="D38" s="3" t="s">
        <v>37</v>
      </c>
      <c r="E38" s="3" t="s">
        <v>8</v>
      </c>
      <c r="F38" s="4" t="s">
        <v>17</v>
      </c>
      <c r="G38" s="4" t="s">
        <v>17</v>
      </c>
      <c r="H38" s="3" t="s">
        <v>153</v>
      </c>
      <c r="I38" s="3" t="s">
        <v>152</v>
      </c>
      <c r="J38" s="3" t="s">
        <v>152</v>
      </c>
      <c r="K38" s="4" t="s">
        <v>17</v>
      </c>
      <c r="L38" s="3" t="s">
        <v>152</v>
      </c>
      <c r="M38" s="3" t="s">
        <v>152</v>
      </c>
    </row>
    <row r="39">
      <c r="A39" s="3" t="s">
        <v>154</v>
      </c>
      <c r="B39" s="3">
        <v>3.0</v>
      </c>
      <c r="C39" s="3" t="s">
        <v>155</v>
      </c>
      <c r="D39" s="3" t="s">
        <v>7</v>
      </c>
      <c r="E39" s="3" t="s">
        <v>67</v>
      </c>
      <c r="F39" s="4" t="s">
        <v>17</v>
      </c>
      <c r="G39" s="4" t="s">
        <v>17</v>
      </c>
      <c r="H39" s="3" t="s">
        <v>156</v>
      </c>
      <c r="I39" s="4" t="s">
        <v>17</v>
      </c>
      <c r="J39" s="4" t="s">
        <v>17</v>
      </c>
      <c r="K39" s="4" t="s">
        <v>17</v>
      </c>
      <c r="L39" s="4" t="s">
        <v>17</v>
      </c>
      <c r="M39" s="3" t="s">
        <v>155</v>
      </c>
    </row>
    <row r="40">
      <c r="A40" s="3" t="s">
        <v>157</v>
      </c>
      <c r="B40" s="3">
        <v>3.0</v>
      </c>
      <c r="C40" s="3" t="s">
        <v>158</v>
      </c>
      <c r="D40" s="3" t="s">
        <v>7</v>
      </c>
      <c r="E40" s="3" t="s">
        <v>8</v>
      </c>
      <c r="F40" s="4" t="s">
        <v>17</v>
      </c>
      <c r="G40" s="4" t="s">
        <v>17</v>
      </c>
      <c r="H40" s="3" t="s">
        <v>159</v>
      </c>
      <c r="I40" s="3" t="s">
        <v>158</v>
      </c>
      <c r="J40" s="3" t="s">
        <v>158</v>
      </c>
      <c r="K40" s="3" t="s">
        <v>158</v>
      </c>
      <c r="L40" s="3" t="s">
        <v>158</v>
      </c>
      <c r="M40" s="3" t="s">
        <v>158</v>
      </c>
    </row>
    <row r="41">
      <c r="A41" s="3" t="s">
        <v>160</v>
      </c>
      <c r="B41" s="3">
        <v>3.0</v>
      </c>
      <c r="C41" s="3" t="s">
        <v>161</v>
      </c>
      <c r="D41" s="3" t="s">
        <v>62</v>
      </c>
      <c r="E41" s="3" t="s">
        <v>67</v>
      </c>
      <c r="F41" s="4" t="s">
        <v>17</v>
      </c>
      <c r="G41" s="4" t="s">
        <v>17</v>
      </c>
      <c r="H41" s="3" t="s">
        <v>162</v>
      </c>
      <c r="I41" s="3" t="s">
        <v>163</v>
      </c>
      <c r="J41" s="3" t="s">
        <v>163</v>
      </c>
      <c r="K41" s="4" t="s">
        <v>17</v>
      </c>
      <c r="L41" s="3" t="s">
        <v>163</v>
      </c>
      <c r="M41" s="3" t="s">
        <v>161</v>
      </c>
    </row>
    <row r="42">
      <c r="A42" s="3" t="s">
        <v>164</v>
      </c>
      <c r="B42" s="3">
        <v>3.0</v>
      </c>
      <c r="C42" s="3" t="s">
        <v>165</v>
      </c>
      <c r="D42" s="3" t="s">
        <v>62</v>
      </c>
      <c r="E42" s="3" t="s">
        <v>8</v>
      </c>
      <c r="F42" s="4" t="s">
        <v>17</v>
      </c>
      <c r="G42" s="4" t="s">
        <v>17</v>
      </c>
      <c r="H42" s="3" t="s">
        <v>166</v>
      </c>
      <c r="I42" s="3" t="s">
        <v>165</v>
      </c>
      <c r="J42" s="3" t="s">
        <v>165</v>
      </c>
      <c r="K42" s="3" t="s">
        <v>165</v>
      </c>
      <c r="L42" s="3" t="s">
        <v>165</v>
      </c>
      <c r="M42" s="3" t="s">
        <v>165</v>
      </c>
    </row>
    <row r="43">
      <c r="A43" s="3" t="s">
        <v>167</v>
      </c>
      <c r="B43" s="3">
        <v>3.0</v>
      </c>
      <c r="C43" s="3" t="s">
        <v>168</v>
      </c>
      <c r="D43" s="3" t="s">
        <v>7</v>
      </c>
      <c r="E43" s="3" t="s">
        <v>8</v>
      </c>
      <c r="F43" s="4" t="s">
        <v>17</v>
      </c>
      <c r="G43" s="4" t="s">
        <v>17</v>
      </c>
      <c r="H43" s="3" t="s">
        <v>169</v>
      </c>
      <c r="I43" s="3" t="s">
        <v>168</v>
      </c>
      <c r="J43" s="3" t="s">
        <v>168</v>
      </c>
      <c r="K43" s="3" t="s">
        <v>168</v>
      </c>
      <c r="L43" s="3" t="s">
        <v>168</v>
      </c>
      <c r="M43" s="3" t="s">
        <v>168</v>
      </c>
    </row>
    <row r="44">
      <c r="A44" s="3" t="s">
        <v>170</v>
      </c>
      <c r="B44" s="3">
        <v>3.0</v>
      </c>
      <c r="C44" s="3" t="s">
        <v>171</v>
      </c>
      <c r="D44" s="3" t="s">
        <v>7</v>
      </c>
      <c r="E44" s="3" t="s">
        <v>67</v>
      </c>
      <c r="F44" s="4" t="s">
        <v>17</v>
      </c>
      <c r="G44" s="4" t="s">
        <v>17</v>
      </c>
      <c r="H44" s="3" t="s">
        <v>172</v>
      </c>
      <c r="I44" s="3" t="s">
        <v>171</v>
      </c>
      <c r="J44" s="3" t="s">
        <v>171</v>
      </c>
      <c r="K44" s="3" t="s">
        <v>171</v>
      </c>
      <c r="L44" s="3" t="s">
        <v>171</v>
      </c>
      <c r="M44" s="3" t="s">
        <v>171</v>
      </c>
    </row>
    <row r="45">
      <c r="A45" s="3" t="s">
        <v>173</v>
      </c>
      <c r="B45" s="3">
        <v>3.0</v>
      </c>
      <c r="C45" s="3" t="s">
        <v>174</v>
      </c>
      <c r="D45" s="3" t="s">
        <v>7</v>
      </c>
      <c r="E45" s="3" t="s">
        <v>8</v>
      </c>
      <c r="F45" s="4" t="s">
        <v>17</v>
      </c>
      <c r="G45" s="4" t="s">
        <v>17</v>
      </c>
      <c r="H45" s="3" t="s">
        <v>175</v>
      </c>
      <c r="I45" s="4" t="s">
        <v>17</v>
      </c>
      <c r="J45" s="4" t="s">
        <v>17</v>
      </c>
      <c r="K45" s="4" t="s">
        <v>17</v>
      </c>
      <c r="L45" s="4" t="s">
        <v>17</v>
      </c>
      <c r="M45" s="3" t="s">
        <v>174</v>
      </c>
    </row>
    <row r="46">
      <c r="A46" s="3" t="s">
        <v>176</v>
      </c>
      <c r="B46" s="3">
        <v>3.0</v>
      </c>
      <c r="C46" s="3" t="s">
        <v>177</v>
      </c>
      <c r="D46" s="3" t="s">
        <v>37</v>
      </c>
      <c r="E46" s="3" t="s">
        <v>8</v>
      </c>
      <c r="F46" s="4" t="s">
        <v>17</v>
      </c>
      <c r="G46" s="4" t="s">
        <v>17</v>
      </c>
      <c r="H46" s="3" t="s">
        <v>178</v>
      </c>
      <c r="I46" s="3" t="s">
        <v>177</v>
      </c>
      <c r="J46" s="3" t="s">
        <v>177</v>
      </c>
      <c r="K46" s="4" t="s">
        <v>17</v>
      </c>
      <c r="L46" s="3" t="s">
        <v>177</v>
      </c>
      <c r="M46" s="3" t="s">
        <v>177</v>
      </c>
    </row>
    <row r="47">
      <c r="A47" s="3" t="s">
        <v>179</v>
      </c>
      <c r="B47" s="3">
        <v>3.0</v>
      </c>
      <c r="C47" s="3" t="s">
        <v>180</v>
      </c>
      <c r="D47" s="3" t="s">
        <v>7</v>
      </c>
      <c r="E47" s="3" t="s">
        <v>8</v>
      </c>
      <c r="F47" s="4" t="s">
        <v>17</v>
      </c>
      <c r="G47" s="4" t="s">
        <v>17</v>
      </c>
      <c r="H47" s="3" t="s">
        <v>181</v>
      </c>
      <c r="I47" s="3" t="s">
        <v>180</v>
      </c>
      <c r="J47" s="3" t="s">
        <v>180</v>
      </c>
      <c r="K47" s="3" t="s">
        <v>180</v>
      </c>
      <c r="L47" s="3" t="s">
        <v>180</v>
      </c>
      <c r="M47" s="3" t="s">
        <v>180</v>
      </c>
    </row>
    <row r="48">
      <c r="A48" s="3" t="s">
        <v>182</v>
      </c>
      <c r="B48" s="3">
        <v>3.0</v>
      </c>
      <c r="C48" s="3" t="s">
        <v>183</v>
      </c>
      <c r="D48" s="3" t="s">
        <v>7</v>
      </c>
      <c r="E48" s="3" t="s">
        <v>8</v>
      </c>
      <c r="F48" s="4" t="s">
        <v>17</v>
      </c>
      <c r="G48" s="4" t="s">
        <v>17</v>
      </c>
      <c r="H48" s="3" t="s">
        <v>184</v>
      </c>
      <c r="I48" s="3" t="s">
        <v>183</v>
      </c>
      <c r="J48" s="3" t="s">
        <v>183</v>
      </c>
      <c r="K48" s="3" t="s">
        <v>183</v>
      </c>
      <c r="L48" s="3" t="s">
        <v>183</v>
      </c>
      <c r="M48" s="3" t="s">
        <v>183</v>
      </c>
    </row>
    <row r="49">
      <c r="A49" s="3" t="s">
        <v>185</v>
      </c>
      <c r="B49" s="3">
        <v>3.0</v>
      </c>
      <c r="C49" s="3" t="s">
        <v>186</v>
      </c>
      <c r="D49" s="3" t="s">
        <v>7</v>
      </c>
      <c r="E49" s="3" t="s">
        <v>67</v>
      </c>
      <c r="F49" s="4" t="s">
        <v>17</v>
      </c>
      <c r="G49" s="4" t="s">
        <v>17</v>
      </c>
      <c r="H49" s="3" t="s">
        <v>187</v>
      </c>
      <c r="I49" s="4" t="s">
        <v>17</v>
      </c>
      <c r="J49" s="4" t="s">
        <v>17</v>
      </c>
      <c r="K49" s="4" t="s">
        <v>17</v>
      </c>
      <c r="L49" s="4" t="s">
        <v>17</v>
      </c>
      <c r="M49" s="3" t="s">
        <v>186</v>
      </c>
    </row>
    <row r="50">
      <c r="A50" s="3" t="s">
        <v>188</v>
      </c>
      <c r="B50" s="3">
        <v>3.0</v>
      </c>
      <c r="C50" s="3" t="s">
        <v>189</v>
      </c>
      <c r="D50" s="3" t="s">
        <v>7</v>
      </c>
      <c r="E50" s="3" t="s">
        <v>67</v>
      </c>
      <c r="F50" s="4" t="s">
        <v>17</v>
      </c>
      <c r="G50" s="4" t="s">
        <v>17</v>
      </c>
      <c r="H50" s="3" t="s">
        <v>190</v>
      </c>
      <c r="I50" s="4" t="s">
        <v>17</v>
      </c>
      <c r="J50" s="4" t="s">
        <v>17</v>
      </c>
      <c r="K50" s="4" t="s">
        <v>17</v>
      </c>
      <c r="L50" s="4" t="s">
        <v>17</v>
      </c>
      <c r="M50" s="3" t="s">
        <v>189</v>
      </c>
    </row>
    <row r="51">
      <c r="A51" s="3" t="s">
        <v>191</v>
      </c>
      <c r="B51" s="3">
        <v>3.0</v>
      </c>
      <c r="C51" s="3" t="s">
        <v>192</v>
      </c>
      <c r="D51" s="3" t="s">
        <v>7</v>
      </c>
      <c r="E51" s="3" t="s">
        <v>67</v>
      </c>
      <c r="F51" s="4" t="s">
        <v>17</v>
      </c>
      <c r="G51" s="4" t="s">
        <v>17</v>
      </c>
      <c r="H51" s="3" t="s">
        <v>193</v>
      </c>
      <c r="I51" s="4" t="s">
        <v>17</v>
      </c>
      <c r="J51" s="4" t="s">
        <v>17</v>
      </c>
      <c r="K51" s="4" t="s">
        <v>17</v>
      </c>
      <c r="L51" s="4" t="s">
        <v>17</v>
      </c>
      <c r="M51" s="3" t="s">
        <v>192</v>
      </c>
    </row>
    <row r="52">
      <c r="A52" s="3" t="s">
        <v>194</v>
      </c>
      <c r="B52" s="3">
        <v>3.0</v>
      </c>
      <c r="C52" s="3" t="s">
        <v>195</v>
      </c>
      <c r="D52" s="3" t="s">
        <v>7</v>
      </c>
      <c r="E52" s="3" t="s">
        <v>67</v>
      </c>
      <c r="F52" s="4" t="s">
        <v>17</v>
      </c>
      <c r="G52" s="4" t="s">
        <v>17</v>
      </c>
      <c r="H52" s="3" t="s">
        <v>196</v>
      </c>
      <c r="I52" s="3" t="s">
        <v>195</v>
      </c>
      <c r="J52" s="3" t="s">
        <v>195</v>
      </c>
      <c r="K52" s="3" t="s">
        <v>195</v>
      </c>
      <c r="L52" s="3" t="s">
        <v>195</v>
      </c>
      <c r="M52" s="3" t="s">
        <v>195</v>
      </c>
    </row>
    <row r="53">
      <c r="A53" s="3" t="s">
        <v>197</v>
      </c>
      <c r="B53" s="3">
        <v>3.0</v>
      </c>
      <c r="C53" s="3" t="s">
        <v>198</v>
      </c>
      <c r="D53" s="3" t="s">
        <v>7</v>
      </c>
      <c r="E53" s="3" t="s">
        <v>67</v>
      </c>
      <c r="F53" s="4" t="s">
        <v>17</v>
      </c>
      <c r="G53" s="4" t="s">
        <v>17</v>
      </c>
      <c r="H53" s="3" t="s">
        <v>199</v>
      </c>
      <c r="I53" s="3" t="s">
        <v>198</v>
      </c>
      <c r="J53" s="3" t="s">
        <v>198</v>
      </c>
      <c r="K53" s="3" t="s">
        <v>198</v>
      </c>
      <c r="L53" s="3" t="s">
        <v>198</v>
      </c>
      <c r="M53" s="3" t="s">
        <v>198</v>
      </c>
    </row>
    <row r="54">
      <c r="A54" s="3" t="s">
        <v>200</v>
      </c>
      <c r="B54" s="3">
        <v>3.0</v>
      </c>
      <c r="C54" s="3" t="s">
        <v>201</v>
      </c>
      <c r="D54" s="3" t="s">
        <v>7</v>
      </c>
      <c r="E54" s="3" t="s">
        <v>67</v>
      </c>
      <c r="F54" s="4" t="s">
        <v>17</v>
      </c>
      <c r="G54" s="4" t="s">
        <v>17</v>
      </c>
      <c r="H54" s="3" t="s">
        <v>202</v>
      </c>
      <c r="I54" s="3" t="s">
        <v>201</v>
      </c>
      <c r="J54" s="3" t="s">
        <v>201</v>
      </c>
      <c r="K54" s="3" t="s">
        <v>201</v>
      </c>
      <c r="L54" s="3" t="s">
        <v>201</v>
      </c>
      <c r="M54" s="3" t="s">
        <v>201</v>
      </c>
    </row>
    <row r="55">
      <c r="A55" s="3" t="s">
        <v>203</v>
      </c>
      <c r="B55" s="3">
        <v>3.0</v>
      </c>
      <c r="C55" s="3" t="s">
        <v>204</v>
      </c>
      <c r="D55" s="3" t="s">
        <v>37</v>
      </c>
      <c r="E55" s="3" t="s">
        <v>67</v>
      </c>
      <c r="F55" s="4" t="s">
        <v>17</v>
      </c>
      <c r="G55" s="4" t="s">
        <v>17</v>
      </c>
      <c r="H55" s="3" t="s">
        <v>205</v>
      </c>
      <c r="I55" s="3" t="s">
        <v>204</v>
      </c>
      <c r="J55" s="3" t="s">
        <v>204</v>
      </c>
      <c r="K55" s="3" t="s">
        <v>204</v>
      </c>
      <c r="L55" s="3" t="s">
        <v>204</v>
      </c>
      <c r="M55" s="3" t="s">
        <v>204</v>
      </c>
    </row>
    <row r="56">
      <c r="A56" s="3" t="s">
        <v>206</v>
      </c>
      <c r="B56" s="3">
        <v>3.0</v>
      </c>
      <c r="C56" s="3" t="s">
        <v>207</v>
      </c>
      <c r="D56" s="3" t="s">
        <v>7</v>
      </c>
      <c r="E56" s="3" t="s">
        <v>67</v>
      </c>
      <c r="F56" s="4" t="s">
        <v>17</v>
      </c>
      <c r="G56" s="4" t="s">
        <v>17</v>
      </c>
      <c r="H56" s="3" t="s">
        <v>208</v>
      </c>
      <c r="I56" s="4" t="s">
        <v>17</v>
      </c>
      <c r="J56" s="3" t="s">
        <v>207</v>
      </c>
      <c r="K56" s="4" t="s">
        <v>17</v>
      </c>
      <c r="L56" s="4" t="s">
        <v>17</v>
      </c>
      <c r="M56" s="3" t="s">
        <v>207</v>
      </c>
    </row>
    <row r="57">
      <c r="A57" s="3" t="s">
        <v>209</v>
      </c>
      <c r="B57" s="3">
        <v>3.0</v>
      </c>
      <c r="C57" s="3" t="s">
        <v>210</v>
      </c>
      <c r="D57" s="3" t="s">
        <v>7</v>
      </c>
      <c r="E57" s="3" t="s">
        <v>67</v>
      </c>
      <c r="F57" s="4" t="s">
        <v>17</v>
      </c>
      <c r="G57" s="4" t="s">
        <v>17</v>
      </c>
      <c r="H57" s="3" t="s">
        <v>211</v>
      </c>
      <c r="I57" s="3" t="s">
        <v>210</v>
      </c>
      <c r="J57" s="4" t="s">
        <v>17</v>
      </c>
      <c r="K57" s="3" t="s">
        <v>210</v>
      </c>
      <c r="L57" s="3" t="s">
        <v>210</v>
      </c>
      <c r="M57" s="3" t="s">
        <v>210</v>
      </c>
    </row>
    <row r="58">
      <c r="A58" s="3" t="s">
        <v>212</v>
      </c>
      <c r="B58" s="3">
        <v>3.0</v>
      </c>
      <c r="C58" s="3" t="s">
        <v>213</v>
      </c>
      <c r="D58" s="3" t="s">
        <v>7</v>
      </c>
      <c r="E58" s="3" t="s">
        <v>67</v>
      </c>
      <c r="F58" s="4" t="s">
        <v>17</v>
      </c>
      <c r="G58" s="4" t="s">
        <v>17</v>
      </c>
      <c r="H58" s="3" t="s">
        <v>214</v>
      </c>
      <c r="I58" s="3" t="s">
        <v>213</v>
      </c>
      <c r="J58" s="3" t="s">
        <v>213</v>
      </c>
      <c r="K58" s="3" t="s">
        <v>213</v>
      </c>
      <c r="L58" s="3" t="s">
        <v>213</v>
      </c>
      <c r="M58" s="3" t="s">
        <v>213</v>
      </c>
    </row>
    <row r="59">
      <c r="A59" s="3" t="s">
        <v>215</v>
      </c>
      <c r="B59" s="3">
        <v>3.0</v>
      </c>
      <c r="C59" s="3" t="s">
        <v>216</v>
      </c>
      <c r="D59" s="3" t="s">
        <v>37</v>
      </c>
      <c r="E59" s="3" t="s">
        <v>67</v>
      </c>
      <c r="F59" s="4" t="s">
        <v>17</v>
      </c>
      <c r="G59" s="4" t="s">
        <v>17</v>
      </c>
      <c r="H59" s="3" t="s">
        <v>217</v>
      </c>
      <c r="I59" s="3" t="s">
        <v>216</v>
      </c>
      <c r="J59" s="3" t="s">
        <v>216</v>
      </c>
      <c r="K59" s="3" t="s">
        <v>216</v>
      </c>
      <c r="L59" s="3" t="s">
        <v>216</v>
      </c>
      <c r="M59" s="3" t="s">
        <v>216</v>
      </c>
    </row>
    <row r="60">
      <c r="A60" s="3" t="s">
        <v>218</v>
      </c>
      <c r="B60" s="3">
        <v>3.0</v>
      </c>
      <c r="C60" s="3" t="s">
        <v>219</v>
      </c>
      <c r="D60" s="3" t="s">
        <v>7</v>
      </c>
      <c r="E60" s="3" t="s">
        <v>67</v>
      </c>
      <c r="F60" s="4" t="s">
        <v>17</v>
      </c>
      <c r="G60" s="4" t="s">
        <v>17</v>
      </c>
      <c r="H60" s="3" t="s">
        <v>220</v>
      </c>
      <c r="I60" s="3" t="s">
        <v>219</v>
      </c>
      <c r="J60" s="3" t="s">
        <v>219</v>
      </c>
      <c r="K60" s="3" t="s">
        <v>219</v>
      </c>
      <c r="L60" s="3" t="s">
        <v>219</v>
      </c>
      <c r="M60" s="3" t="s">
        <v>219</v>
      </c>
    </row>
    <row r="61">
      <c r="A61" s="3" t="s">
        <v>221</v>
      </c>
      <c r="B61" s="3">
        <v>3.0</v>
      </c>
      <c r="C61" s="3" t="s">
        <v>222</v>
      </c>
      <c r="D61" s="3" t="s">
        <v>7</v>
      </c>
      <c r="E61" s="3" t="s">
        <v>67</v>
      </c>
      <c r="F61" s="4" t="s">
        <v>17</v>
      </c>
      <c r="G61" s="4" t="s">
        <v>17</v>
      </c>
      <c r="H61" s="3" t="s">
        <v>223</v>
      </c>
      <c r="I61" s="3" t="s">
        <v>222</v>
      </c>
      <c r="J61" s="3" t="s">
        <v>222</v>
      </c>
      <c r="K61" s="3" t="s">
        <v>222</v>
      </c>
      <c r="L61" s="3" t="s">
        <v>222</v>
      </c>
      <c r="M61" s="3" t="s">
        <v>222</v>
      </c>
    </row>
    <row r="62">
      <c r="A62" s="3" t="s">
        <v>224</v>
      </c>
      <c r="B62" s="3">
        <v>3.0</v>
      </c>
      <c r="C62" s="3" t="s">
        <v>225</v>
      </c>
      <c r="D62" s="3" t="s">
        <v>7</v>
      </c>
      <c r="E62" s="3" t="s">
        <v>67</v>
      </c>
      <c r="F62" s="4" t="s">
        <v>17</v>
      </c>
      <c r="G62" s="4" t="s">
        <v>17</v>
      </c>
      <c r="H62" s="3" t="s">
        <v>226</v>
      </c>
      <c r="I62" s="3" t="s">
        <v>225</v>
      </c>
      <c r="J62" s="3" t="s">
        <v>225</v>
      </c>
      <c r="K62" s="3" t="s">
        <v>225</v>
      </c>
      <c r="L62" s="3" t="s">
        <v>225</v>
      </c>
      <c r="M62" s="3" t="s">
        <v>225</v>
      </c>
    </row>
    <row r="63">
      <c r="A63" s="3" t="s">
        <v>227</v>
      </c>
      <c r="B63" s="3">
        <v>3.0</v>
      </c>
      <c r="C63" s="3" t="s">
        <v>228</v>
      </c>
      <c r="D63" s="3" t="s">
        <v>62</v>
      </c>
      <c r="E63" s="3" t="s">
        <v>67</v>
      </c>
      <c r="F63" s="4" t="s">
        <v>17</v>
      </c>
      <c r="G63" s="4" t="s">
        <v>17</v>
      </c>
      <c r="H63" s="3" t="s">
        <v>229</v>
      </c>
      <c r="I63" s="3" t="s">
        <v>228</v>
      </c>
      <c r="J63" s="3" t="s">
        <v>228</v>
      </c>
      <c r="K63" s="3" t="s">
        <v>228</v>
      </c>
      <c r="L63" s="3" t="s">
        <v>228</v>
      </c>
      <c r="M63" s="3" t="s">
        <v>228</v>
      </c>
    </row>
    <row r="64">
      <c r="A64" s="3" t="s">
        <v>230</v>
      </c>
      <c r="B64" s="3">
        <v>3.0</v>
      </c>
      <c r="C64" s="3" t="s">
        <v>231</v>
      </c>
      <c r="D64" s="3" t="s">
        <v>7</v>
      </c>
      <c r="E64" s="3" t="s">
        <v>67</v>
      </c>
      <c r="F64" s="4" t="s">
        <v>17</v>
      </c>
      <c r="G64" s="4" t="s">
        <v>17</v>
      </c>
      <c r="H64" s="3" t="s">
        <v>232</v>
      </c>
      <c r="I64" s="3" t="s">
        <v>231</v>
      </c>
      <c r="J64" s="3" t="s">
        <v>231</v>
      </c>
      <c r="K64" s="3" t="s">
        <v>231</v>
      </c>
      <c r="L64" s="3" t="s">
        <v>231</v>
      </c>
      <c r="M64" s="3" t="s">
        <v>231</v>
      </c>
    </row>
    <row r="65">
      <c r="A65" s="3" t="s">
        <v>233</v>
      </c>
      <c r="B65" s="3">
        <v>3.0</v>
      </c>
      <c r="C65" s="3" t="s">
        <v>234</v>
      </c>
      <c r="D65" s="3" t="s">
        <v>7</v>
      </c>
      <c r="E65" s="3" t="s">
        <v>67</v>
      </c>
      <c r="F65" s="4" t="s">
        <v>17</v>
      </c>
      <c r="G65" s="4" t="s">
        <v>17</v>
      </c>
      <c r="H65" s="3" t="s">
        <v>235</v>
      </c>
      <c r="I65" s="3" t="s">
        <v>236</v>
      </c>
      <c r="J65" s="3" t="s">
        <v>236</v>
      </c>
      <c r="K65" s="3" t="s">
        <v>236</v>
      </c>
      <c r="L65" s="3" t="s">
        <v>236</v>
      </c>
      <c r="M65" s="3" t="s">
        <v>234</v>
      </c>
    </row>
    <row r="66">
      <c r="A66" s="3" t="s">
        <v>237</v>
      </c>
      <c r="B66" s="3">
        <v>3.0</v>
      </c>
      <c r="C66" s="3" t="s">
        <v>238</v>
      </c>
      <c r="D66" s="3" t="s">
        <v>7</v>
      </c>
      <c r="E66" s="3" t="s">
        <v>67</v>
      </c>
      <c r="F66" s="4" t="s">
        <v>17</v>
      </c>
      <c r="G66" s="4" t="s">
        <v>17</v>
      </c>
      <c r="H66" s="3" t="s">
        <v>239</v>
      </c>
      <c r="I66" s="3" t="s">
        <v>238</v>
      </c>
      <c r="J66" s="3" t="s">
        <v>238</v>
      </c>
      <c r="K66" s="3" t="s">
        <v>238</v>
      </c>
      <c r="L66" s="3" t="s">
        <v>238</v>
      </c>
      <c r="M66" s="3" t="s">
        <v>238</v>
      </c>
    </row>
    <row r="67">
      <c r="A67" s="3" t="s">
        <v>240</v>
      </c>
      <c r="B67" s="3">
        <v>3.0</v>
      </c>
      <c r="C67" s="3" t="s">
        <v>241</v>
      </c>
      <c r="D67" s="3" t="s">
        <v>7</v>
      </c>
      <c r="E67" s="3" t="s">
        <v>67</v>
      </c>
      <c r="F67" s="4" t="s">
        <v>17</v>
      </c>
      <c r="G67" s="4" t="s">
        <v>17</v>
      </c>
      <c r="H67" s="3" t="s">
        <v>242</v>
      </c>
      <c r="I67" s="3" t="s">
        <v>241</v>
      </c>
      <c r="J67" s="3" t="s">
        <v>241</v>
      </c>
      <c r="K67" s="3" t="s">
        <v>241</v>
      </c>
      <c r="L67" s="3" t="s">
        <v>241</v>
      </c>
      <c r="M67" s="3" t="s">
        <v>241</v>
      </c>
    </row>
    <row r="68">
      <c r="A68" s="3" t="s">
        <v>243</v>
      </c>
      <c r="B68" s="3">
        <v>3.0</v>
      </c>
      <c r="C68" s="3" t="s">
        <v>244</v>
      </c>
      <c r="D68" s="3" t="s">
        <v>7</v>
      </c>
      <c r="E68" s="3" t="s">
        <v>67</v>
      </c>
      <c r="F68" s="4" t="s">
        <v>17</v>
      </c>
      <c r="G68" s="4" t="s">
        <v>17</v>
      </c>
      <c r="H68" s="3" t="s">
        <v>245</v>
      </c>
      <c r="I68" s="3" t="s">
        <v>244</v>
      </c>
      <c r="J68" s="3" t="s">
        <v>244</v>
      </c>
      <c r="K68" s="3" t="s">
        <v>244</v>
      </c>
      <c r="L68" s="3" t="s">
        <v>244</v>
      </c>
      <c r="M68" s="3" t="s">
        <v>244</v>
      </c>
    </row>
    <row r="69">
      <c r="A69" s="3" t="s">
        <v>246</v>
      </c>
      <c r="B69" s="3">
        <v>3.0</v>
      </c>
      <c r="C69" s="3" t="s">
        <v>247</v>
      </c>
      <c r="D69" s="3" t="s">
        <v>7</v>
      </c>
      <c r="E69" s="3" t="s">
        <v>67</v>
      </c>
      <c r="F69" s="4" t="s">
        <v>17</v>
      </c>
      <c r="G69" s="4" t="s">
        <v>17</v>
      </c>
      <c r="H69" s="3" t="s">
        <v>248</v>
      </c>
      <c r="I69" s="3" t="s">
        <v>247</v>
      </c>
      <c r="J69" s="3" t="s">
        <v>247</v>
      </c>
      <c r="K69" s="3" t="s">
        <v>247</v>
      </c>
      <c r="L69" s="4" t="s">
        <v>17</v>
      </c>
      <c r="M69" s="3" t="s">
        <v>247</v>
      </c>
    </row>
    <row r="70">
      <c r="A70" s="3" t="s">
        <v>249</v>
      </c>
      <c r="B70" s="3">
        <v>3.0</v>
      </c>
      <c r="C70" s="3" t="s">
        <v>250</v>
      </c>
      <c r="D70" s="3" t="s">
        <v>7</v>
      </c>
      <c r="E70" s="3" t="s">
        <v>67</v>
      </c>
      <c r="F70" s="4" t="s">
        <v>17</v>
      </c>
      <c r="G70" s="4" t="s">
        <v>17</v>
      </c>
      <c r="H70" s="3" t="s">
        <v>251</v>
      </c>
      <c r="I70" s="4" t="s">
        <v>17</v>
      </c>
      <c r="J70" s="3" t="s">
        <v>250</v>
      </c>
      <c r="K70" s="3" t="s">
        <v>250</v>
      </c>
      <c r="L70" s="3" t="s">
        <v>250</v>
      </c>
      <c r="M70" s="3" t="s">
        <v>250</v>
      </c>
    </row>
    <row r="71">
      <c r="A71" s="3" t="s">
        <v>252</v>
      </c>
      <c r="B71" s="3">
        <v>3.0</v>
      </c>
      <c r="C71" s="3" t="s">
        <v>253</v>
      </c>
      <c r="D71" s="3" t="s">
        <v>7</v>
      </c>
      <c r="E71" s="3" t="s">
        <v>67</v>
      </c>
      <c r="F71" s="4" t="s">
        <v>17</v>
      </c>
      <c r="G71" s="4" t="s">
        <v>17</v>
      </c>
      <c r="H71" s="3" t="s">
        <v>254</v>
      </c>
      <c r="I71" s="5" t="s">
        <v>255</v>
      </c>
      <c r="J71" s="3" t="s">
        <v>253</v>
      </c>
      <c r="K71" s="4" t="s">
        <v>17</v>
      </c>
      <c r="L71" s="3" t="s">
        <v>253</v>
      </c>
      <c r="M71" s="3" t="s">
        <v>253</v>
      </c>
    </row>
    <row r="72">
      <c r="A72" s="3" t="s">
        <v>256</v>
      </c>
      <c r="B72" s="3">
        <v>3.0</v>
      </c>
      <c r="C72" s="3" t="s">
        <v>257</v>
      </c>
      <c r="D72" s="3" t="s">
        <v>62</v>
      </c>
      <c r="E72" s="3" t="s">
        <v>67</v>
      </c>
      <c r="F72" s="4" t="s">
        <v>17</v>
      </c>
      <c r="G72" s="4" t="s">
        <v>17</v>
      </c>
      <c r="H72" s="3" t="s">
        <v>258</v>
      </c>
      <c r="I72" s="3" t="s">
        <v>259</v>
      </c>
      <c r="J72" s="3" t="s">
        <v>260</v>
      </c>
      <c r="K72" s="4" t="s">
        <v>17</v>
      </c>
      <c r="L72" s="3" t="s">
        <v>260</v>
      </c>
      <c r="M72" s="3" t="s">
        <v>257</v>
      </c>
    </row>
    <row r="73">
      <c r="A73" s="3" t="s">
        <v>261</v>
      </c>
      <c r="B73" s="3">
        <v>3.0</v>
      </c>
      <c r="C73" s="3" t="s">
        <v>262</v>
      </c>
      <c r="D73" s="3" t="s">
        <v>7</v>
      </c>
      <c r="E73" s="3" t="s">
        <v>67</v>
      </c>
      <c r="F73" s="4" t="s">
        <v>17</v>
      </c>
      <c r="G73" s="4" t="s">
        <v>17</v>
      </c>
      <c r="H73" s="3" t="s">
        <v>263</v>
      </c>
      <c r="I73" s="3" t="s">
        <v>262</v>
      </c>
      <c r="J73" s="3" t="s">
        <v>262</v>
      </c>
      <c r="K73" s="4" t="s">
        <v>17</v>
      </c>
      <c r="L73" s="3" t="s">
        <v>262</v>
      </c>
      <c r="M73" s="3" t="s">
        <v>262</v>
      </c>
    </row>
    <row r="74">
      <c r="A74" s="3" t="s">
        <v>264</v>
      </c>
      <c r="B74" s="3">
        <v>3.0</v>
      </c>
      <c r="C74" s="3" t="s">
        <v>265</v>
      </c>
      <c r="D74" s="3" t="s">
        <v>7</v>
      </c>
      <c r="E74" s="3" t="s">
        <v>67</v>
      </c>
      <c r="F74" s="4" t="s">
        <v>17</v>
      </c>
      <c r="G74" s="4" t="s">
        <v>17</v>
      </c>
      <c r="H74" s="3" t="s">
        <v>266</v>
      </c>
      <c r="I74" s="3" t="s">
        <v>265</v>
      </c>
      <c r="J74" s="3" t="s">
        <v>265</v>
      </c>
      <c r="K74" s="3" t="s">
        <v>265</v>
      </c>
      <c r="L74" s="3" t="s">
        <v>265</v>
      </c>
      <c r="M74" s="3" t="s">
        <v>265</v>
      </c>
    </row>
    <row r="75">
      <c r="A75" s="3" t="s">
        <v>267</v>
      </c>
      <c r="B75" s="3">
        <v>3.0</v>
      </c>
      <c r="C75" s="3" t="s">
        <v>268</v>
      </c>
      <c r="D75" s="3" t="s">
        <v>7</v>
      </c>
      <c r="E75" s="3" t="s">
        <v>67</v>
      </c>
      <c r="F75" s="4" t="s">
        <v>17</v>
      </c>
      <c r="G75" s="4" t="s">
        <v>17</v>
      </c>
      <c r="H75" s="3" t="s">
        <v>269</v>
      </c>
      <c r="I75" s="3" t="s">
        <v>268</v>
      </c>
      <c r="J75" s="3" t="s">
        <v>268</v>
      </c>
      <c r="K75" s="3" t="s">
        <v>268</v>
      </c>
      <c r="L75" s="3" t="s">
        <v>268</v>
      </c>
      <c r="M75" s="3" t="s">
        <v>268</v>
      </c>
    </row>
    <row r="76">
      <c r="A76" s="3" t="s">
        <v>270</v>
      </c>
      <c r="B76" s="3">
        <v>3.0</v>
      </c>
      <c r="C76" s="3" t="s">
        <v>271</v>
      </c>
      <c r="D76" s="3" t="s">
        <v>37</v>
      </c>
      <c r="E76" s="3" t="s">
        <v>67</v>
      </c>
      <c r="F76" s="4" t="s">
        <v>17</v>
      </c>
      <c r="G76" s="4" t="s">
        <v>17</v>
      </c>
      <c r="H76" s="3" t="s">
        <v>272</v>
      </c>
      <c r="I76" s="4" t="s">
        <v>273</v>
      </c>
      <c r="J76" s="3" t="s">
        <v>274</v>
      </c>
      <c r="K76" s="3" t="s">
        <v>274</v>
      </c>
      <c r="L76" s="3" t="s">
        <v>274</v>
      </c>
      <c r="M76" s="3" t="s">
        <v>271</v>
      </c>
    </row>
    <row r="77">
      <c r="A77" s="3" t="s">
        <v>275</v>
      </c>
      <c r="B77" s="3">
        <v>3.0</v>
      </c>
      <c r="C77" s="3" t="s">
        <v>276</v>
      </c>
      <c r="D77" s="3" t="s">
        <v>62</v>
      </c>
      <c r="E77" s="3" t="s">
        <v>67</v>
      </c>
      <c r="F77" s="4" t="s">
        <v>17</v>
      </c>
      <c r="G77" s="4" t="s">
        <v>17</v>
      </c>
      <c r="H77" s="3" t="s">
        <v>277</v>
      </c>
      <c r="I77" s="3" t="s">
        <v>278</v>
      </c>
      <c r="J77" s="3" t="s">
        <v>278</v>
      </c>
      <c r="K77" s="3" t="s">
        <v>279</v>
      </c>
      <c r="L77" s="3" t="s">
        <v>280</v>
      </c>
      <c r="M77" s="3" t="s">
        <v>276</v>
      </c>
    </row>
    <row r="78">
      <c r="A78" s="3" t="s">
        <v>281</v>
      </c>
      <c r="B78" s="3">
        <v>3.0</v>
      </c>
      <c r="C78" s="3" t="s">
        <v>282</v>
      </c>
      <c r="D78" s="3" t="s">
        <v>7</v>
      </c>
      <c r="E78" s="3" t="s">
        <v>67</v>
      </c>
      <c r="F78" s="4" t="s">
        <v>17</v>
      </c>
      <c r="G78" s="4" t="s">
        <v>17</v>
      </c>
      <c r="H78" s="3" t="s">
        <v>283</v>
      </c>
      <c r="I78" s="3" t="s">
        <v>282</v>
      </c>
      <c r="J78" s="3" t="s">
        <v>282</v>
      </c>
      <c r="K78" s="3" t="s">
        <v>282</v>
      </c>
      <c r="L78" s="4" t="s">
        <v>17</v>
      </c>
      <c r="M78" s="3" t="s">
        <v>282</v>
      </c>
    </row>
    <row r="79">
      <c r="A79" s="3" t="s">
        <v>284</v>
      </c>
      <c r="B79" s="3">
        <v>3.0</v>
      </c>
      <c r="C79" s="3" t="s">
        <v>285</v>
      </c>
      <c r="D79" s="3" t="s">
        <v>7</v>
      </c>
      <c r="E79" s="3" t="s">
        <v>67</v>
      </c>
      <c r="F79" s="4" t="s">
        <v>17</v>
      </c>
      <c r="G79" s="4" t="s">
        <v>17</v>
      </c>
      <c r="H79" s="3" t="s">
        <v>286</v>
      </c>
      <c r="I79" s="3" t="s">
        <v>287</v>
      </c>
      <c r="J79" s="3" t="s">
        <v>287</v>
      </c>
      <c r="K79" s="3" t="s">
        <v>288</v>
      </c>
      <c r="L79" s="4" t="s">
        <v>17</v>
      </c>
      <c r="M79" s="3" t="s">
        <v>285</v>
      </c>
    </row>
    <row r="80">
      <c r="A80" s="3" t="s">
        <v>289</v>
      </c>
      <c r="B80" s="3">
        <v>4.0</v>
      </c>
      <c r="C80" s="3" t="s">
        <v>290</v>
      </c>
      <c r="D80" s="3" t="s">
        <v>291</v>
      </c>
      <c r="E80" s="3" t="s">
        <v>67</v>
      </c>
      <c r="F80" s="4" t="s">
        <v>17</v>
      </c>
      <c r="G80" s="4" t="s">
        <v>17</v>
      </c>
      <c r="H80" s="4" t="s">
        <v>17</v>
      </c>
      <c r="I80" s="4" t="s">
        <v>17</v>
      </c>
      <c r="J80" s="3" t="s">
        <v>290</v>
      </c>
      <c r="K80" s="3" t="s">
        <v>292</v>
      </c>
      <c r="L80" s="3" t="s">
        <v>293</v>
      </c>
      <c r="M80" s="3" t="s">
        <v>290</v>
      </c>
    </row>
    <row r="81">
      <c r="A81" s="3" t="s">
        <v>294</v>
      </c>
      <c r="B81" s="3">
        <v>4.0</v>
      </c>
      <c r="C81" s="3" t="s">
        <v>295</v>
      </c>
      <c r="D81" s="3" t="s">
        <v>291</v>
      </c>
      <c r="E81" s="3" t="s">
        <v>67</v>
      </c>
      <c r="F81" s="4" t="s">
        <v>17</v>
      </c>
      <c r="G81" s="4" t="s">
        <v>17</v>
      </c>
      <c r="H81" s="4" t="s">
        <v>17</v>
      </c>
      <c r="I81" s="4" t="s">
        <v>17</v>
      </c>
      <c r="J81" s="3" t="s">
        <v>295</v>
      </c>
      <c r="K81" s="4" t="s">
        <v>17</v>
      </c>
      <c r="L81" s="4" t="s">
        <v>17</v>
      </c>
      <c r="M81" s="3" t="s">
        <v>295</v>
      </c>
    </row>
    <row r="82">
      <c r="A82" s="3" t="s">
        <v>296</v>
      </c>
      <c r="B82" s="3">
        <v>4.0</v>
      </c>
      <c r="C82" s="3" t="s">
        <v>297</v>
      </c>
      <c r="D82" s="3" t="s">
        <v>291</v>
      </c>
      <c r="E82" s="3" t="s">
        <v>8</v>
      </c>
      <c r="F82" s="4" t="s">
        <v>17</v>
      </c>
      <c r="G82" s="4" t="s">
        <v>17</v>
      </c>
      <c r="H82" s="4" t="s">
        <v>17</v>
      </c>
      <c r="I82" s="4" t="s">
        <v>17</v>
      </c>
      <c r="J82" s="4" t="s">
        <v>297</v>
      </c>
      <c r="K82" s="4" t="s">
        <v>17</v>
      </c>
      <c r="L82" s="4" t="s">
        <v>17</v>
      </c>
      <c r="M82" s="3" t="s">
        <v>297</v>
      </c>
    </row>
    <row r="83">
      <c r="A83" s="3" t="s">
        <v>298</v>
      </c>
      <c r="B83" s="3">
        <v>4.0</v>
      </c>
      <c r="C83" s="3" t="s">
        <v>299</v>
      </c>
      <c r="D83" s="3" t="s">
        <v>291</v>
      </c>
      <c r="E83" s="3" t="s">
        <v>67</v>
      </c>
      <c r="F83" s="4" t="s">
        <v>17</v>
      </c>
      <c r="G83" s="4" t="s">
        <v>17</v>
      </c>
      <c r="H83" s="4" t="s">
        <v>17</v>
      </c>
      <c r="I83" s="4" t="s">
        <v>17</v>
      </c>
      <c r="J83" s="3" t="s">
        <v>299</v>
      </c>
      <c r="K83" s="3" t="s">
        <v>300</v>
      </c>
      <c r="L83" s="4" t="s">
        <v>17</v>
      </c>
      <c r="M83" s="3" t="s">
        <v>299</v>
      </c>
    </row>
    <row r="84">
      <c r="A84" s="3" t="s">
        <v>301</v>
      </c>
      <c r="B84" s="3">
        <v>4.0</v>
      </c>
      <c r="C84" s="3" t="s">
        <v>302</v>
      </c>
      <c r="D84" s="3" t="s">
        <v>291</v>
      </c>
      <c r="E84" s="3" t="s">
        <v>8</v>
      </c>
      <c r="F84" s="4" t="s">
        <v>17</v>
      </c>
      <c r="G84" s="4" t="s">
        <v>17</v>
      </c>
      <c r="H84" s="4" t="s">
        <v>17</v>
      </c>
      <c r="I84" s="4" t="s">
        <v>17</v>
      </c>
      <c r="J84" s="3" t="s">
        <v>302</v>
      </c>
      <c r="K84" s="3" t="s">
        <v>303</v>
      </c>
      <c r="L84" s="3" t="s">
        <v>304</v>
      </c>
      <c r="M84" s="3" t="s">
        <v>302</v>
      </c>
    </row>
    <row r="85">
      <c r="A85" s="3" t="s">
        <v>305</v>
      </c>
      <c r="B85" s="3">
        <v>4.0</v>
      </c>
      <c r="C85" s="3" t="s">
        <v>306</v>
      </c>
      <c r="D85" s="3" t="s">
        <v>291</v>
      </c>
      <c r="E85" s="3" t="s">
        <v>67</v>
      </c>
      <c r="F85" s="4" t="s">
        <v>17</v>
      </c>
      <c r="G85" s="4" t="s">
        <v>17</v>
      </c>
      <c r="H85" s="4" t="s">
        <v>17</v>
      </c>
      <c r="I85" s="4" t="s">
        <v>17</v>
      </c>
      <c r="J85" s="3" t="s">
        <v>306</v>
      </c>
      <c r="K85" s="3" t="s">
        <v>307</v>
      </c>
      <c r="L85" s="3" t="s">
        <v>308</v>
      </c>
      <c r="M85" s="3" t="s">
        <v>306</v>
      </c>
    </row>
    <row r="86">
      <c r="A86" s="3" t="s">
        <v>309</v>
      </c>
      <c r="B86" s="3">
        <v>4.0</v>
      </c>
      <c r="C86" s="3" t="s">
        <v>310</v>
      </c>
      <c r="D86" s="3" t="s">
        <v>291</v>
      </c>
      <c r="E86" s="3" t="s">
        <v>8</v>
      </c>
      <c r="F86" s="4" t="s">
        <v>17</v>
      </c>
      <c r="G86" s="4" t="s">
        <v>17</v>
      </c>
      <c r="H86" s="4" t="s">
        <v>17</v>
      </c>
      <c r="I86" s="4" t="s">
        <v>17</v>
      </c>
      <c r="J86" s="3" t="s">
        <v>310</v>
      </c>
      <c r="K86" s="4" t="s">
        <v>17</v>
      </c>
      <c r="L86" s="4" t="s">
        <v>17</v>
      </c>
      <c r="M86" s="3" t="s">
        <v>310</v>
      </c>
    </row>
    <row r="87">
      <c r="A87" s="3" t="s">
        <v>311</v>
      </c>
      <c r="B87" s="3">
        <v>4.0</v>
      </c>
      <c r="C87" s="3" t="s">
        <v>312</v>
      </c>
      <c r="D87" s="3" t="s">
        <v>291</v>
      </c>
      <c r="E87" s="3" t="s">
        <v>67</v>
      </c>
      <c r="F87" s="4" t="s">
        <v>17</v>
      </c>
      <c r="G87" s="4" t="s">
        <v>17</v>
      </c>
      <c r="H87" s="4" t="s">
        <v>17</v>
      </c>
      <c r="I87" s="4" t="s">
        <v>17</v>
      </c>
      <c r="J87" s="4" t="s">
        <v>312</v>
      </c>
      <c r="K87" s="3" t="s">
        <v>313</v>
      </c>
      <c r="L87" s="3" t="s">
        <v>314</v>
      </c>
      <c r="M87" s="3" t="s">
        <v>312</v>
      </c>
    </row>
    <row r="88">
      <c r="A88" s="3" t="s">
        <v>315</v>
      </c>
      <c r="B88" s="3">
        <v>4.0</v>
      </c>
      <c r="C88" s="3" t="s">
        <v>316</v>
      </c>
      <c r="D88" s="3" t="s">
        <v>291</v>
      </c>
      <c r="E88" s="3" t="s">
        <v>8</v>
      </c>
      <c r="F88" s="4" t="s">
        <v>17</v>
      </c>
      <c r="G88" s="4" t="s">
        <v>17</v>
      </c>
      <c r="H88" s="4" t="s">
        <v>17</v>
      </c>
      <c r="I88" s="4" t="s">
        <v>17</v>
      </c>
      <c r="J88" s="3" t="s">
        <v>316</v>
      </c>
      <c r="K88" s="3" t="s">
        <v>317</v>
      </c>
      <c r="L88" s="3" t="s">
        <v>318</v>
      </c>
      <c r="M88" s="3" t="s">
        <v>316</v>
      </c>
    </row>
    <row r="89">
      <c r="A89" s="3" t="s">
        <v>319</v>
      </c>
      <c r="B89" s="3">
        <v>4.0</v>
      </c>
      <c r="C89" s="3" t="s">
        <v>320</v>
      </c>
      <c r="D89" s="3" t="s">
        <v>291</v>
      </c>
      <c r="E89" s="3" t="s">
        <v>67</v>
      </c>
      <c r="F89" s="4" t="s">
        <v>17</v>
      </c>
      <c r="G89" s="4" t="s">
        <v>17</v>
      </c>
      <c r="H89" s="4" t="s">
        <v>17</v>
      </c>
      <c r="I89" s="4" t="s">
        <v>17</v>
      </c>
      <c r="J89" s="3" t="s">
        <v>320</v>
      </c>
      <c r="K89" s="4" t="s">
        <v>17</v>
      </c>
      <c r="L89" s="3" t="s">
        <v>321</v>
      </c>
      <c r="M89" s="3" t="s">
        <v>320</v>
      </c>
    </row>
    <row r="90">
      <c r="A90" s="3" t="s">
        <v>322</v>
      </c>
      <c r="B90" s="3">
        <v>4.0</v>
      </c>
      <c r="C90" s="3" t="s">
        <v>323</v>
      </c>
      <c r="D90" s="3" t="s">
        <v>291</v>
      </c>
      <c r="E90" s="3" t="s">
        <v>67</v>
      </c>
      <c r="F90" s="4" t="s">
        <v>17</v>
      </c>
      <c r="G90" s="4" t="s">
        <v>17</v>
      </c>
      <c r="H90" s="4" t="s">
        <v>17</v>
      </c>
      <c r="I90" s="4" t="s">
        <v>17</v>
      </c>
      <c r="K90" s="3" t="s">
        <v>323</v>
      </c>
      <c r="L90" s="4" t="s">
        <v>17</v>
      </c>
      <c r="M90" s="3" t="s">
        <v>323</v>
      </c>
    </row>
    <row r="91">
      <c r="A91" s="3" t="s">
        <v>324</v>
      </c>
      <c r="B91" s="3">
        <v>4.0</v>
      </c>
      <c r="C91" s="3" t="s">
        <v>325</v>
      </c>
      <c r="D91" s="3" t="s">
        <v>291</v>
      </c>
      <c r="E91" s="3" t="s">
        <v>67</v>
      </c>
      <c r="F91" s="4" t="s">
        <v>17</v>
      </c>
      <c r="G91" s="4" t="s">
        <v>17</v>
      </c>
      <c r="H91" s="4" t="s">
        <v>17</v>
      </c>
      <c r="I91" s="4" t="s">
        <v>17</v>
      </c>
      <c r="K91" s="3" t="s">
        <v>325</v>
      </c>
      <c r="L91" s="3" t="s">
        <v>326</v>
      </c>
      <c r="M91" s="3" t="s">
        <v>325</v>
      </c>
    </row>
    <row r="92">
      <c r="A92" s="3" t="s">
        <v>327</v>
      </c>
      <c r="B92" s="3">
        <v>4.0</v>
      </c>
      <c r="C92" s="3" t="s">
        <v>328</v>
      </c>
      <c r="D92" s="3" t="s">
        <v>291</v>
      </c>
      <c r="E92" s="3" t="s">
        <v>67</v>
      </c>
      <c r="F92" s="4" t="s">
        <v>17</v>
      </c>
      <c r="G92" s="4" t="s">
        <v>17</v>
      </c>
      <c r="H92" s="4" t="s">
        <v>17</v>
      </c>
      <c r="I92" s="4" t="s">
        <v>17</v>
      </c>
      <c r="J92" s="4" t="s">
        <v>17</v>
      </c>
      <c r="K92" s="4" t="s">
        <v>17</v>
      </c>
      <c r="L92" s="3" t="s">
        <v>328</v>
      </c>
      <c r="M92" s="3" t="s">
        <v>328</v>
      </c>
    </row>
    <row r="93">
      <c r="C93" s="6"/>
      <c r="J93" s="7" t="s">
        <v>329</v>
      </c>
      <c r="M93" s="6"/>
    </row>
    <row r="94">
      <c r="C94" s="6"/>
      <c r="J94" s="7" t="s">
        <v>330</v>
      </c>
      <c r="M94" s="6"/>
    </row>
    <row r="95">
      <c r="C95" s="6"/>
      <c r="M9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0"/>
  <cols>
    <col customWidth="1" min="1" max="1" width="26.29"/>
    <col customWidth="1" min="2" max="2" width="25.86"/>
    <col customWidth="1" hidden="1" min="3" max="3" width="5.86"/>
    <col customWidth="1" min="4" max="4" width="7.0"/>
    <col customWidth="1" min="5" max="5" width="4.71"/>
    <col customWidth="1" min="6" max="6" width="5.29"/>
    <col customWidth="1" min="7" max="7" width="8.29"/>
    <col customWidth="1" min="8" max="8" width="7.14"/>
    <col customWidth="1" min="9" max="9" width="13.86"/>
    <col customWidth="1" hidden="1" min="10" max="10" width="6.43"/>
    <col customWidth="1" min="11" max="11" width="9.86"/>
    <col customWidth="1" min="12" max="12" width="5.0"/>
    <col customWidth="1" min="13" max="13" width="6.43"/>
    <col customWidth="1" min="14" max="16" width="10.0"/>
    <col customWidth="1" min="17" max="17" width="9.0"/>
    <col customWidth="1" min="18" max="20" width="10.0"/>
    <col customWidth="1" min="21" max="21" width="10.29"/>
    <col customWidth="1" min="22" max="22" width="9.0"/>
    <col customWidth="1" min="23" max="23" width="10.43"/>
    <col customWidth="1" min="24" max="24" width="10.0"/>
    <col customWidth="1" min="25" max="25" width="10.43"/>
    <col customWidth="1" min="26" max="26" width="10.71"/>
    <col customWidth="1" min="27" max="27" width="10.0"/>
    <col customWidth="1" min="28" max="28" width="26.0"/>
    <col customWidth="1" hidden="1" min="29" max="29" width="6.0"/>
    <col customWidth="1" hidden="1" min="30" max="30" width="42.0"/>
    <col customWidth="1" hidden="1" min="31" max="31" width="7.14"/>
    <col customWidth="1" min="32" max="32" width="9.71"/>
    <col customWidth="1" hidden="1" min="33" max="33" width="12.57"/>
    <col customWidth="1" hidden="1" min="34" max="34" width="9.0"/>
    <col customWidth="1" min="35" max="35" width="26.57"/>
    <col customWidth="1" min="36" max="36" width="13.29"/>
    <col customWidth="1" min="37" max="37" width="10.57"/>
    <col customWidth="1" min="38" max="38" width="20.29"/>
    <col customWidth="1" min="39" max="39" width="29.29"/>
    <col customWidth="1" min="40" max="40" width="17.86"/>
  </cols>
  <sheetData>
    <row r="1">
      <c r="A1" s="8" t="s">
        <v>2</v>
      </c>
      <c r="B1" s="9" t="s">
        <v>331</v>
      </c>
      <c r="C1" s="10" t="s">
        <v>0</v>
      </c>
      <c r="D1" s="11" t="s">
        <v>1</v>
      </c>
      <c r="E1" s="12" t="s">
        <v>3</v>
      </c>
      <c r="F1" s="10" t="s">
        <v>4</v>
      </c>
      <c r="G1" s="8" t="s">
        <v>332</v>
      </c>
      <c r="H1" s="8" t="s">
        <v>333</v>
      </c>
      <c r="I1" s="8" t="s">
        <v>334</v>
      </c>
      <c r="J1" s="8" t="s">
        <v>335</v>
      </c>
      <c r="K1" s="8" t="s">
        <v>336</v>
      </c>
      <c r="L1" s="8" t="s">
        <v>337</v>
      </c>
      <c r="M1" s="8" t="s">
        <v>338</v>
      </c>
      <c r="N1" s="13">
        <v>40022.0</v>
      </c>
      <c r="O1" s="14">
        <v>40122.0</v>
      </c>
      <c r="P1" s="14">
        <v>40206.0</v>
      </c>
      <c r="Q1" s="13">
        <v>40243.0</v>
      </c>
      <c r="R1" s="14">
        <v>40319.0</v>
      </c>
      <c r="S1" s="14">
        <v>40373.0</v>
      </c>
      <c r="T1" s="14">
        <v>40444.0</v>
      </c>
      <c r="U1" s="13">
        <v>40487.0</v>
      </c>
      <c r="V1" s="13">
        <v>40606.0</v>
      </c>
      <c r="W1" s="13">
        <v>40737.0</v>
      </c>
      <c r="X1" s="13">
        <v>40925.0</v>
      </c>
      <c r="Y1" s="13">
        <v>40939.0</v>
      </c>
      <c r="Z1" s="13">
        <v>40953.0</v>
      </c>
      <c r="AA1" s="13">
        <v>40983.0</v>
      </c>
      <c r="AB1" s="8" t="s">
        <v>339</v>
      </c>
      <c r="AC1" s="15" t="s">
        <v>340</v>
      </c>
      <c r="AD1" s="15" t="s">
        <v>341</v>
      </c>
      <c r="AE1" s="15" t="s">
        <v>342</v>
      </c>
      <c r="AF1" s="16" t="s">
        <v>343</v>
      </c>
      <c r="AG1" s="15" t="s">
        <v>344</v>
      </c>
      <c r="AH1" s="10" t="s">
        <v>345</v>
      </c>
      <c r="AI1" s="8" t="s">
        <v>346</v>
      </c>
      <c r="AJ1" s="10" t="s">
        <v>347</v>
      </c>
      <c r="AK1" s="8" t="s">
        <v>348</v>
      </c>
      <c r="AL1" s="10" t="s">
        <v>349</v>
      </c>
      <c r="AM1" s="10" t="s">
        <v>350</v>
      </c>
      <c r="AN1" s="10" t="s">
        <v>351</v>
      </c>
    </row>
    <row r="2">
      <c r="A2" s="17" t="s">
        <v>6</v>
      </c>
      <c r="B2" s="18" t="s">
        <v>352</v>
      </c>
      <c r="C2" s="19" t="s">
        <v>5</v>
      </c>
      <c r="D2" s="20" t="s">
        <v>353</v>
      </c>
      <c r="E2" s="21" t="s">
        <v>7</v>
      </c>
      <c r="F2" s="19" t="s">
        <v>8</v>
      </c>
      <c r="G2" s="22">
        <v>118.0</v>
      </c>
      <c r="H2" s="22">
        <v>240.0</v>
      </c>
      <c r="I2" s="23" t="s">
        <v>354</v>
      </c>
      <c r="J2" s="19">
        <v>2.0</v>
      </c>
      <c r="K2" s="23" t="s">
        <v>354</v>
      </c>
      <c r="L2" s="23">
        <v>0.0</v>
      </c>
      <c r="M2" s="23" t="s">
        <v>354</v>
      </c>
      <c r="N2" s="24" t="s">
        <v>9</v>
      </c>
      <c r="O2" s="19"/>
      <c r="P2" s="19"/>
      <c r="Q2" s="19"/>
      <c r="R2" s="19"/>
      <c r="S2" s="19"/>
      <c r="T2" s="19"/>
      <c r="U2" s="19"/>
      <c r="V2" s="19"/>
      <c r="W2" s="19"/>
      <c r="X2" s="19"/>
      <c r="Y2" s="19"/>
      <c r="Z2" s="19"/>
      <c r="AA2" s="19"/>
      <c r="AB2" s="23" t="s">
        <v>355</v>
      </c>
      <c r="AC2" s="19"/>
      <c r="AD2" s="23" t="s">
        <v>354</v>
      </c>
      <c r="AE2" s="23" t="s">
        <v>354</v>
      </c>
      <c r="AF2" s="25">
        <v>35.55</v>
      </c>
      <c r="AG2" s="23" t="s">
        <v>356</v>
      </c>
      <c r="AH2" s="23" t="s">
        <v>354</v>
      </c>
      <c r="AI2" s="23" t="s">
        <v>356</v>
      </c>
      <c r="AJ2" s="26" t="s">
        <v>357</v>
      </c>
      <c r="AK2" s="23" t="s">
        <v>354</v>
      </c>
      <c r="AL2" s="27" t="s">
        <v>358</v>
      </c>
      <c r="AM2" s="28" t="s">
        <v>358</v>
      </c>
      <c r="AN2" s="29" t="s">
        <v>359</v>
      </c>
    </row>
    <row r="3">
      <c r="A3" s="17" t="s">
        <v>6</v>
      </c>
      <c r="B3" s="18" t="s">
        <v>352</v>
      </c>
      <c r="C3" s="19" t="s">
        <v>5</v>
      </c>
      <c r="D3" s="20" t="s">
        <v>353</v>
      </c>
      <c r="E3" s="21" t="s">
        <v>7</v>
      </c>
      <c r="F3" s="19" t="s">
        <v>8</v>
      </c>
      <c r="G3" s="22">
        <v>117.0</v>
      </c>
      <c r="H3" s="22">
        <v>175.0</v>
      </c>
      <c r="I3" s="23" t="s">
        <v>354</v>
      </c>
      <c r="J3" s="19">
        <v>3.0</v>
      </c>
      <c r="K3" s="23" t="s">
        <v>354</v>
      </c>
      <c r="L3" s="23">
        <v>0.0</v>
      </c>
      <c r="M3" s="23" t="s">
        <v>354</v>
      </c>
      <c r="N3" s="24" t="s">
        <v>9</v>
      </c>
      <c r="O3" s="24" t="s">
        <v>10</v>
      </c>
      <c r="P3" s="19"/>
      <c r="Q3" s="19"/>
      <c r="R3" s="19"/>
      <c r="S3" s="19"/>
      <c r="T3" s="19"/>
      <c r="U3" s="19"/>
      <c r="V3" s="19"/>
      <c r="W3" s="19"/>
      <c r="X3" s="19"/>
      <c r="Y3" s="19"/>
      <c r="Z3" s="19"/>
      <c r="AA3" s="19"/>
      <c r="AB3" s="23" t="s">
        <v>354</v>
      </c>
      <c r="AC3" s="19">
        <v>36280.0</v>
      </c>
      <c r="AD3" s="23" t="s">
        <v>354</v>
      </c>
      <c r="AE3" s="23" t="s">
        <v>354</v>
      </c>
      <c r="AF3" s="30">
        <v>45.05</v>
      </c>
      <c r="AG3" s="23" t="s">
        <v>360</v>
      </c>
      <c r="AH3" s="23" t="s">
        <v>354</v>
      </c>
      <c r="AI3" s="19" t="s">
        <v>360</v>
      </c>
      <c r="AJ3" s="23" t="s">
        <v>354</v>
      </c>
      <c r="AK3" s="23" t="s">
        <v>354</v>
      </c>
      <c r="AL3" s="31" t="s">
        <v>356</v>
      </c>
      <c r="AM3" s="32" t="s">
        <v>361</v>
      </c>
      <c r="AN3" s="31" t="s">
        <v>356</v>
      </c>
    </row>
    <row r="4">
      <c r="A4" s="17" t="s">
        <v>6</v>
      </c>
      <c r="B4" s="18" t="s">
        <v>352</v>
      </c>
      <c r="C4" s="19" t="s">
        <v>5</v>
      </c>
      <c r="D4" s="20" t="s">
        <v>353</v>
      </c>
      <c r="E4" s="21" t="s">
        <v>7</v>
      </c>
      <c r="F4" s="19" t="s">
        <v>8</v>
      </c>
      <c r="G4" s="22">
        <v>116.0</v>
      </c>
      <c r="H4" s="22">
        <v>175.0</v>
      </c>
      <c r="I4" s="23" t="s">
        <v>354</v>
      </c>
      <c r="J4" s="19">
        <v>3.0</v>
      </c>
      <c r="K4" s="23" t="s">
        <v>354</v>
      </c>
      <c r="L4" s="23">
        <v>0.0</v>
      </c>
      <c r="M4" s="23" t="s">
        <v>354</v>
      </c>
      <c r="N4" s="24" t="s">
        <v>9</v>
      </c>
      <c r="O4" s="24" t="s">
        <v>10</v>
      </c>
      <c r="P4" s="24" t="s">
        <v>11</v>
      </c>
      <c r="Q4" s="19"/>
      <c r="R4" s="19"/>
      <c r="S4" s="19"/>
      <c r="T4" s="19"/>
      <c r="U4" s="19"/>
      <c r="V4" s="19"/>
      <c r="W4" s="19"/>
      <c r="X4" s="19"/>
      <c r="Y4" s="19"/>
      <c r="Z4" s="19"/>
      <c r="AA4" s="19"/>
      <c r="AB4" s="23" t="s">
        <v>362</v>
      </c>
      <c r="AC4" s="19">
        <v>36306.0</v>
      </c>
      <c r="AD4" s="23" t="s">
        <v>354</v>
      </c>
      <c r="AE4" s="23" t="s">
        <v>354</v>
      </c>
      <c r="AF4" s="33">
        <v>0.0</v>
      </c>
      <c r="AG4" s="23" t="s">
        <v>356</v>
      </c>
      <c r="AH4" s="23" t="s">
        <v>354</v>
      </c>
      <c r="AI4" s="23" t="s">
        <v>356</v>
      </c>
      <c r="AJ4" s="23" t="s">
        <v>354</v>
      </c>
      <c r="AK4" s="23" t="s">
        <v>354</v>
      </c>
      <c r="AL4" s="31" t="s">
        <v>356</v>
      </c>
      <c r="AM4" s="34" t="s">
        <v>357</v>
      </c>
      <c r="AN4" s="35" t="s">
        <v>363</v>
      </c>
    </row>
    <row r="5">
      <c r="A5" s="17" t="s">
        <v>6</v>
      </c>
      <c r="B5" s="18" t="s">
        <v>352</v>
      </c>
      <c r="C5" s="19" t="s">
        <v>5</v>
      </c>
      <c r="D5" s="20" t="s">
        <v>353</v>
      </c>
      <c r="E5" s="21" t="s">
        <v>7</v>
      </c>
      <c r="F5" s="19" t="s">
        <v>8</v>
      </c>
      <c r="G5" s="22">
        <v>117.0</v>
      </c>
      <c r="H5" s="22">
        <v>175.0</v>
      </c>
      <c r="I5" s="23" t="s">
        <v>354</v>
      </c>
      <c r="J5" s="19">
        <v>61.0</v>
      </c>
      <c r="K5" s="23" t="s">
        <v>354</v>
      </c>
      <c r="L5" s="23">
        <v>0.0</v>
      </c>
      <c r="M5" s="23" t="s">
        <v>354</v>
      </c>
      <c r="N5" s="24" t="s">
        <v>9</v>
      </c>
      <c r="O5" s="24" t="s">
        <v>10</v>
      </c>
      <c r="P5" s="24" t="s">
        <v>11</v>
      </c>
      <c r="Q5" s="24" t="s">
        <v>6</v>
      </c>
      <c r="R5" s="19"/>
      <c r="S5" s="19"/>
      <c r="T5" s="19"/>
      <c r="U5" s="19"/>
      <c r="V5" s="19"/>
      <c r="W5" s="19"/>
      <c r="X5" s="19"/>
      <c r="Y5" s="19"/>
      <c r="Z5" s="19"/>
      <c r="AA5" s="19"/>
      <c r="AB5" s="23" t="s">
        <v>364</v>
      </c>
      <c r="AC5" s="19">
        <v>36651.0</v>
      </c>
      <c r="AD5" s="23" t="s">
        <v>354</v>
      </c>
      <c r="AE5" s="23" t="s">
        <v>354</v>
      </c>
      <c r="AF5" s="33">
        <v>0.0</v>
      </c>
      <c r="AG5" s="36" t="s">
        <v>365</v>
      </c>
      <c r="AH5" s="23" t="s">
        <v>366</v>
      </c>
      <c r="AI5" s="26" t="s">
        <v>357</v>
      </c>
      <c r="AJ5" s="23" t="s">
        <v>354</v>
      </c>
      <c r="AK5" s="23" t="s">
        <v>354</v>
      </c>
      <c r="AL5" s="37" t="s">
        <v>363</v>
      </c>
      <c r="AM5" s="38" t="s">
        <v>357</v>
      </c>
      <c r="AN5" s="37" t="s">
        <v>363</v>
      </c>
    </row>
    <row r="6" ht="15.75" customHeight="1">
      <c r="A6" s="17" t="s">
        <v>6</v>
      </c>
      <c r="B6" s="18" t="s">
        <v>352</v>
      </c>
      <c r="C6" s="19" t="s">
        <v>5</v>
      </c>
      <c r="D6" s="20" t="s">
        <v>353</v>
      </c>
      <c r="E6" s="21" t="s">
        <v>7</v>
      </c>
      <c r="F6" s="19" t="s">
        <v>8</v>
      </c>
      <c r="G6" s="23" t="s">
        <v>354</v>
      </c>
      <c r="H6" s="22">
        <v>165.0</v>
      </c>
      <c r="I6" s="23" t="s">
        <v>354</v>
      </c>
      <c r="J6" s="19">
        <v>62.0</v>
      </c>
      <c r="K6" s="23" t="s">
        <v>354</v>
      </c>
      <c r="L6" s="23">
        <v>0.0</v>
      </c>
      <c r="M6" s="23" t="s">
        <v>354</v>
      </c>
      <c r="N6" s="24" t="s">
        <v>9</v>
      </c>
      <c r="O6" s="24" t="s">
        <v>10</v>
      </c>
      <c r="P6" s="24" t="s">
        <v>11</v>
      </c>
      <c r="Q6" s="24" t="s">
        <v>6</v>
      </c>
      <c r="R6" s="24" t="s">
        <v>6</v>
      </c>
      <c r="S6" s="19"/>
      <c r="T6" s="19"/>
      <c r="U6" s="19"/>
      <c r="V6" s="19"/>
      <c r="W6" s="19"/>
      <c r="X6" s="19"/>
      <c r="Y6" s="19"/>
      <c r="Z6" s="19"/>
      <c r="AA6" s="19"/>
      <c r="AB6" s="22" t="s">
        <v>367</v>
      </c>
      <c r="AC6" s="19"/>
      <c r="AD6" s="23" t="s">
        <v>354</v>
      </c>
      <c r="AE6" s="23" t="s">
        <v>354</v>
      </c>
      <c r="AF6" s="33">
        <v>0.0</v>
      </c>
      <c r="AG6" s="23" t="s">
        <v>356</v>
      </c>
      <c r="AH6" s="19"/>
      <c r="AI6" s="23" t="s">
        <v>356</v>
      </c>
      <c r="AJ6" s="23" t="s">
        <v>354</v>
      </c>
      <c r="AK6" s="23" t="s">
        <v>354</v>
      </c>
      <c r="AL6" s="39" t="s">
        <v>357</v>
      </c>
      <c r="AM6" s="32" t="s">
        <v>361</v>
      </c>
      <c r="AN6" s="37" t="s">
        <v>363</v>
      </c>
    </row>
    <row r="7">
      <c r="A7" s="17" t="s">
        <v>6</v>
      </c>
      <c r="B7" s="18" t="s">
        <v>352</v>
      </c>
      <c r="C7" s="19" t="s">
        <v>5</v>
      </c>
      <c r="D7" s="20" t="s">
        <v>353</v>
      </c>
      <c r="E7" s="21" t="s">
        <v>7</v>
      </c>
      <c r="F7" s="19" t="s">
        <v>8</v>
      </c>
      <c r="G7" s="23" t="s">
        <v>354</v>
      </c>
      <c r="H7" s="23">
        <v>185.0</v>
      </c>
      <c r="I7" s="23" t="s">
        <v>354</v>
      </c>
      <c r="J7" s="23" t="s">
        <v>354</v>
      </c>
      <c r="K7" s="23" t="s">
        <v>354</v>
      </c>
      <c r="L7" s="23">
        <v>0.0</v>
      </c>
      <c r="M7" s="23" t="s">
        <v>354</v>
      </c>
      <c r="N7" s="24" t="s">
        <v>9</v>
      </c>
      <c r="O7" s="24" t="s">
        <v>10</v>
      </c>
      <c r="P7" s="24" t="s">
        <v>11</v>
      </c>
      <c r="Q7" s="24" t="s">
        <v>6</v>
      </c>
      <c r="R7" s="24" t="s">
        <v>6</v>
      </c>
      <c r="S7" s="24" t="s">
        <v>6</v>
      </c>
      <c r="T7" s="19"/>
      <c r="U7" s="19"/>
      <c r="V7" s="19"/>
      <c r="W7" s="19"/>
      <c r="X7" s="19"/>
      <c r="Y7" s="19"/>
      <c r="Z7" s="19"/>
      <c r="AA7" s="19"/>
      <c r="AB7" s="23" t="s">
        <v>368</v>
      </c>
      <c r="AC7" s="19"/>
      <c r="AD7" s="23" t="s">
        <v>354</v>
      </c>
      <c r="AE7" s="23" t="s">
        <v>354</v>
      </c>
      <c r="AF7" s="23">
        <v>0.0</v>
      </c>
      <c r="AG7" s="33" t="s">
        <v>354</v>
      </c>
      <c r="AH7" s="33"/>
      <c r="AI7" s="33" t="s">
        <v>354</v>
      </c>
      <c r="AJ7" s="23" t="s">
        <v>354</v>
      </c>
      <c r="AK7" s="23" t="s">
        <v>354</v>
      </c>
      <c r="AL7" s="40" t="s">
        <v>357</v>
      </c>
      <c r="AM7" s="40" t="s">
        <v>357</v>
      </c>
      <c r="AN7" s="40" t="s">
        <v>357</v>
      </c>
    </row>
    <row r="8">
      <c r="A8" s="17" t="s">
        <v>6</v>
      </c>
      <c r="B8" s="18" t="s">
        <v>352</v>
      </c>
      <c r="C8" s="19" t="s">
        <v>5</v>
      </c>
      <c r="D8" s="20" t="s">
        <v>353</v>
      </c>
      <c r="E8" s="21" t="s">
        <v>7</v>
      </c>
      <c r="F8" s="19" t="s">
        <v>8</v>
      </c>
      <c r="G8" s="23" t="s">
        <v>354</v>
      </c>
      <c r="H8" s="23">
        <v>180.0</v>
      </c>
      <c r="I8" s="23" t="s">
        <v>354</v>
      </c>
      <c r="J8" s="19">
        <v>61.0</v>
      </c>
      <c r="K8" s="23" t="s">
        <v>354</v>
      </c>
      <c r="L8" s="23">
        <v>0.0</v>
      </c>
      <c r="M8" s="23" t="s">
        <v>354</v>
      </c>
      <c r="N8" s="24" t="s">
        <v>9</v>
      </c>
      <c r="O8" s="24" t="s">
        <v>10</v>
      </c>
      <c r="P8" s="24" t="s">
        <v>11</v>
      </c>
      <c r="Q8" s="24" t="s">
        <v>6</v>
      </c>
      <c r="R8" s="24" t="s">
        <v>6</v>
      </c>
      <c r="S8" s="24" t="s">
        <v>6</v>
      </c>
      <c r="T8" s="24" t="s">
        <v>6</v>
      </c>
      <c r="U8" s="19"/>
      <c r="V8" s="19"/>
      <c r="W8" s="19"/>
      <c r="X8" s="19"/>
      <c r="Y8" s="19"/>
      <c r="Z8" s="19"/>
      <c r="AA8" s="19"/>
      <c r="AB8" s="23" t="s">
        <v>354</v>
      </c>
      <c r="AC8" s="19"/>
      <c r="AD8" s="23" t="s">
        <v>354</v>
      </c>
      <c r="AE8" s="23" t="s">
        <v>354</v>
      </c>
      <c r="AF8" s="36">
        <v>29.05</v>
      </c>
      <c r="AG8" s="33" t="s">
        <v>354</v>
      </c>
      <c r="AH8" s="33"/>
      <c r="AI8" s="33" t="s">
        <v>354</v>
      </c>
      <c r="AJ8" s="23" t="s">
        <v>354</v>
      </c>
      <c r="AK8" s="23" t="s">
        <v>354</v>
      </c>
      <c r="AL8" s="40" t="s">
        <v>357</v>
      </c>
      <c r="AM8" s="40" t="s">
        <v>357</v>
      </c>
      <c r="AN8" s="40" t="s">
        <v>357</v>
      </c>
    </row>
    <row r="9">
      <c r="A9" s="17" t="s">
        <v>6</v>
      </c>
      <c r="B9" s="18" t="s">
        <v>352</v>
      </c>
      <c r="C9" s="19" t="s">
        <v>5</v>
      </c>
      <c r="D9" s="20" t="s">
        <v>353</v>
      </c>
      <c r="E9" s="21" t="s">
        <v>7</v>
      </c>
      <c r="F9" s="19" t="s">
        <v>8</v>
      </c>
      <c r="G9" s="23" t="s">
        <v>354</v>
      </c>
      <c r="H9" s="23">
        <v>210.0</v>
      </c>
      <c r="I9" s="23" t="s">
        <v>354</v>
      </c>
      <c r="J9" s="23" t="s">
        <v>354</v>
      </c>
      <c r="K9" s="23" t="s">
        <v>354</v>
      </c>
      <c r="L9" s="23">
        <v>0.0</v>
      </c>
      <c r="M9" s="23" t="s">
        <v>354</v>
      </c>
      <c r="N9" s="24" t="s">
        <v>9</v>
      </c>
      <c r="O9" s="24" t="s">
        <v>10</v>
      </c>
      <c r="P9" s="24" t="s">
        <v>11</v>
      </c>
      <c r="Q9" s="24" t="s">
        <v>6</v>
      </c>
      <c r="R9" s="24" t="s">
        <v>6</v>
      </c>
      <c r="S9" s="24" t="s">
        <v>6</v>
      </c>
      <c r="T9" s="24" t="s">
        <v>6</v>
      </c>
      <c r="U9" s="24" t="s">
        <v>6</v>
      </c>
      <c r="V9" s="19"/>
      <c r="W9" s="19"/>
      <c r="X9" s="19"/>
      <c r="Y9" s="19"/>
      <c r="Z9" s="19"/>
      <c r="AA9" s="19"/>
      <c r="AB9" s="23" t="s">
        <v>369</v>
      </c>
      <c r="AC9" s="19"/>
      <c r="AD9" s="23" t="s">
        <v>354</v>
      </c>
      <c r="AE9" s="23" t="s">
        <v>354</v>
      </c>
      <c r="AF9" s="33">
        <v>0.0</v>
      </c>
      <c r="AG9" s="33" t="s">
        <v>354</v>
      </c>
      <c r="AH9" s="33" t="s">
        <v>354</v>
      </c>
      <c r="AI9" s="33" t="s">
        <v>354</v>
      </c>
      <c r="AJ9" s="33" t="s">
        <v>354</v>
      </c>
      <c r="AK9" s="33" t="s">
        <v>354</v>
      </c>
      <c r="AL9" s="40" t="s">
        <v>357</v>
      </c>
      <c r="AM9" s="40" t="s">
        <v>357</v>
      </c>
      <c r="AN9" s="40" t="s">
        <v>357</v>
      </c>
    </row>
    <row r="10">
      <c r="A10" s="17" t="s">
        <v>6</v>
      </c>
      <c r="B10" s="18" t="s">
        <v>352</v>
      </c>
      <c r="C10" s="19" t="s">
        <v>5</v>
      </c>
      <c r="D10" s="20" t="s">
        <v>353</v>
      </c>
      <c r="E10" s="21" t="s">
        <v>7</v>
      </c>
      <c r="F10" s="19" t="s">
        <v>8</v>
      </c>
      <c r="G10" s="23" t="s">
        <v>354</v>
      </c>
      <c r="H10" s="23">
        <v>215.0</v>
      </c>
      <c r="I10" s="23" t="s">
        <v>354</v>
      </c>
      <c r="J10" s="23" t="s">
        <v>354</v>
      </c>
      <c r="K10" s="23" t="s">
        <v>354</v>
      </c>
      <c r="L10" s="23">
        <v>0.0</v>
      </c>
      <c r="M10" s="23" t="s">
        <v>354</v>
      </c>
      <c r="N10" s="24" t="s">
        <v>9</v>
      </c>
      <c r="O10" s="24" t="s">
        <v>10</v>
      </c>
      <c r="P10" s="24" t="s">
        <v>11</v>
      </c>
      <c r="Q10" s="24" t="s">
        <v>6</v>
      </c>
      <c r="R10" s="24" t="s">
        <v>6</v>
      </c>
      <c r="S10" s="24" t="s">
        <v>6</v>
      </c>
      <c r="T10" s="24" t="s">
        <v>6</v>
      </c>
      <c r="U10" s="24" t="s">
        <v>6</v>
      </c>
      <c r="V10" s="24" t="s">
        <v>6</v>
      </c>
      <c r="W10" s="23"/>
      <c r="X10" s="19"/>
      <c r="Y10" s="19"/>
      <c r="Z10" s="19"/>
      <c r="AA10" s="19"/>
      <c r="AB10" s="23" t="s">
        <v>354</v>
      </c>
      <c r="AC10" s="19"/>
      <c r="AD10" s="23" t="s">
        <v>354</v>
      </c>
      <c r="AE10" s="23" t="s">
        <v>354</v>
      </c>
      <c r="AF10" s="33">
        <v>0.0</v>
      </c>
      <c r="AG10" s="33" t="s">
        <v>354</v>
      </c>
      <c r="AH10" s="33" t="s">
        <v>354</v>
      </c>
      <c r="AI10" s="33" t="s">
        <v>354</v>
      </c>
      <c r="AJ10" s="33" t="s">
        <v>354</v>
      </c>
      <c r="AK10" s="33" t="s">
        <v>354</v>
      </c>
      <c r="AL10" s="23" t="s">
        <v>356</v>
      </c>
      <c r="AM10" s="23" t="s">
        <v>356</v>
      </c>
      <c r="AN10" s="23" t="s">
        <v>356</v>
      </c>
    </row>
    <row r="11">
      <c r="A11" s="17" t="s">
        <v>6</v>
      </c>
      <c r="B11" s="18" t="s">
        <v>352</v>
      </c>
      <c r="C11" s="19" t="s">
        <v>5</v>
      </c>
      <c r="D11" s="20" t="s">
        <v>353</v>
      </c>
      <c r="E11" s="21" t="s">
        <v>7</v>
      </c>
      <c r="F11" s="19" t="s">
        <v>8</v>
      </c>
      <c r="G11" s="23" t="s">
        <v>354</v>
      </c>
      <c r="H11" s="23">
        <v>200.0</v>
      </c>
      <c r="I11" s="23" t="s">
        <v>354</v>
      </c>
      <c r="J11" s="23" t="s">
        <v>354</v>
      </c>
      <c r="K11" s="23" t="s">
        <v>354</v>
      </c>
      <c r="L11" s="41">
        <v>0.0</v>
      </c>
      <c r="M11" s="41" t="s">
        <v>354</v>
      </c>
      <c r="N11" s="24" t="s">
        <v>9</v>
      </c>
      <c r="O11" s="24" t="s">
        <v>10</v>
      </c>
      <c r="P11" s="24" t="s">
        <v>11</v>
      </c>
      <c r="Q11" s="24" t="s">
        <v>6</v>
      </c>
      <c r="R11" s="24" t="s">
        <v>6</v>
      </c>
      <c r="S11" s="24" t="s">
        <v>6</v>
      </c>
      <c r="T11" s="24" t="s">
        <v>6</v>
      </c>
      <c r="U11" s="24" t="s">
        <v>6</v>
      </c>
      <c r="V11" s="24" t="s">
        <v>6</v>
      </c>
      <c r="W11" s="18" t="s">
        <v>370</v>
      </c>
      <c r="X11" s="19"/>
      <c r="Y11" s="19"/>
      <c r="Z11" s="19"/>
      <c r="AA11" s="19"/>
      <c r="AB11" s="41" t="s">
        <v>371</v>
      </c>
      <c r="AC11" s="19"/>
      <c r="AD11" s="23" t="s">
        <v>354</v>
      </c>
      <c r="AE11" s="23" t="s">
        <v>354</v>
      </c>
      <c r="AF11" s="33">
        <v>0.0</v>
      </c>
      <c r="AG11" s="23" t="s">
        <v>354</v>
      </c>
      <c r="AH11" s="23" t="s">
        <v>354</v>
      </c>
      <c r="AI11" s="23" t="s">
        <v>354</v>
      </c>
      <c r="AJ11" s="23" t="s">
        <v>354</v>
      </c>
      <c r="AK11" s="23" t="s">
        <v>354</v>
      </c>
      <c r="AL11" s="23" t="s">
        <v>356</v>
      </c>
      <c r="AM11" s="23" t="s">
        <v>356</v>
      </c>
      <c r="AN11" s="23" t="s">
        <v>356</v>
      </c>
    </row>
    <row r="12">
      <c r="A12" s="17" t="s">
        <v>6</v>
      </c>
      <c r="B12" s="18" t="s">
        <v>352</v>
      </c>
      <c r="C12" s="19" t="s">
        <v>5</v>
      </c>
      <c r="D12" s="20" t="s">
        <v>353</v>
      </c>
      <c r="E12" s="21" t="s">
        <v>7</v>
      </c>
      <c r="F12" s="19" t="s">
        <v>8</v>
      </c>
      <c r="G12" s="23" t="s">
        <v>354</v>
      </c>
      <c r="H12" s="23" t="s">
        <v>354</v>
      </c>
      <c r="I12" s="23" t="s">
        <v>354</v>
      </c>
      <c r="J12" s="23" t="s">
        <v>354</v>
      </c>
      <c r="K12" s="23" t="s">
        <v>354</v>
      </c>
      <c r="L12" s="41">
        <v>0.0</v>
      </c>
      <c r="M12" s="41" t="s">
        <v>354</v>
      </c>
      <c r="N12" s="24" t="s">
        <v>9</v>
      </c>
      <c r="O12" s="24" t="s">
        <v>10</v>
      </c>
      <c r="P12" s="24" t="s">
        <v>11</v>
      </c>
      <c r="Q12" s="24" t="s">
        <v>6</v>
      </c>
      <c r="R12" s="24" t="s">
        <v>6</v>
      </c>
      <c r="S12" s="24" t="s">
        <v>6</v>
      </c>
      <c r="T12" s="24" t="s">
        <v>6</v>
      </c>
      <c r="U12" s="24" t="s">
        <v>6</v>
      </c>
      <c r="V12" s="24" t="s">
        <v>6</v>
      </c>
      <c r="W12" s="18" t="s">
        <v>370</v>
      </c>
      <c r="X12" s="18" t="s">
        <v>6</v>
      </c>
      <c r="Y12" s="19"/>
      <c r="Z12" s="19"/>
      <c r="AA12" s="19"/>
      <c r="AB12" s="41" t="s">
        <v>371</v>
      </c>
      <c r="AC12" s="19"/>
      <c r="AD12" s="23" t="s">
        <v>354</v>
      </c>
      <c r="AE12" s="23" t="s">
        <v>354</v>
      </c>
      <c r="AF12" s="33">
        <v>0.0</v>
      </c>
      <c r="AG12" s="23" t="s">
        <v>354</v>
      </c>
      <c r="AH12" s="23" t="s">
        <v>354</v>
      </c>
      <c r="AI12" s="23" t="s">
        <v>354</v>
      </c>
      <c r="AJ12" s="23" t="s">
        <v>354</v>
      </c>
      <c r="AK12" s="23" t="s">
        <v>354</v>
      </c>
      <c r="AL12" s="23" t="s">
        <v>356</v>
      </c>
      <c r="AM12" s="23" t="s">
        <v>356</v>
      </c>
      <c r="AN12" s="23" t="s">
        <v>356</v>
      </c>
    </row>
    <row r="13">
      <c r="A13" s="17" t="s">
        <v>6</v>
      </c>
      <c r="B13" s="18" t="s">
        <v>352</v>
      </c>
      <c r="C13" s="19" t="s">
        <v>5</v>
      </c>
      <c r="D13" s="20" t="s">
        <v>353</v>
      </c>
      <c r="E13" s="21" t="s">
        <v>7</v>
      </c>
      <c r="F13" s="19" t="s">
        <v>8</v>
      </c>
      <c r="G13" s="23" t="s">
        <v>354</v>
      </c>
      <c r="H13" s="23" t="s">
        <v>354</v>
      </c>
      <c r="I13" s="23" t="s">
        <v>354</v>
      </c>
      <c r="J13" s="23" t="s">
        <v>354</v>
      </c>
      <c r="K13" s="23" t="s">
        <v>354</v>
      </c>
      <c r="L13" s="41">
        <v>0.0</v>
      </c>
      <c r="M13" s="41" t="s">
        <v>354</v>
      </c>
      <c r="N13" s="24" t="s">
        <v>9</v>
      </c>
      <c r="O13" s="24" t="s">
        <v>10</v>
      </c>
      <c r="P13" s="24" t="s">
        <v>11</v>
      </c>
      <c r="Q13" s="24" t="s">
        <v>6</v>
      </c>
      <c r="R13" s="24" t="s">
        <v>6</v>
      </c>
      <c r="S13" s="24" t="s">
        <v>6</v>
      </c>
      <c r="T13" s="24" t="s">
        <v>6</v>
      </c>
      <c r="U13" s="24" t="s">
        <v>6</v>
      </c>
      <c r="V13" s="24" t="s">
        <v>6</v>
      </c>
      <c r="W13" s="18" t="s">
        <v>370</v>
      </c>
      <c r="X13" s="18" t="s">
        <v>6</v>
      </c>
      <c r="Y13" s="18" t="s">
        <v>6</v>
      </c>
      <c r="Z13" s="19"/>
      <c r="AA13" s="19"/>
      <c r="AB13" s="41" t="s">
        <v>372</v>
      </c>
      <c r="AC13" s="19"/>
      <c r="AD13" s="23" t="s">
        <v>354</v>
      </c>
      <c r="AE13" s="23" t="s">
        <v>354</v>
      </c>
      <c r="AF13" s="33">
        <v>0.0</v>
      </c>
      <c r="AG13" s="23" t="s">
        <v>356</v>
      </c>
      <c r="AH13" s="23" t="s">
        <v>354</v>
      </c>
      <c r="AI13" s="23" t="s">
        <v>356</v>
      </c>
      <c r="AJ13" s="42" t="s">
        <v>357</v>
      </c>
      <c r="AK13" s="23" t="s">
        <v>354</v>
      </c>
      <c r="AL13" s="40" t="s">
        <v>357</v>
      </c>
      <c r="AM13" s="43" t="s">
        <v>361</v>
      </c>
      <c r="AN13" s="40" t="s">
        <v>357</v>
      </c>
    </row>
    <row r="14">
      <c r="A14" s="17" t="s">
        <v>6</v>
      </c>
      <c r="B14" s="18" t="s">
        <v>352</v>
      </c>
      <c r="C14" s="19" t="s">
        <v>5</v>
      </c>
      <c r="D14" s="20" t="s">
        <v>353</v>
      </c>
      <c r="E14" s="21" t="s">
        <v>7</v>
      </c>
      <c r="F14" s="19" t="s">
        <v>8</v>
      </c>
      <c r="G14" s="23" t="s">
        <v>354</v>
      </c>
      <c r="H14" s="23" t="s">
        <v>354</v>
      </c>
      <c r="I14" s="23" t="s">
        <v>354</v>
      </c>
      <c r="J14" s="23" t="s">
        <v>354</v>
      </c>
      <c r="K14" s="23" t="s">
        <v>354</v>
      </c>
      <c r="L14" s="41">
        <v>0.0</v>
      </c>
      <c r="M14" s="41" t="s">
        <v>354</v>
      </c>
      <c r="N14" s="24" t="s">
        <v>9</v>
      </c>
      <c r="O14" s="24" t="s">
        <v>10</v>
      </c>
      <c r="P14" s="24" t="s">
        <v>11</v>
      </c>
      <c r="Q14" s="24" t="s">
        <v>6</v>
      </c>
      <c r="R14" s="24" t="s">
        <v>6</v>
      </c>
      <c r="S14" s="24" t="s">
        <v>6</v>
      </c>
      <c r="T14" s="24" t="s">
        <v>6</v>
      </c>
      <c r="U14" s="24" t="s">
        <v>6</v>
      </c>
      <c r="V14" s="24" t="s">
        <v>6</v>
      </c>
      <c r="W14" s="18" t="s">
        <v>370</v>
      </c>
      <c r="X14" s="18" t="s">
        <v>6</v>
      </c>
      <c r="Y14" s="18" t="s">
        <v>6</v>
      </c>
      <c r="Z14" s="18" t="s">
        <v>6</v>
      </c>
      <c r="AA14" s="44" t="s">
        <v>373</v>
      </c>
      <c r="AB14" s="41" t="s">
        <v>371</v>
      </c>
      <c r="AC14" s="19"/>
      <c r="AD14" s="23" t="s">
        <v>354</v>
      </c>
      <c r="AE14" s="23" t="s">
        <v>354</v>
      </c>
      <c r="AF14" s="33">
        <v>0.0</v>
      </c>
      <c r="AG14" s="23" t="s">
        <v>356</v>
      </c>
      <c r="AH14" s="23" t="s">
        <v>354</v>
      </c>
      <c r="AI14" s="23" t="s">
        <v>356</v>
      </c>
      <c r="AJ14" s="23" t="s">
        <v>356</v>
      </c>
      <c r="AK14" s="23" t="s">
        <v>356</v>
      </c>
      <c r="AL14" s="23" t="s">
        <v>356</v>
      </c>
      <c r="AM14" s="43" t="s">
        <v>361</v>
      </c>
      <c r="AN14" s="23" t="s">
        <v>356</v>
      </c>
    </row>
    <row r="15">
      <c r="A15" s="45" t="s">
        <v>13</v>
      </c>
      <c r="B15" s="18" t="s">
        <v>374</v>
      </c>
      <c r="C15" s="46" t="s">
        <v>12</v>
      </c>
      <c r="D15" s="47" t="s">
        <v>353</v>
      </c>
      <c r="E15" s="48" t="s">
        <v>7</v>
      </c>
      <c r="F15" s="46" t="s">
        <v>8</v>
      </c>
      <c r="G15" s="49">
        <v>124.0</v>
      </c>
      <c r="H15" s="49">
        <v>280.0</v>
      </c>
      <c r="I15" s="49" t="s">
        <v>354</v>
      </c>
      <c r="J15" s="46">
        <v>4.0</v>
      </c>
      <c r="K15" s="49" t="s">
        <v>354</v>
      </c>
      <c r="L15" s="49">
        <v>0.0</v>
      </c>
      <c r="M15" s="49" t="s">
        <v>354</v>
      </c>
      <c r="N15" s="24" t="s">
        <v>14</v>
      </c>
      <c r="O15" s="46"/>
      <c r="P15" s="46"/>
      <c r="Q15" s="46"/>
      <c r="R15" s="46"/>
      <c r="S15" s="46"/>
      <c r="T15" s="46"/>
      <c r="U15" s="46"/>
      <c r="V15" s="46"/>
      <c r="W15" s="46"/>
      <c r="X15" s="46"/>
      <c r="Y15" s="46"/>
      <c r="Z15" s="46"/>
      <c r="AA15" s="46"/>
      <c r="AB15" s="49" t="s">
        <v>354</v>
      </c>
      <c r="AC15" s="46"/>
      <c r="AD15" s="49" t="s">
        <v>354</v>
      </c>
      <c r="AE15" s="49" t="s">
        <v>354</v>
      </c>
      <c r="AF15" s="49">
        <v>0.0</v>
      </c>
      <c r="AG15" s="50" t="s">
        <v>375</v>
      </c>
      <c r="AH15" s="49" t="s">
        <v>354</v>
      </c>
      <c r="AI15" s="50" t="s">
        <v>375</v>
      </c>
      <c r="AJ15" s="49" t="s">
        <v>354</v>
      </c>
      <c r="AK15" s="49" t="s">
        <v>354</v>
      </c>
      <c r="AL15" s="49" t="s">
        <v>356</v>
      </c>
      <c r="AM15" s="49" t="s">
        <v>356</v>
      </c>
      <c r="AN15" s="51" t="s">
        <v>358</v>
      </c>
    </row>
    <row r="16">
      <c r="A16" s="45" t="s">
        <v>13</v>
      </c>
      <c r="B16" s="18" t="s">
        <v>374</v>
      </c>
      <c r="C16" s="46" t="s">
        <v>12</v>
      </c>
      <c r="D16" s="47" t="s">
        <v>353</v>
      </c>
      <c r="E16" s="48" t="s">
        <v>7</v>
      </c>
      <c r="F16" s="46" t="s">
        <v>8</v>
      </c>
      <c r="G16" s="49">
        <v>122.0</v>
      </c>
      <c r="H16" s="49">
        <v>200.0</v>
      </c>
      <c r="I16" s="49" t="s">
        <v>354</v>
      </c>
      <c r="J16" s="46">
        <v>4.0</v>
      </c>
      <c r="K16" s="49" t="s">
        <v>354</v>
      </c>
      <c r="L16" s="49">
        <v>0.0</v>
      </c>
      <c r="M16" s="49" t="s">
        <v>354</v>
      </c>
      <c r="N16" s="24" t="s">
        <v>14</v>
      </c>
      <c r="O16" s="24" t="s">
        <v>15</v>
      </c>
      <c r="P16" s="46"/>
      <c r="Q16" s="46"/>
      <c r="R16" s="46"/>
      <c r="S16" s="46"/>
      <c r="T16" s="46"/>
      <c r="U16" s="46"/>
      <c r="V16" s="46"/>
      <c r="W16" s="46"/>
      <c r="X16" s="46"/>
      <c r="Y16" s="46"/>
      <c r="Z16" s="46"/>
      <c r="AA16" s="46"/>
      <c r="AB16" s="49" t="s">
        <v>376</v>
      </c>
      <c r="AC16" s="46"/>
      <c r="AD16" s="49" t="s">
        <v>354</v>
      </c>
      <c r="AE16" s="49" t="s">
        <v>354</v>
      </c>
      <c r="AF16" s="52">
        <v>45.96</v>
      </c>
      <c r="AG16" s="49" t="s">
        <v>356</v>
      </c>
      <c r="AH16" s="49" t="s">
        <v>354</v>
      </c>
      <c r="AI16" s="49" t="s">
        <v>356</v>
      </c>
      <c r="AJ16" s="49" t="s">
        <v>354</v>
      </c>
      <c r="AK16" s="49" t="s">
        <v>354</v>
      </c>
      <c r="AL16" s="53" t="s">
        <v>361</v>
      </c>
      <c r="AM16" s="54" t="s">
        <v>356</v>
      </c>
      <c r="AN16" s="54" t="s">
        <v>356</v>
      </c>
    </row>
    <row r="17">
      <c r="A17" s="45" t="s">
        <v>13</v>
      </c>
      <c r="B17" s="18" t="s">
        <v>374</v>
      </c>
      <c r="C17" s="46" t="s">
        <v>12</v>
      </c>
      <c r="D17" s="47" t="s">
        <v>353</v>
      </c>
      <c r="E17" s="48" t="s">
        <v>7</v>
      </c>
      <c r="F17" s="46" t="s">
        <v>8</v>
      </c>
      <c r="G17" s="49">
        <v>122.0</v>
      </c>
      <c r="H17" s="49">
        <v>175.0</v>
      </c>
      <c r="I17" s="49" t="s">
        <v>354</v>
      </c>
      <c r="J17" s="46">
        <v>4.0</v>
      </c>
      <c r="K17" s="49" t="s">
        <v>354</v>
      </c>
      <c r="L17" s="49">
        <v>0.0</v>
      </c>
      <c r="M17" s="49" t="s">
        <v>354</v>
      </c>
      <c r="N17" s="24" t="s">
        <v>14</v>
      </c>
      <c r="O17" s="24" t="s">
        <v>15</v>
      </c>
      <c r="P17" s="24" t="s">
        <v>16</v>
      </c>
      <c r="Q17" s="46"/>
      <c r="R17" s="46"/>
      <c r="S17" s="46"/>
      <c r="T17" s="46"/>
      <c r="U17" s="46"/>
      <c r="V17" s="46"/>
      <c r="W17" s="46"/>
      <c r="X17" s="46"/>
      <c r="Y17" s="46"/>
      <c r="Z17" s="46"/>
      <c r="AA17" s="46"/>
      <c r="AB17" s="49" t="s">
        <v>377</v>
      </c>
      <c r="AC17" s="46">
        <v>36313.0</v>
      </c>
      <c r="AD17" s="49" t="s">
        <v>354</v>
      </c>
      <c r="AE17" s="49" t="s">
        <v>354</v>
      </c>
      <c r="AF17" s="55">
        <v>30.03</v>
      </c>
      <c r="AG17" s="56" t="s">
        <v>365</v>
      </c>
      <c r="AH17" s="49" t="s">
        <v>366</v>
      </c>
      <c r="AI17" s="26" t="s">
        <v>357</v>
      </c>
      <c r="AJ17" s="49" t="s">
        <v>354</v>
      </c>
      <c r="AK17" s="49" t="s">
        <v>354</v>
      </c>
      <c r="AL17" s="34" t="s">
        <v>357</v>
      </c>
      <c r="AM17" s="34" t="s">
        <v>357</v>
      </c>
      <c r="AN17" s="35" t="s">
        <v>363</v>
      </c>
    </row>
    <row r="18">
      <c r="A18" s="45" t="s">
        <v>13</v>
      </c>
      <c r="B18" s="18" t="s">
        <v>374</v>
      </c>
      <c r="C18" s="46" t="s">
        <v>12</v>
      </c>
      <c r="D18" s="47" t="s">
        <v>353</v>
      </c>
      <c r="E18" s="48" t="s">
        <v>7</v>
      </c>
      <c r="F18" s="46" t="s">
        <v>8</v>
      </c>
      <c r="G18" s="57" t="s">
        <v>354</v>
      </c>
      <c r="H18" s="49">
        <v>160.0</v>
      </c>
      <c r="I18" s="49" t="s">
        <v>354</v>
      </c>
      <c r="J18" s="46">
        <v>4.0</v>
      </c>
      <c r="K18" s="49" t="s">
        <v>354</v>
      </c>
      <c r="L18" s="49">
        <v>0.0</v>
      </c>
      <c r="M18" s="49" t="s">
        <v>354</v>
      </c>
      <c r="N18" s="24" t="s">
        <v>14</v>
      </c>
      <c r="O18" s="24" t="s">
        <v>15</v>
      </c>
      <c r="P18" s="24" t="s">
        <v>16</v>
      </c>
      <c r="Q18" s="24" t="s">
        <v>13</v>
      </c>
      <c r="R18" s="46"/>
      <c r="S18" s="46"/>
      <c r="T18" s="46"/>
      <c r="U18" s="46"/>
      <c r="V18" s="46"/>
      <c r="W18" s="46"/>
      <c r="X18" s="46"/>
      <c r="Y18" s="46"/>
      <c r="Z18" s="46"/>
      <c r="AA18" s="46"/>
      <c r="AB18" s="49" t="s">
        <v>378</v>
      </c>
      <c r="AC18" s="46">
        <v>36647.0</v>
      </c>
      <c r="AD18" s="49" t="s">
        <v>354</v>
      </c>
      <c r="AE18" s="49" t="s">
        <v>354</v>
      </c>
      <c r="AF18" s="55">
        <v>29.82</v>
      </c>
      <c r="AG18" s="56" t="s">
        <v>365</v>
      </c>
      <c r="AH18" s="49" t="s">
        <v>379</v>
      </c>
      <c r="AI18" s="58" t="s">
        <v>380</v>
      </c>
      <c r="AJ18" s="49" t="s">
        <v>354</v>
      </c>
      <c r="AK18" s="49" t="s">
        <v>354</v>
      </c>
      <c r="AL18" s="59" t="s">
        <v>357</v>
      </c>
      <c r="AM18" s="60" t="s">
        <v>357</v>
      </c>
      <c r="AN18" s="49" t="s">
        <v>356</v>
      </c>
    </row>
    <row r="19">
      <c r="A19" s="45" t="s">
        <v>13</v>
      </c>
      <c r="B19" s="18" t="s">
        <v>374</v>
      </c>
      <c r="C19" s="46" t="s">
        <v>12</v>
      </c>
      <c r="D19" s="47" t="s">
        <v>353</v>
      </c>
      <c r="E19" s="48" t="s">
        <v>7</v>
      </c>
      <c r="F19" s="46" t="s">
        <v>8</v>
      </c>
      <c r="G19" s="57" t="s">
        <v>354</v>
      </c>
      <c r="H19" s="49">
        <v>180.0</v>
      </c>
      <c r="I19" s="49" t="s">
        <v>354</v>
      </c>
      <c r="J19" s="46">
        <v>4.0</v>
      </c>
      <c r="K19" s="49" t="s">
        <v>354</v>
      </c>
      <c r="L19" s="49">
        <v>0.0</v>
      </c>
      <c r="M19" s="49" t="s">
        <v>354</v>
      </c>
      <c r="N19" s="24" t="s">
        <v>14</v>
      </c>
      <c r="O19" s="24" t="s">
        <v>15</v>
      </c>
      <c r="P19" s="24" t="s">
        <v>16</v>
      </c>
      <c r="Q19" s="24" t="s">
        <v>13</v>
      </c>
      <c r="R19" s="24" t="s">
        <v>13</v>
      </c>
      <c r="S19" s="44" t="s">
        <v>373</v>
      </c>
      <c r="T19" s="61" t="s">
        <v>373</v>
      </c>
      <c r="U19" s="62" t="s">
        <v>381</v>
      </c>
      <c r="V19" s="62" t="s">
        <v>381</v>
      </c>
      <c r="W19" s="62" t="s">
        <v>381</v>
      </c>
      <c r="X19" s="62" t="s">
        <v>381</v>
      </c>
      <c r="Y19" s="62" t="s">
        <v>381</v>
      </c>
      <c r="Z19" s="62" t="s">
        <v>381</v>
      </c>
      <c r="AA19" s="62" t="s">
        <v>381</v>
      </c>
      <c r="AB19" s="62" t="s">
        <v>382</v>
      </c>
      <c r="AC19" s="46"/>
      <c r="AD19" s="49" t="s">
        <v>354</v>
      </c>
      <c r="AE19" s="49" t="s">
        <v>354</v>
      </c>
      <c r="AF19" s="49">
        <v>0.0</v>
      </c>
      <c r="AG19" s="49" t="s">
        <v>356</v>
      </c>
      <c r="AH19" s="49" t="s">
        <v>354</v>
      </c>
      <c r="AI19" s="63" t="s">
        <v>356</v>
      </c>
      <c r="AJ19" s="49" t="s">
        <v>354</v>
      </c>
      <c r="AK19" s="49" t="s">
        <v>354</v>
      </c>
      <c r="AL19" s="63" t="s">
        <v>356</v>
      </c>
      <c r="AM19" s="63" t="s">
        <v>356</v>
      </c>
      <c r="AN19" s="63" t="s">
        <v>356</v>
      </c>
    </row>
    <row r="20">
      <c r="A20" s="17" t="s">
        <v>19</v>
      </c>
      <c r="B20" s="18" t="s">
        <v>383</v>
      </c>
      <c r="C20" s="19" t="s">
        <v>18</v>
      </c>
      <c r="D20" s="20" t="s">
        <v>353</v>
      </c>
      <c r="E20" s="21" t="s">
        <v>7</v>
      </c>
      <c r="F20" s="19" t="s">
        <v>8</v>
      </c>
      <c r="G20" s="23">
        <v>126.0</v>
      </c>
      <c r="H20" s="23">
        <v>290.0</v>
      </c>
      <c r="I20" s="23" t="s">
        <v>354</v>
      </c>
      <c r="J20" s="22" t="s">
        <v>354</v>
      </c>
      <c r="K20" s="22" t="s">
        <v>354</v>
      </c>
      <c r="L20" s="23">
        <v>0.0</v>
      </c>
      <c r="M20" s="23" t="s">
        <v>354</v>
      </c>
      <c r="N20" s="24" t="s">
        <v>20</v>
      </c>
      <c r="O20" s="19"/>
      <c r="P20" s="19"/>
      <c r="Q20" s="19"/>
      <c r="R20" s="19"/>
      <c r="S20" s="19"/>
      <c r="T20" s="19"/>
      <c r="U20" s="19"/>
      <c r="V20" s="19"/>
      <c r="W20" s="19"/>
      <c r="X20" s="19"/>
      <c r="Y20" s="19"/>
      <c r="Z20" s="19"/>
      <c r="AA20" s="19"/>
      <c r="AB20" s="23" t="s">
        <v>384</v>
      </c>
      <c r="AC20" s="19"/>
      <c r="AD20" s="22" t="s">
        <v>354</v>
      </c>
      <c r="AE20" s="22" t="s">
        <v>354</v>
      </c>
      <c r="AF20" s="30">
        <v>41.0</v>
      </c>
      <c r="AG20" s="23" t="s">
        <v>356</v>
      </c>
      <c r="AH20" s="22" t="s">
        <v>354</v>
      </c>
      <c r="AI20" s="23" t="s">
        <v>356</v>
      </c>
      <c r="AJ20" s="22" t="s">
        <v>354</v>
      </c>
      <c r="AK20" s="22" t="s">
        <v>354</v>
      </c>
      <c r="AL20" s="27" t="s">
        <v>358</v>
      </c>
      <c r="AM20" s="64" t="s">
        <v>363</v>
      </c>
      <c r="AN20" s="29" t="s">
        <v>385</v>
      </c>
    </row>
    <row r="21">
      <c r="A21" s="17" t="s">
        <v>19</v>
      </c>
      <c r="B21" s="18" t="s">
        <v>383</v>
      </c>
      <c r="C21" s="19" t="s">
        <v>18</v>
      </c>
      <c r="D21" s="20" t="s">
        <v>353</v>
      </c>
      <c r="E21" s="21" t="s">
        <v>7</v>
      </c>
      <c r="F21" s="19" t="s">
        <v>8</v>
      </c>
      <c r="G21" s="23">
        <v>125.0</v>
      </c>
      <c r="H21" s="23">
        <v>230.0</v>
      </c>
      <c r="I21" s="22" t="s">
        <v>354</v>
      </c>
      <c r="J21" s="22" t="s">
        <v>354</v>
      </c>
      <c r="K21" s="22" t="s">
        <v>354</v>
      </c>
      <c r="L21" s="23">
        <v>0.0</v>
      </c>
      <c r="M21" s="23" t="s">
        <v>354</v>
      </c>
      <c r="N21" s="24" t="s">
        <v>20</v>
      </c>
      <c r="O21" s="24" t="s">
        <v>21</v>
      </c>
      <c r="P21" s="19"/>
      <c r="Q21" s="19"/>
      <c r="R21" s="19"/>
      <c r="S21" s="19"/>
      <c r="T21" s="19"/>
      <c r="U21" s="19"/>
      <c r="V21" s="19"/>
      <c r="W21" s="19"/>
      <c r="X21" s="19"/>
      <c r="Y21" s="19"/>
      <c r="Z21" s="19"/>
      <c r="AA21" s="19"/>
      <c r="AB21" s="23" t="s">
        <v>386</v>
      </c>
      <c r="AC21" s="19">
        <v>36284.0</v>
      </c>
      <c r="AD21" s="22" t="s">
        <v>354</v>
      </c>
      <c r="AE21" s="22" t="s">
        <v>354</v>
      </c>
      <c r="AF21" s="30">
        <v>41.88</v>
      </c>
      <c r="AG21" s="23" t="s">
        <v>356</v>
      </c>
      <c r="AH21" s="22" t="s">
        <v>354</v>
      </c>
      <c r="AI21" s="23" t="s">
        <v>356</v>
      </c>
      <c r="AJ21" s="22" t="s">
        <v>354</v>
      </c>
      <c r="AK21" s="22" t="s">
        <v>354</v>
      </c>
      <c r="AL21" s="31" t="s">
        <v>356</v>
      </c>
      <c r="AM21" s="31" t="s">
        <v>356</v>
      </c>
      <c r="AN21" s="31" t="s">
        <v>356</v>
      </c>
    </row>
    <row r="22">
      <c r="A22" s="17" t="s">
        <v>19</v>
      </c>
      <c r="B22" s="18" t="s">
        <v>383</v>
      </c>
      <c r="C22" s="19" t="s">
        <v>18</v>
      </c>
      <c r="D22" s="20" t="s">
        <v>353</v>
      </c>
      <c r="E22" s="21" t="s">
        <v>7</v>
      </c>
      <c r="F22" s="19" t="s">
        <v>8</v>
      </c>
      <c r="G22" s="23">
        <v>123.0</v>
      </c>
      <c r="H22" s="23">
        <v>210.0</v>
      </c>
      <c r="I22" s="22" t="s">
        <v>354</v>
      </c>
      <c r="J22" s="22" t="s">
        <v>354</v>
      </c>
      <c r="K22" s="22" t="s">
        <v>354</v>
      </c>
      <c r="L22" s="23">
        <v>0.0</v>
      </c>
      <c r="M22" s="23" t="s">
        <v>354</v>
      </c>
      <c r="N22" s="24" t="s">
        <v>20</v>
      </c>
      <c r="O22" s="24" t="s">
        <v>21</v>
      </c>
      <c r="P22" s="24" t="s">
        <v>22</v>
      </c>
      <c r="Q22" s="19"/>
      <c r="R22" s="19"/>
      <c r="S22" s="19"/>
      <c r="T22" s="19"/>
      <c r="U22" s="19"/>
      <c r="V22" s="19"/>
      <c r="W22" s="19"/>
      <c r="X22" s="19"/>
      <c r="Y22" s="19"/>
      <c r="Z22" s="19"/>
      <c r="AA22" s="19"/>
      <c r="AB22" s="23" t="s">
        <v>386</v>
      </c>
      <c r="AC22" s="19">
        <v>36319.0</v>
      </c>
      <c r="AD22" s="22" t="s">
        <v>354</v>
      </c>
      <c r="AE22" s="22" t="s">
        <v>354</v>
      </c>
      <c r="AF22" s="23">
        <v>0.0</v>
      </c>
      <c r="AG22" s="23" t="s">
        <v>356</v>
      </c>
      <c r="AH22" s="22" t="s">
        <v>354</v>
      </c>
      <c r="AI22" s="23" t="s">
        <v>356</v>
      </c>
      <c r="AJ22" s="22" t="s">
        <v>354</v>
      </c>
      <c r="AK22" s="22" t="s">
        <v>354</v>
      </c>
      <c r="AL22" s="65" t="s">
        <v>387</v>
      </c>
      <c r="AM22" s="65" t="s">
        <v>387</v>
      </c>
      <c r="AN22" s="31" t="s">
        <v>356</v>
      </c>
    </row>
    <row r="23">
      <c r="A23" s="17" t="s">
        <v>19</v>
      </c>
      <c r="B23" s="18" t="s">
        <v>383</v>
      </c>
      <c r="C23" s="19" t="s">
        <v>18</v>
      </c>
      <c r="D23" s="20" t="s">
        <v>353</v>
      </c>
      <c r="E23" s="21" t="s">
        <v>7</v>
      </c>
      <c r="F23" s="19" t="s">
        <v>8</v>
      </c>
      <c r="G23" s="23" t="s">
        <v>354</v>
      </c>
      <c r="H23" s="23">
        <v>200.0</v>
      </c>
      <c r="I23" s="22" t="s">
        <v>354</v>
      </c>
      <c r="J23" s="22" t="s">
        <v>354</v>
      </c>
      <c r="K23" s="22" t="s">
        <v>354</v>
      </c>
      <c r="L23" s="23">
        <v>1.0</v>
      </c>
      <c r="M23" s="23" t="s">
        <v>354</v>
      </c>
      <c r="N23" s="24" t="s">
        <v>20</v>
      </c>
      <c r="O23" s="24" t="s">
        <v>21</v>
      </c>
      <c r="P23" s="24" t="s">
        <v>22</v>
      </c>
      <c r="Q23" s="24" t="s">
        <v>19</v>
      </c>
      <c r="R23" s="19"/>
      <c r="S23" s="19"/>
      <c r="T23" s="19"/>
      <c r="U23" s="19"/>
      <c r="V23" s="19"/>
      <c r="W23" s="19"/>
      <c r="X23" s="19"/>
      <c r="Y23" s="19"/>
      <c r="Z23" s="19"/>
      <c r="AA23" s="19"/>
      <c r="AB23" s="23" t="s">
        <v>388</v>
      </c>
      <c r="AC23" s="19">
        <v>36649.0</v>
      </c>
      <c r="AD23" s="22" t="s">
        <v>354</v>
      </c>
      <c r="AE23" s="22" t="s">
        <v>354</v>
      </c>
      <c r="AF23" s="66">
        <v>31.48</v>
      </c>
      <c r="AG23" s="36" t="s">
        <v>365</v>
      </c>
      <c r="AH23" s="23" t="s">
        <v>389</v>
      </c>
      <c r="AI23" s="65" t="s">
        <v>387</v>
      </c>
      <c r="AJ23" s="22" t="s">
        <v>354</v>
      </c>
      <c r="AK23" s="22" t="s">
        <v>354</v>
      </c>
      <c r="AL23" s="43" t="s">
        <v>361</v>
      </c>
      <c r="AM23" s="65" t="s">
        <v>387</v>
      </c>
      <c r="AN23" s="67" t="s">
        <v>356</v>
      </c>
    </row>
    <row r="24">
      <c r="A24" s="17" t="s">
        <v>19</v>
      </c>
      <c r="B24" s="18" t="s">
        <v>383</v>
      </c>
      <c r="C24" s="19" t="s">
        <v>18</v>
      </c>
      <c r="D24" s="20" t="s">
        <v>353</v>
      </c>
      <c r="E24" s="21" t="s">
        <v>7</v>
      </c>
      <c r="F24" s="19" t="s">
        <v>8</v>
      </c>
      <c r="G24" s="23" t="s">
        <v>354</v>
      </c>
      <c r="H24" s="23">
        <v>225.0</v>
      </c>
      <c r="I24" s="22" t="s">
        <v>354</v>
      </c>
      <c r="J24" s="22" t="s">
        <v>354</v>
      </c>
      <c r="K24" s="22" t="s">
        <v>354</v>
      </c>
      <c r="L24" s="23">
        <v>0.0</v>
      </c>
      <c r="M24" s="23" t="s">
        <v>354</v>
      </c>
      <c r="N24" s="24" t="s">
        <v>20</v>
      </c>
      <c r="O24" s="24" t="s">
        <v>21</v>
      </c>
      <c r="P24" s="24" t="s">
        <v>22</v>
      </c>
      <c r="Q24" s="24" t="s">
        <v>19</v>
      </c>
      <c r="R24" s="24" t="s">
        <v>19</v>
      </c>
      <c r="S24" s="19"/>
      <c r="T24" s="19"/>
      <c r="U24" s="19"/>
      <c r="V24" s="19"/>
      <c r="W24" s="19"/>
      <c r="X24" s="19"/>
      <c r="Y24" s="19"/>
      <c r="Z24" s="19"/>
      <c r="AA24" s="19"/>
      <c r="AB24" s="22" t="s">
        <v>354</v>
      </c>
      <c r="AC24" s="19"/>
      <c r="AD24" s="22" t="s">
        <v>354</v>
      </c>
      <c r="AE24" s="22" t="s">
        <v>354</v>
      </c>
      <c r="AF24" s="66">
        <v>37.91</v>
      </c>
      <c r="AG24" s="36" t="s">
        <v>365</v>
      </c>
      <c r="AH24" s="23" t="s">
        <v>389</v>
      </c>
      <c r="AI24" s="65" t="s">
        <v>387</v>
      </c>
      <c r="AJ24" s="22" t="s">
        <v>354</v>
      </c>
      <c r="AK24" s="22" t="s">
        <v>354</v>
      </c>
      <c r="AL24" s="43" t="s">
        <v>361</v>
      </c>
      <c r="AM24" s="65" t="s">
        <v>387</v>
      </c>
      <c r="AN24" s="37" t="s">
        <v>363</v>
      </c>
    </row>
    <row r="25">
      <c r="A25" s="17" t="s">
        <v>19</v>
      </c>
      <c r="B25" s="18" t="s">
        <v>383</v>
      </c>
      <c r="C25" s="19" t="s">
        <v>18</v>
      </c>
      <c r="D25" s="20" t="s">
        <v>353</v>
      </c>
      <c r="E25" s="21" t="s">
        <v>7</v>
      </c>
      <c r="F25" s="19" t="s">
        <v>8</v>
      </c>
      <c r="G25" s="23" t="s">
        <v>354</v>
      </c>
      <c r="H25" s="23">
        <v>280.0</v>
      </c>
      <c r="I25" s="22" t="s">
        <v>354</v>
      </c>
      <c r="J25" s="22" t="s">
        <v>354</v>
      </c>
      <c r="K25" s="22" t="s">
        <v>354</v>
      </c>
      <c r="L25" s="23">
        <v>0.0</v>
      </c>
      <c r="M25" s="23" t="s">
        <v>354</v>
      </c>
      <c r="N25" s="24" t="s">
        <v>20</v>
      </c>
      <c r="O25" s="24" t="s">
        <v>21</v>
      </c>
      <c r="P25" s="24" t="s">
        <v>22</v>
      </c>
      <c r="Q25" s="24" t="s">
        <v>19</v>
      </c>
      <c r="R25" s="24" t="s">
        <v>19</v>
      </c>
      <c r="S25" s="24" t="s">
        <v>19</v>
      </c>
      <c r="T25" s="19"/>
      <c r="U25" s="19"/>
      <c r="V25" s="19"/>
      <c r="W25" s="19"/>
      <c r="X25" s="19"/>
      <c r="Y25" s="19"/>
      <c r="Z25" s="19"/>
      <c r="AA25" s="19"/>
      <c r="AB25" s="22" t="s">
        <v>354</v>
      </c>
      <c r="AC25" s="19"/>
      <c r="AD25" s="22" t="s">
        <v>354</v>
      </c>
      <c r="AE25" s="22" t="s">
        <v>354</v>
      </c>
      <c r="AF25" s="68">
        <v>28.85</v>
      </c>
      <c r="AG25" s="22" t="s">
        <v>354</v>
      </c>
      <c r="AH25" s="22" t="s">
        <v>354</v>
      </c>
      <c r="AI25" s="22" t="s">
        <v>354</v>
      </c>
      <c r="AJ25" s="22" t="s">
        <v>354</v>
      </c>
      <c r="AK25" s="22" t="s">
        <v>354</v>
      </c>
      <c r="AL25" s="43" t="s">
        <v>361</v>
      </c>
      <c r="AM25" s="64" t="s">
        <v>363</v>
      </c>
      <c r="AN25" s="64" t="s">
        <v>363</v>
      </c>
    </row>
    <row r="26">
      <c r="A26" s="17" t="s">
        <v>19</v>
      </c>
      <c r="B26" s="18" t="s">
        <v>383</v>
      </c>
      <c r="C26" s="19" t="s">
        <v>18</v>
      </c>
      <c r="D26" s="20" t="s">
        <v>353</v>
      </c>
      <c r="E26" s="21" t="s">
        <v>7</v>
      </c>
      <c r="F26" s="19" t="s">
        <v>8</v>
      </c>
      <c r="G26" s="23" t="s">
        <v>354</v>
      </c>
      <c r="H26" s="23">
        <v>225.0</v>
      </c>
      <c r="I26" s="22" t="s">
        <v>354</v>
      </c>
      <c r="J26" s="22" t="s">
        <v>354</v>
      </c>
      <c r="K26" s="22" t="s">
        <v>354</v>
      </c>
      <c r="L26" s="23">
        <v>0.0</v>
      </c>
      <c r="M26" s="23" t="s">
        <v>354</v>
      </c>
      <c r="N26" s="24" t="s">
        <v>20</v>
      </c>
      <c r="O26" s="24" t="s">
        <v>21</v>
      </c>
      <c r="P26" s="24" t="s">
        <v>22</v>
      </c>
      <c r="Q26" s="24" t="s">
        <v>19</v>
      </c>
      <c r="R26" s="24" t="s">
        <v>19</v>
      </c>
      <c r="S26" s="24" t="s">
        <v>19</v>
      </c>
      <c r="T26" s="24" t="s">
        <v>19</v>
      </c>
      <c r="U26" s="19"/>
      <c r="V26" s="19"/>
      <c r="W26" s="19"/>
      <c r="X26" s="19"/>
      <c r="Y26" s="19"/>
      <c r="Z26" s="19"/>
      <c r="AA26" s="19"/>
      <c r="AB26" s="22" t="s">
        <v>354</v>
      </c>
      <c r="AC26" s="19"/>
      <c r="AD26" s="22" t="s">
        <v>354</v>
      </c>
      <c r="AE26" s="22" t="s">
        <v>354</v>
      </c>
      <c r="AF26" s="33">
        <v>0.0</v>
      </c>
      <c r="AG26" s="23" t="s">
        <v>354</v>
      </c>
      <c r="AH26" s="22" t="s">
        <v>354</v>
      </c>
      <c r="AI26" s="23" t="s">
        <v>354</v>
      </c>
      <c r="AJ26" s="22" t="s">
        <v>354</v>
      </c>
      <c r="AK26" s="22" t="s">
        <v>354</v>
      </c>
      <c r="AL26" s="23" t="s">
        <v>356</v>
      </c>
      <c r="AM26" s="23" t="s">
        <v>356</v>
      </c>
      <c r="AN26" s="23" t="s">
        <v>356</v>
      </c>
    </row>
    <row r="27">
      <c r="A27" s="17" t="s">
        <v>19</v>
      </c>
      <c r="B27" s="18" t="s">
        <v>383</v>
      </c>
      <c r="C27" s="19" t="s">
        <v>18</v>
      </c>
      <c r="D27" s="20" t="s">
        <v>353</v>
      </c>
      <c r="E27" s="21" t="s">
        <v>7</v>
      </c>
      <c r="F27" s="19" t="s">
        <v>8</v>
      </c>
      <c r="G27" s="23" t="s">
        <v>354</v>
      </c>
      <c r="H27" s="23">
        <v>215.0</v>
      </c>
      <c r="I27" s="22" t="s">
        <v>354</v>
      </c>
      <c r="J27" s="22" t="s">
        <v>354</v>
      </c>
      <c r="K27" s="22" t="s">
        <v>354</v>
      </c>
      <c r="L27" s="23">
        <v>0.0</v>
      </c>
      <c r="M27" s="23" t="s">
        <v>354</v>
      </c>
      <c r="N27" s="24" t="s">
        <v>20</v>
      </c>
      <c r="O27" s="24" t="s">
        <v>21</v>
      </c>
      <c r="P27" s="24" t="s">
        <v>22</v>
      </c>
      <c r="Q27" s="24" t="s">
        <v>19</v>
      </c>
      <c r="R27" s="24" t="s">
        <v>19</v>
      </c>
      <c r="S27" s="24" t="s">
        <v>19</v>
      </c>
      <c r="T27" s="24" t="s">
        <v>19</v>
      </c>
      <c r="U27" s="24" t="s">
        <v>19</v>
      </c>
      <c r="V27" s="19"/>
      <c r="W27" s="19"/>
      <c r="X27" s="19"/>
      <c r="Y27" s="19"/>
      <c r="Z27" s="19"/>
      <c r="AA27" s="19"/>
      <c r="AB27" s="22" t="s">
        <v>354</v>
      </c>
      <c r="AC27" s="19"/>
      <c r="AD27" s="22" t="s">
        <v>354</v>
      </c>
      <c r="AE27" s="22" t="s">
        <v>354</v>
      </c>
      <c r="AF27" s="33">
        <v>0.0</v>
      </c>
      <c r="AG27" s="23" t="s">
        <v>354</v>
      </c>
      <c r="AH27" s="22" t="s">
        <v>354</v>
      </c>
      <c r="AI27" s="23" t="s">
        <v>354</v>
      </c>
      <c r="AJ27" s="22" t="s">
        <v>354</v>
      </c>
      <c r="AK27" s="22" t="s">
        <v>354</v>
      </c>
      <c r="AL27" s="59" t="s">
        <v>357</v>
      </c>
      <c r="AM27" s="64" t="s">
        <v>363</v>
      </c>
      <c r="AN27" s="64" t="s">
        <v>363</v>
      </c>
    </row>
    <row r="28">
      <c r="A28" s="17" t="s">
        <v>19</v>
      </c>
      <c r="B28" s="18" t="s">
        <v>383</v>
      </c>
      <c r="C28" s="19" t="s">
        <v>18</v>
      </c>
      <c r="D28" s="20" t="s">
        <v>353</v>
      </c>
      <c r="E28" s="21" t="s">
        <v>7</v>
      </c>
      <c r="F28" s="19" t="s">
        <v>8</v>
      </c>
      <c r="G28" s="23" t="s">
        <v>354</v>
      </c>
      <c r="H28" s="23">
        <v>205.0</v>
      </c>
      <c r="I28" s="22" t="s">
        <v>354</v>
      </c>
      <c r="J28" s="22" t="s">
        <v>354</v>
      </c>
      <c r="K28" s="22" t="s">
        <v>354</v>
      </c>
      <c r="L28" s="23">
        <v>0.0</v>
      </c>
      <c r="M28" s="23" t="s">
        <v>354</v>
      </c>
      <c r="N28" s="24" t="s">
        <v>20</v>
      </c>
      <c r="O28" s="24" t="s">
        <v>21</v>
      </c>
      <c r="P28" s="24" t="s">
        <v>22</v>
      </c>
      <c r="Q28" s="24" t="s">
        <v>19</v>
      </c>
      <c r="R28" s="24" t="s">
        <v>19</v>
      </c>
      <c r="S28" s="24" t="s">
        <v>19</v>
      </c>
      <c r="T28" s="24" t="s">
        <v>19</v>
      </c>
      <c r="U28" s="24" t="s">
        <v>19</v>
      </c>
      <c r="V28" s="24" t="s">
        <v>19</v>
      </c>
      <c r="W28" s="19"/>
      <c r="X28" s="19"/>
      <c r="Y28" s="19"/>
      <c r="Z28" s="19"/>
      <c r="AA28" s="19"/>
      <c r="AB28" s="22" t="s">
        <v>354</v>
      </c>
      <c r="AC28" s="19"/>
      <c r="AD28" s="22" t="s">
        <v>354</v>
      </c>
      <c r="AE28" s="69" t="s">
        <v>354</v>
      </c>
      <c r="AF28" s="33">
        <v>0.0</v>
      </c>
      <c r="AG28" s="69" t="s">
        <v>354</v>
      </c>
      <c r="AH28" s="69" t="s">
        <v>354</v>
      </c>
      <c r="AI28" s="22" t="s">
        <v>354</v>
      </c>
      <c r="AJ28" s="22" t="s">
        <v>354</v>
      </c>
      <c r="AK28" s="22" t="s">
        <v>354</v>
      </c>
      <c r="AL28" s="19" t="s">
        <v>356</v>
      </c>
      <c r="AM28" s="70" t="s">
        <v>361</v>
      </c>
      <c r="AN28" s="19" t="s">
        <v>356</v>
      </c>
    </row>
    <row r="29">
      <c r="A29" s="17" t="s">
        <v>19</v>
      </c>
      <c r="B29" s="18" t="s">
        <v>383</v>
      </c>
      <c r="C29" s="19" t="s">
        <v>18</v>
      </c>
      <c r="D29" s="20" t="s">
        <v>353</v>
      </c>
      <c r="E29" s="21" t="s">
        <v>7</v>
      </c>
      <c r="F29" s="19" t="s">
        <v>8</v>
      </c>
      <c r="G29" s="23" t="s">
        <v>354</v>
      </c>
      <c r="H29" s="23">
        <v>270.0</v>
      </c>
      <c r="I29" s="22" t="s">
        <v>354</v>
      </c>
      <c r="J29" s="22" t="s">
        <v>354</v>
      </c>
      <c r="K29" s="22" t="s">
        <v>354</v>
      </c>
      <c r="L29" s="41">
        <v>0.0</v>
      </c>
      <c r="M29" s="41" t="s">
        <v>354</v>
      </c>
      <c r="N29" s="24" t="s">
        <v>20</v>
      </c>
      <c r="O29" s="24" t="s">
        <v>21</v>
      </c>
      <c r="P29" s="24" t="s">
        <v>22</v>
      </c>
      <c r="Q29" s="24" t="s">
        <v>19</v>
      </c>
      <c r="R29" s="24" t="s">
        <v>19</v>
      </c>
      <c r="S29" s="24" t="s">
        <v>19</v>
      </c>
      <c r="T29" s="24" t="s">
        <v>19</v>
      </c>
      <c r="U29" s="24" t="s">
        <v>19</v>
      </c>
      <c r="V29" s="24" t="s">
        <v>19</v>
      </c>
      <c r="W29" s="18" t="s">
        <v>390</v>
      </c>
      <c r="X29" s="19"/>
      <c r="Y29" s="19"/>
      <c r="Z29" s="19"/>
      <c r="AA29" s="19"/>
      <c r="AB29" s="71" t="s">
        <v>371</v>
      </c>
      <c r="AC29" s="19"/>
      <c r="AD29" s="22" t="s">
        <v>354</v>
      </c>
      <c r="AE29" s="69" t="s">
        <v>354</v>
      </c>
      <c r="AF29" s="66">
        <v>36.89883785120145</v>
      </c>
      <c r="AG29" s="69" t="s">
        <v>354</v>
      </c>
      <c r="AH29" s="69" t="s">
        <v>354</v>
      </c>
      <c r="AI29" s="22" t="s">
        <v>354</v>
      </c>
      <c r="AJ29" s="22" t="s">
        <v>354</v>
      </c>
      <c r="AK29" s="22" t="s">
        <v>354</v>
      </c>
      <c r="AL29" s="35" t="s">
        <v>363</v>
      </c>
      <c r="AM29" s="19" t="s">
        <v>356</v>
      </c>
      <c r="AN29" s="35" t="s">
        <v>363</v>
      </c>
    </row>
    <row r="30">
      <c r="A30" s="17" t="s">
        <v>19</v>
      </c>
      <c r="B30" s="18" t="s">
        <v>383</v>
      </c>
      <c r="C30" s="19" t="s">
        <v>18</v>
      </c>
      <c r="D30" s="20" t="s">
        <v>353</v>
      </c>
      <c r="E30" s="21" t="s">
        <v>7</v>
      </c>
      <c r="F30" s="19" t="s">
        <v>8</v>
      </c>
      <c r="G30" s="23" t="s">
        <v>354</v>
      </c>
      <c r="H30" s="23" t="s">
        <v>354</v>
      </c>
      <c r="I30" s="22" t="s">
        <v>354</v>
      </c>
      <c r="J30" s="22" t="s">
        <v>354</v>
      </c>
      <c r="K30" s="22" t="s">
        <v>354</v>
      </c>
      <c r="L30" s="41">
        <v>0.0</v>
      </c>
      <c r="M30" s="41" t="s">
        <v>354</v>
      </c>
      <c r="N30" s="24" t="s">
        <v>20</v>
      </c>
      <c r="O30" s="24" t="s">
        <v>21</v>
      </c>
      <c r="P30" s="24" t="s">
        <v>22</v>
      </c>
      <c r="Q30" s="24" t="s">
        <v>19</v>
      </c>
      <c r="R30" s="24" t="s">
        <v>19</v>
      </c>
      <c r="S30" s="24" t="s">
        <v>19</v>
      </c>
      <c r="T30" s="24" t="s">
        <v>19</v>
      </c>
      <c r="U30" s="24" t="s">
        <v>19</v>
      </c>
      <c r="V30" s="24" t="s">
        <v>19</v>
      </c>
      <c r="W30" s="18" t="s">
        <v>390</v>
      </c>
      <c r="X30" s="24" t="s">
        <v>19</v>
      </c>
      <c r="Y30" s="44" t="s">
        <v>373</v>
      </c>
      <c r="Z30" s="19"/>
      <c r="AA30" s="19"/>
      <c r="AB30" s="71" t="s">
        <v>371</v>
      </c>
      <c r="AC30" s="19"/>
      <c r="AD30" s="22" t="s">
        <v>354</v>
      </c>
      <c r="AE30" s="69" t="s">
        <v>354</v>
      </c>
      <c r="AF30" s="33">
        <v>0.0</v>
      </c>
      <c r="AG30" s="33" t="s">
        <v>354</v>
      </c>
      <c r="AH30" s="69" t="s">
        <v>354</v>
      </c>
      <c r="AI30" s="33" t="s">
        <v>354</v>
      </c>
      <c r="AJ30" s="33" t="s">
        <v>354</v>
      </c>
      <c r="AK30" s="33" t="s">
        <v>354</v>
      </c>
      <c r="AL30" s="23" t="s">
        <v>356</v>
      </c>
      <c r="AM30" s="23" t="s">
        <v>356</v>
      </c>
      <c r="AN30" s="23" t="s">
        <v>356</v>
      </c>
    </row>
    <row r="31">
      <c r="A31" s="17" t="s">
        <v>19</v>
      </c>
      <c r="B31" s="18" t="s">
        <v>383</v>
      </c>
      <c r="C31" s="19" t="s">
        <v>18</v>
      </c>
      <c r="D31" s="20" t="s">
        <v>353</v>
      </c>
      <c r="E31" s="21" t="s">
        <v>7</v>
      </c>
      <c r="F31" s="19" t="s">
        <v>8</v>
      </c>
      <c r="G31" s="23" t="s">
        <v>354</v>
      </c>
      <c r="H31" s="23" t="s">
        <v>354</v>
      </c>
      <c r="I31" s="22" t="s">
        <v>354</v>
      </c>
      <c r="J31" s="22" t="s">
        <v>354</v>
      </c>
      <c r="K31" s="22" t="s">
        <v>354</v>
      </c>
      <c r="L31" s="41">
        <v>0.0</v>
      </c>
      <c r="M31" s="41" t="s">
        <v>354</v>
      </c>
      <c r="N31" s="24" t="s">
        <v>20</v>
      </c>
      <c r="O31" s="24" t="s">
        <v>21</v>
      </c>
      <c r="P31" s="24" t="s">
        <v>22</v>
      </c>
      <c r="Q31" s="24" t="s">
        <v>19</v>
      </c>
      <c r="R31" s="24" t="s">
        <v>19</v>
      </c>
      <c r="S31" s="24" t="s">
        <v>19</v>
      </c>
      <c r="T31" s="24" t="s">
        <v>19</v>
      </c>
      <c r="U31" s="24" t="s">
        <v>19</v>
      </c>
      <c r="V31" s="24" t="s">
        <v>19</v>
      </c>
      <c r="W31" s="18" t="s">
        <v>390</v>
      </c>
      <c r="X31" s="24" t="s">
        <v>19</v>
      </c>
      <c r="Y31" s="44" t="s">
        <v>373</v>
      </c>
      <c r="Z31" s="24" t="s">
        <v>19</v>
      </c>
      <c r="AA31" s="19"/>
      <c r="AB31" s="71" t="s">
        <v>371</v>
      </c>
      <c r="AC31" s="19"/>
      <c r="AD31" s="22" t="s">
        <v>354</v>
      </c>
      <c r="AE31" s="69" t="s">
        <v>354</v>
      </c>
      <c r="AF31" s="33">
        <v>0.0</v>
      </c>
      <c r="AG31" s="23" t="s">
        <v>356</v>
      </c>
      <c r="AH31" s="69" t="s">
        <v>354</v>
      </c>
      <c r="AI31" s="23" t="s">
        <v>356</v>
      </c>
      <c r="AJ31" s="23" t="s">
        <v>356</v>
      </c>
      <c r="AK31" s="23" t="s">
        <v>356</v>
      </c>
      <c r="AL31" s="43" t="s">
        <v>361</v>
      </c>
      <c r="AM31" s="43" t="s">
        <v>361</v>
      </c>
      <c r="AN31" s="23" t="s">
        <v>356</v>
      </c>
    </row>
    <row r="32">
      <c r="A32" s="17" t="s">
        <v>19</v>
      </c>
      <c r="B32" s="18" t="s">
        <v>383</v>
      </c>
      <c r="C32" s="19" t="s">
        <v>18</v>
      </c>
      <c r="D32" s="20" t="s">
        <v>353</v>
      </c>
      <c r="E32" s="21" t="s">
        <v>7</v>
      </c>
      <c r="F32" s="19" t="s">
        <v>8</v>
      </c>
      <c r="G32" s="23" t="s">
        <v>354</v>
      </c>
      <c r="H32" s="23" t="s">
        <v>354</v>
      </c>
      <c r="I32" s="22" t="s">
        <v>354</v>
      </c>
      <c r="J32" s="22" t="s">
        <v>354</v>
      </c>
      <c r="K32" s="22" t="s">
        <v>354</v>
      </c>
      <c r="L32" s="41">
        <v>0.0</v>
      </c>
      <c r="M32" s="41" t="s">
        <v>354</v>
      </c>
      <c r="N32" s="24" t="s">
        <v>20</v>
      </c>
      <c r="O32" s="24" t="s">
        <v>21</v>
      </c>
      <c r="P32" s="24" t="s">
        <v>22</v>
      </c>
      <c r="Q32" s="24" t="s">
        <v>19</v>
      </c>
      <c r="R32" s="24" t="s">
        <v>19</v>
      </c>
      <c r="S32" s="24" t="s">
        <v>19</v>
      </c>
      <c r="T32" s="24" t="s">
        <v>19</v>
      </c>
      <c r="U32" s="24" t="s">
        <v>19</v>
      </c>
      <c r="V32" s="24" t="s">
        <v>19</v>
      </c>
      <c r="W32" s="18" t="s">
        <v>390</v>
      </c>
      <c r="X32" s="24" t="s">
        <v>19</v>
      </c>
      <c r="Y32" s="44" t="s">
        <v>373</v>
      </c>
      <c r="Z32" s="24" t="s">
        <v>19</v>
      </c>
      <c r="AA32" s="24" t="s">
        <v>19</v>
      </c>
      <c r="AB32" s="71" t="s">
        <v>371</v>
      </c>
      <c r="AC32" s="19"/>
      <c r="AD32" s="22" t="s">
        <v>354</v>
      </c>
      <c r="AE32" s="69" t="s">
        <v>354</v>
      </c>
      <c r="AF32" s="33">
        <v>0.0</v>
      </c>
      <c r="AG32" s="33" t="s">
        <v>354</v>
      </c>
      <c r="AH32" s="69" t="s">
        <v>354</v>
      </c>
      <c r="AI32" s="33" t="s">
        <v>354</v>
      </c>
      <c r="AJ32" s="33" t="s">
        <v>354</v>
      </c>
      <c r="AK32" s="33" t="s">
        <v>354</v>
      </c>
      <c r="AL32" s="23" t="s">
        <v>356</v>
      </c>
      <c r="AM32" s="23" t="s">
        <v>356</v>
      </c>
      <c r="AN32" s="23" t="s">
        <v>356</v>
      </c>
    </row>
    <row r="33">
      <c r="A33" s="45" t="s">
        <v>24</v>
      </c>
      <c r="B33" s="18" t="s">
        <v>391</v>
      </c>
      <c r="C33" s="46" t="s">
        <v>23</v>
      </c>
      <c r="D33" s="47" t="s">
        <v>353</v>
      </c>
      <c r="E33" s="48" t="s">
        <v>7</v>
      </c>
      <c r="F33" s="46" t="s">
        <v>8</v>
      </c>
      <c r="G33" s="72">
        <v>127.0</v>
      </c>
      <c r="H33" s="72">
        <v>270.0</v>
      </c>
      <c r="I33" s="57" t="s">
        <v>354</v>
      </c>
      <c r="J33" s="57" t="s">
        <v>354</v>
      </c>
      <c r="K33" s="57" t="s">
        <v>354</v>
      </c>
      <c r="L33" s="49">
        <v>0.0</v>
      </c>
      <c r="M33" s="57" t="s">
        <v>354</v>
      </c>
      <c r="N33" s="24" t="s">
        <v>25</v>
      </c>
      <c r="O33" s="46"/>
      <c r="P33" s="46"/>
      <c r="Q33" s="46"/>
      <c r="R33" s="46"/>
      <c r="S33" s="46"/>
      <c r="T33" s="46"/>
      <c r="U33" s="46"/>
      <c r="V33" s="46"/>
      <c r="W33" s="46"/>
      <c r="X33" s="46"/>
      <c r="Y33" s="46"/>
      <c r="Z33" s="46"/>
      <c r="AA33" s="46"/>
      <c r="AB33" s="49" t="s">
        <v>392</v>
      </c>
      <c r="AC33" s="46"/>
      <c r="AD33" s="46"/>
      <c r="AE33" s="46"/>
      <c r="AF33" s="49">
        <v>0.0</v>
      </c>
      <c r="AG33" s="49" t="s">
        <v>356</v>
      </c>
      <c r="AH33" s="49" t="s">
        <v>354</v>
      </c>
      <c r="AI33" s="49" t="s">
        <v>356</v>
      </c>
      <c r="AJ33" s="49" t="s">
        <v>354</v>
      </c>
      <c r="AK33" s="49" t="s">
        <v>354</v>
      </c>
      <c r="AL33" s="73" t="s">
        <v>357</v>
      </c>
      <c r="AM33" s="49" t="s">
        <v>356</v>
      </c>
      <c r="AN33" s="49" t="s">
        <v>356</v>
      </c>
    </row>
    <row r="34">
      <c r="A34" s="45" t="s">
        <v>24</v>
      </c>
      <c r="B34" s="18" t="s">
        <v>391</v>
      </c>
      <c r="C34" s="46" t="s">
        <v>23</v>
      </c>
      <c r="D34" s="47" t="s">
        <v>353</v>
      </c>
      <c r="E34" s="48" t="s">
        <v>7</v>
      </c>
      <c r="F34" s="46" t="s">
        <v>8</v>
      </c>
      <c r="G34" s="72">
        <v>126.0</v>
      </c>
      <c r="H34" s="72">
        <v>220.0</v>
      </c>
      <c r="I34" s="57" t="s">
        <v>354</v>
      </c>
      <c r="J34" s="57" t="s">
        <v>354</v>
      </c>
      <c r="K34" s="57" t="s">
        <v>354</v>
      </c>
      <c r="L34" s="49">
        <v>0.0</v>
      </c>
      <c r="M34" s="57" t="s">
        <v>354</v>
      </c>
      <c r="N34" s="24" t="s">
        <v>25</v>
      </c>
      <c r="O34" s="24" t="s">
        <v>26</v>
      </c>
      <c r="P34" s="46"/>
      <c r="Q34" s="46"/>
      <c r="R34" s="46"/>
      <c r="S34" s="46"/>
      <c r="T34" s="46"/>
      <c r="U34" s="46"/>
      <c r="V34" s="46"/>
      <c r="W34" s="46"/>
      <c r="X34" s="46"/>
      <c r="Y34" s="46"/>
      <c r="Z34" s="46"/>
      <c r="AA34" s="46"/>
      <c r="AB34" s="49" t="s">
        <v>354</v>
      </c>
      <c r="AC34" s="46">
        <v>36287.0</v>
      </c>
      <c r="AD34" s="46" t="s">
        <v>393</v>
      </c>
      <c r="AE34" s="49" t="s">
        <v>394</v>
      </c>
      <c r="AF34" s="49">
        <v>0.0</v>
      </c>
      <c r="AG34" s="49" t="s">
        <v>356</v>
      </c>
      <c r="AH34" s="49" t="s">
        <v>354</v>
      </c>
      <c r="AI34" s="49" t="s">
        <v>356</v>
      </c>
      <c r="AJ34" s="49" t="s">
        <v>354</v>
      </c>
      <c r="AK34" s="49" t="s">
        <v>354</v>
      </c>
      <c r="AL34" s="49" t="s">
        <v>356</v>
      </c>
      <c r="AM34" s="49" t="s">
        <v>356</v>
      </c>
      <c r="AN34" s="49" t="s">
        <v>356</v>
      </c>
    </row>
    <row r="35">
      <c r="A35" s="45" t="s">
        <v>24</v>
      </c>
      <c r="B35" s="18" t="s">
        <v>391</v>
      </c>
      <c r="C35" s="46" t="s">
        <v>23</v>
      </c>
      <c r="D35" s="47" t="s">
        <v>353</v>
      </c>
      <c r="E35" s="48" t="s">
        <v>7</v>
      </c>
      <c r="F35" s="46" t="s">
        <v>8</v>
      </c>
      <c r="G35" s="72">
        <v>127.0</v>
      </c>
      <c r="H35" s="72">
        <v>200.0</v>
      </c>
      <c r="I35" s="57" t="s">
        <v>354</v>
      </c>
      <c r="J35" s="57" t="s">
        <v>354</v>
      </c>
      <c r="K35" s="57" t="s">
        <v>354</v>
      </c>
      <c r="L35" s="49">
        <v>0.0</v>
      </c>
      <c r="M35" s="57" t="s">
        <v>354</v>
      </c>
      <c r="N35" s="24" t="s">
        <v>25</v>
      </c>
      <c r="O35" s="24" t="s">
        <v>26</v>
      </c>
      <c r="P35" s="24" t="s">
        <v>27</v>
      </c>
      <c r="Q35" s="44" t="s">
        <v>373</v>
      </c>
      <c r="R35" s="61" t="s">
        <v>373</v>
      </c>
      <c r="S35" s="46"/>
      <c r="T35" s="46"/>
      <c r="U35" s="46"/>
      <c r="V35" s="46"/>
      <c r="W35" s="46"/>
      <c r="X35" s="46"/>
      <c r="Y35" s="46"/>
      <c r="Z35" s="46"/>
      <c r="AA35" s="46"/>
      <c r="AB35" s="49" t="s">
        <v>354</v>
      </c>
      <c r="AC35" s="46">
        <v>36314.0</v>
      </c>
      <c r="AD35" s="46"/>
      <c r="AE35" s="46"/>
      <c r="AF35" s="49">
        <v>0.0</v>
      </c>
      <c r="AG35" s="56" t="s">
        <v>365</v>
      </c>
      <c r="AH35" s="49" t="s">
        <v>366</v>
      </c>
      <c r="AI35" s="73" t="s">
        <v>357</v>
      </c>
      <c r="AJ35" s="49" t="s">
        <v>354</v>
      </c>
      <c r="AK35" s="49" t="s">
        <v>354</v>
      </c>
      <c r="AL35" s="73" t="s">
        <v>357</v>
      </c>
      <c r="AM35" s="73" t="s">
        <v>357</v>
      </c>
      <c r="AN35" s="73" t="s">
        <v>357</v>
      </c>
    </row>
    <row r="36">
      <c r="A36" s="45" t="s">
        <v>24</v>
      </c>
      <c r="B36" s="18" t="s">
        <v>391</v>
      </c>
      <c r="C36" s="46" t="s">
        <v>23</v>
      </c>
      <c r="D36" s="47" t="s">
        <v>353</v>
      </c>
      <c r="E36" s="48" t="s">
        <v>7</v>
      </c>
      <c r="F36" s="46" t="s">
        <v>8</v>
      </c>
      <c r="G36" s="49" t="s">
        <v>354</v>
      </c>
      <c r="H36" s="72">
        <v>220.0</v>
      </c>
      <c r="I36" s="57" t="s">
        <v>354</v>
      </c>
      <c r="J36" s="57" t="s">
        <v>354</v>
      </c>
      <c r="K36" s="57" t="s">
        <v>354</v>
      </c>
      <c r="L36" s="49">
        <v>0.0</v>
      </c>
      <c r="M36" s="57" t="s">
        <v>354</v>
      </c>
      <c r="N36" s="24" t="s">
        <v>25</v>
      </c>
      <c r="O36" s="24" t="s">
        <v>26</v>
      </c>
      <c r="P36" s="24" t="s">
        <v>27</v>
      </c>
      <c r="Q36" s="44" t="s">
        <v>373</v>
      </c>
      <c r="R36" s="61" t="s">
        <v>373</v>
      </c>
      <c r="S36" s="24" t="s">
        <v>24</v>
      </c>
      <c r="T36" s="46"/>
      <c r="U36" s="46"/>
      <c r="V36" s="46"/>
      <c r="W36" s="46"/>
      <c r="X36" s="46"/>
      <c r="Y36" s="46"/>
      <c r="Z36" s="46"/>
      <c r="AA36" s="46"/>
      <c r="AB36" s="72" t="s">
        <v>395</v>
      </c>
      <c r="AC36" s="46"/>
      <c r="AD36" s="46"/>
      <c r="AE36" s="46"/>
      <c r="AF36" s="49">
        <v>0.0</v>
      </c>
      <c r="AG36" s="49" t="s">
        <v>354</v>
      </c>
      <c r="AH36" s="49"/>
      <c r="AI36" s="49" t="s">
        <v>354</v>
      </c>
      <c r="AJ36" s="49" t="s">
        <v>354</v>
      </c>
      <c r="AK36" s="49" t="s">
        <v>354</v>
      </c>
      <c r="AL36" s="74" t="s">
        <v>361</v>
      </c>
      <c r="AM36" s="75" t="s">
        <v>357</v>
      </c>
      <c r="AN36" s="76" t="s">
        <v>356</v>
      </c>
    </row>
    <row r="37">
      <c r="A37" s="45" t="s">
        <v>24</v>
      </c>
      <c r="B37" s="18" t="s">
        <v>391</v>
      </c>
      <c r="C37" s="46" t="s">
        <v>23</v>
      </c>
      <c r="D37" s="47" t="s">
        <v>353</v>
      </c>
      <c r="E37" s="48" t="s">
        <v>7</v>
      </c>
      <c r="F37" s="46" t="s">
        <v>8</v>
      </c>
      <c r="G37" s="49" t="s">
        <v>354</v>
      </c>
      <c r="H37" s="49">
        <v>220.0</v>
      </c>
      <c r="I37" s="57" t="s">
        <v>354</v>
      </c>
      <c r="J37" s="57" t="s">
        <v>354</v>
      </c>
      <c r="K37" s="57" t="s">
        <v>354</v>
      </c>
      <c r="L37" s="49">
        <v>0.0</v>
      </c>
      <c r="M37" s="57" t="s">
        <v>354</v>
      </c>
      <c r="N37" s="24" t="s">
        <v>25</v>
      </c>
      <c r="O37" s="24" t="s">
        <v>26</v>
      </c>
      <c r="P37" s="24" t="s">
        <v>27</v>
      </c>
      <c r="Q37" s="44" t="s">
        <v>373</v>
      </c>
      <c r="R37" s="61" t="s">
        <v>373</v>
      </c>
      <c r="S37" s="24" t="s">
        <v>24</v>
      </c>
      <c r="T37" s="24" t="s">
        <v>24</v>
      </c>
      <c r="U37" s="46"/>
      <c r="V37" s="46"/>
      <c r="W37" s="46"/>
      <c r="X37" s="46"/>
      <c r="Y37" s="46"/>
      <c r="Z37" s="46"/>
      <c r="AA37" s="46"/>
      <c r="AB37" s="49" t="s">
        <v>354</v>
      </c>
      <c r="AC37" s="46"/>
      <c r="AD37" s="46"/>
      <c r="AE37" s="46"/>
      <c r="AF37" s="49">
        <v>0.0</v>
      </c>
      <c r="AG37" s="49" t="s">
        <v>354</v>
      </c>
      <c r="AH37" s="49" t="s">
        <v>354</v>
      </c>
      <c r="AI37" s="49" t="s">
        <v>354</v>
      </c>
      <c r="AJ37" s="49" t="s">
        <v>354</v>
      </c>
      <c r="AK37" s="49" t="s">
        <v>354</v>
      </c>
      <c r="AL37" s="74" t="s">
        <v>361</v>
      </c>
      <c r="AM37" s="75" t="s">
        <v>357</v>
      </c>
      <c r="AN37" s="59" t="s">
        <v>357</v>
      </c>
    </row>
    <row r="38">
      <c r="A38" s="45" t="s">
        <v>24</v>
      </c>
      <c r="B38" s="18" t="s">
        <v>391</v>
      </c>
      <c r="C38" s="46" t="s">
        <v>23</v>
      </c>
      <c r="D38" s="47" t="s">
        <v>353</v>
      </c>
      <c r="E38" s="48" t="s">
        <v>7</v>
      </c>
      <c r="F38" s="46" t="s">
        <v>8</v>
      </c>
      <c r="G38" s="49" t="s">
        <v>354</v>
      </c>
      <c r="H38" s="72">
        <v>215.0</v>
      </c>
      <c r="I38" s="57" t="s">
        <v>354</v>
      </c>
      <c r="J38" s="57" t="s">
        <v>354</v>
      </c>
      <c r="K38" s="57" t="s">
        <v>354</v>
      </c>
      <c r="L38" s="49">
        <v>0.0</v>
      </c>
      <c r="M38" s="57" t="s">
        <v>354</v>
      </c>
      <c r="N38" s="24" t="s">
        <v>25</v>
      </c>
      <c r="O38" s="24" t="s">
        <v>26</v>
      </c>
      <c r="P38" s="24" t="s">
        <v>27</v>
      </c>
      <c r="Q38" s="44" t="s">
        <v>373</v>
      </c>
      <c r="R38" s="61" t="s">
        <v>373</v>
      </c>
      <c r="S38" s="24" t="s">
        <v>24</v>
      </c>
      <c r="T38" s="24" t="s">
        <v>24</v>
      </c>
      <c r="U38" s="24" t="s">
        <v>24</v>
      </c>
      <c r="V38" s="46"/>
      <c r="W38" s="46"/>
      <c r="X38" s="46"/>
      <c r="Y38" s="46"/>
      <c r="Z38" s="46"/>
      <c r="AA38" s="46"/>
      <c r="AB38" s="72" t="s">
        <v>396</v>
      </c>
      <c r="AC38" s="46"/>
      <c r="AD38" s="46"/>
      <c r="AE38" s="46"/>
      <c r="AF38" s="77">
        <v>40.17</v>
      </c>
      <c r="AG38" s="49" t="s">
        <v>354</v>
      </c>
      <c r="AH38" s="49" t="s">
        <v>354</v>
      </c>
      <c r="AI38" s="49" t="s">
        <v>354</v>
      </c>
      <c r="AJ38" s="49" t="s">
        <v>354</v>
      </c>
      <c r="AK38" s="49" t="s">
        <v>354</v>
      </c>
      <c r="AL38" s="75" t="s">
        <v>357</v>
      </c>
      <c r="AM38" s="75" t="s">
        <v>357</v>
      </c>
      <c r="AN38" s="59" t="s">
        <v>357</v>
      </c>
    </row>
    <row r="39">
      <c r="A39" s="45" t="s">
        <v>24</v>
      </c>
      <c r="B39" s="18" t="s">
        <v>391</v>
      </c>
      <c r="C39" s="46" t="s">
        <v>23</v>
      </c>
      <c r="D39" s="47" t="s">
        <v>353</v>
      </c>
      <c r="E39" s="48" t="s">
        <v>7</v>
      </c>
      <c r="F39" s="46" t="s">
        <v>8</v>
      </c>
      <c r="G39" s="49" t="s">
        <v>354</v>
      </c>
      <c r="H39" s="49">
        <v>250.0</v>
      </c>
      <c r="I39" s="57" t="s">
        <v>354</v>
      </c>
      <c r="J39" s="57" t="s">
        <v>354</v>
      </c>
      <c r="K39" s="57" t="s">
        <v>354</v>
      </c>
      <c r="L39" s="49">
        <v>0.0</v>
      </c>
      <c r="M39" s="57" t="s">
        <v>354</v>
      </c>
      <c r="N39" s="24" t="s">
        <v>25</v>
      </c>
      <c r="O39" s="24" t="s">
        <v>26</v>
      </c>
      <c r="P39" s="24" t="s">
        <v>27</v>
      </c>
      <c r="Q39" s="44" t="s">
        <v>373</v>
      </c>
      <c r="R39" s="61" t="s">
        <v>373</v>
      </c>
      <c r="S39" s="24" t="s">
        <v>24</v>
      </c>
      <c r="T39" s="24" t="s">
        <v>24</v>
      </c>
      <c r="U39" s="24" t="s">
        <v>24</v>
      </c>
      <c r="V39" s="24" t="s">
        <v>24</v>
      </c>
      <c r="W39" s="46"/>
      <c r="X39" s="46"/>
      <c r="Y39" s="46"/>
      <c r="Z39" s="46"/>
      <c r="AA39" s="46"/>
      <c r="AB39" s="49" t="s">
        <v>354</v>
      </c>
      <c r="AC39" s="46"/>
      <c r="AD39" s="46"/>
      <c r="AE39" s="46"/>
      <c r="AF39" s="49" t="s">
        <v>354</v>
      </c>
      <c r="AG39" s="49" t="s">
        <v>354</v>
      </c>
      <c r="AH39" s="49" t="s">
        <v>354</v>
      </c>
      <c r="AI39" s="49" t="s">
        <v>354</v>
      </c>
      <c r="AJ39" s="49" t="s">
        <v>354</v>
      </c>
      <c r="AK39" s="49" t="s">
        <v>354</v>
      </c>
      <c r="AL39" s="49" t="s">
        <v>356</v>
      </c>
      <c r="AM39" s="49" t="s">
        <v>356</v>
      </c>
      <c r="AN39" s="49" t="s">
        <v>356</v>
      </c>
    </row>
    <row r="40">
      <c r="A40" s="45" t="s">
        <v>24</v>
      </c>
      <c r="B40" s="18" t="s">
        <v>391</v>
      </c>
      <c r="C40" s="46" t="s">
        <v>23</v>
      </c>
      <c r="D40" s="47" t="s">
        <v>353</v>
      </c>
      <c r="E40" s="48" t="s">
        <v>7</v>
      </c>
      <c r="F40" s="46" t="s">
        <v>8</v>
      </c>
      <c r="G40" s="49" t="s">
        <v>354</v>
      </c>
      <c r="H40" s="49">
        <v>275.0</v>
      </c>
      <c r="I40" s="57" t="s">
        <v>354</v>
      </c>
      <c r="J40" s="57" t="s">
        <v>354</v>
      </c>
      <c r="K40" s="57" t="s">
        <v>354</v>
      </c>
      <c r="L40" s="49">
        <v>0.0</v>
      </c>
      <c r="M40" s="57" t="s">
        <v>354</v>
      </c>
      <c r="N40" s="24" t="s">
        <v>25</v>
      </c>
      <c r="O40" s="24" t="s">
        <v>26</v>
      </c>
      <c r="P40" s="24" t="s">
        <v>27</v>
      </c>
      <c r="Q40" s="44" t="s">
        <v>373</v>
      </c>
      <c r="R40" s="61" t="s">
        <v>373</v>
      </c>
      <c r="S40" s="24" t="s">
        <v>24</v>
      </c>
      <c r="T40" s="24" t="s">
        <v>24</v>
      </c>
      <c r="U40" s="24" t="s">
        <v>24</v>
      </c>
      <c r="V40" s="24" t="s">
        <v>24</v>
      </c>
      <c r="W40" s="18" t="s">
        <v>397</v>
      </c>
      <c r="X40" s="46"/>
      <c r="Y40" s="46"/>
      <c r="Z40" s="46"/>
      <c r="AA40" s="46"/>
      <c r="AB40" s="78" t="s">
        <v>398</v>
      </c>
      <c r="AC40" s="46"/>
      <c r="AD40" s="46"/>
      <c r="AE40" s="46"/>
      <c r="AF40" s="49">
        <v>0.0</v>
      </c>
      <c r="AG40" s="49" t="s">
        <v>354</v>
      </c>
      <c r="AH40" s="49" t="s">
        <v>354</v>
      </c>
      <c r="AI40" s="49" t="s">
        <v>354</v>
      </c>
      <c r="AJ40" s="49" t="s">
        <v>354</v>
      </c>
      <c r="AK40" s="49" t="s">
        <v>354</v>
      </c>
      <c r="AL40" s="49" t="s">
        <v>356</v>
      </c>
      <c r="AM40" s="49" t="s">
        <v>356</v>
      </c>
      <c r="AN40" s="49" t="s">
        <v>356</v>
      </c>
    </row>
    <row r="41">
      <c r="A41" s="45" t="s">
        <v>24</v>
      </c>
      <c r="B41" s="18" t="s">
        <v>391</v>
      </c>
      <c r="C41" s="46" t="s">
        <v>23</v>
      </c>
      <c r="D41" s="47" t="s">
        <v>353</v>
      </c>
      <c r="E41" s="48" t="s">
        <v>7</v>
      </c>
      <c r="F41" s="46" t="s">
        <v>8</v>
      </c>
      <c r="G41" s="49" t="s">
        <v>354</v>
      </c>
      <c r="H41" s="57" t="s">
        <v>354</v>
      </c>
      <c r="I41" s="57" t="s">
        <v>354</v>
      </c>
      <c r="J41" s="57" t="s">
        <v>354</v>
      </c>
      <c r="K41" s="57" t="s">
        <v>354</v>
      </c>
      <c r="L41" s="78">
        <v>1.0</v>
      </c>
      <c r="M41" s="78" t="s">
        <v>399</v>
      </c>
      <c r="N41" s="24" t="s">
        <v>25</v>
      </c>
      <c r="O41" s="24" t="s">
        <v>26</v>
      </c>
      <c r="P41" s="24" t="s">
        <v>27</v>
      </c>
      <c r="Q41" s="44" t="s">
        <v>373</v>
      </c>
      <c r="R41" s="61" t="s">
        <v>373</v>
      </c>
      <c r="S41" s="24" t="s">
        <v>24</v>
      </c>
      <c r="T41" s="24" t="s">
        <v>24</v>
      </c>
      <c r="U41" s="24" t="s">
        <v>24</v>
      </c>
      <c r="V41" s="24" t="s">
        <v>24</v>
      </c>
      <c r="W41" s="18" t="s">
        <v>397</v>
      </c>
      <c r="X41" s="24" t="s">
        <v>24</v>
      </c>
      <c r="Y41" s="46"/>
      <c r="Z41" s="46"/>
      <c r="AA41" s="46"/>
      <c r="AB41" s="78" t="s">
        <v>400</v>
      </c>
      <c r="AC41" s="46"/>
      <c r="AD41" s="46"/>
      <c r="AE41" s="46"/>
      <c r="AF41" s="49">
        <v>0.0</v>
      </c>
      <c r="AG41" s="49" t="s">
        <v>354</v>
      </c>
      <c r="AH41" s="49" t="s">
        <v>354</v>
      </c>
      <c r="AI41" s="49" t="s">
        <v>354</v>
      </c>
      <c r="AJ41" s="49" t="s">
        <v>354</v>
      </c>
      <c r="AK41" s="49" t="s">
        <v>354</v>
      </c>
      <c r="AL41" s="79" t="s">
        <v>361</v>
      </c>
      <c r="AM41" s="80" t="s">
        <v>356</v>
      </c>
      <c r="AN41" s="59" t="s">
        <v>357</v>
      </c>
    </row>
    <row r="42">
      <c r="A42" s="45" t="s">
        <v>24</v>
      </c>
      <c r="B42" s="18" t="s">
        <v>391</v>
      </c>
      <c r="C42" s="46" t="s">
        <v>23</v>
      </c>
      <c r="D42" s="47" t="s">
        <v>353</v>
      </c>
      <c r="E42" s="48" t="s">
        <v>7</v>
      </c>
      <c r="F42" s="46" t="s">
        <v>8</v>
      </c>
      <c r="G42" s="49" t="s">
        <v>354</v>
      </c>
      <c r="H42" s="57" t="s">
        <v>354</v>
      </c>
      <c r="I42" s="57" t="s">
        <v>354</v>
      </c>
      <c r="J42" s="57" t="s">
        <v>354</v>
      </c>
      <c r="K42" s="57" t="s">
        <v>354</v>
      </c>
      <c r="L42" s="78">
        <v>1.0</v>
      </c>
      <c r="M42" s="78" t="s">
        <v>399</v>
      </c>
      <c r="N42" s="24" t="s">
        <v>25</v>
      </c>
      <c r="O42" s="24" t="s">
        <v>26</v>
      </c>
      <c r="P42" s="24" t="s">
        <v>27</v>
      </c>
      <c r="Q42" s="44" t="s">
        <v>373</v>
      </c>
      <c r="R42" s="61" t="s">
        <v>373</v>
      </c>
      <c r="S42" s="24" t="s">
        <v>24</v>
      </c>
      <c r="T42" s="24" t="s">
        <v>24</v>
      </c>
      <c r="U42" s="24" t="s">
        <v>24</v>
      </c>
      <c r="V42" s="24" t="s">
        <v>24</v>
      </c>
      <c r="W42" s="18" t="s">
        <v>397</v>
      </c>
      <c r="X42" s="24" t="s">
        <v>24</v>
      </c>
      <c r="Y42" s="24" t="s">
        <v>24</v>
      </c>
      <c r="Z42" s="46"/>
      <c r="AA42" s="46"/>
      <c r="AB42" s="78" t="s">
        <v>398</v>
      </c>
      <c r="AC42" s="46"/>
      <c r="AD42" s="46"/>
      <c r="AE42" s="46"/>
      <c r="AF42" s="49">
        <v>0.0</v>
      </c>
      <c r="AG42" s="49" t="s">
        <v>354</v>
      </c>
      <c r="AH42" s="49" t="s">
        <v>354</v>
      </c>
      <c r="AI42" s="49" t="s">
        <v>354</v>
      </c>
      <c r="AJ42" s="49" t="s">
        <v>354</v>
      </c>
      <c r="AK42" s="49" t="s">
        <v>354</v>
      </c>
      <c r="AL42" s="59" t="s">
        <v>357</v>
      </c>
      <c r="AM42" s="59" t="s">
        <v>357</v>
      </c>
      <c r="AN42" s="59" t="s">
        <v>357</v>
      </c>
    </row>
    <row r="43">
      <c r="A43" s="45" t="s">
        <v>24</v>
      </c>
      <c r="B43" s="18" t="s">
        <v>391</v>
      </c>
      <c r="C43" s="46" t="s">
        <v>23</v>
      </c>
      <c r="D43" s="47" t="s">
        <v>353</v>
      </c>
      <c r="E43" s="48" t="s">
        <v>7</v>
      </c>
      <c r="F43" s="46" t="s">
        <v>8</v>
      </c>
      <c r="G43" s="49" t="s">
        <v>354</v>
      </c>
      <c r="H43" s="57" t="s">
        <v>354</v>
      </c>
      <c r="I43" s="57" t="s">
        <v>354</v>
      </c>
      <c r="J43" s="57" t="s">
        <v>354</v>
      </c>
      <c r="K43" s="57" t="s">
        <v>354</v>
      </c>
      <c r="L43" s="78">
        <v>1.0</v>
      </c>
      <c r="M43" s="78" t="s">
        <v>399</v>
      </c>
      <c r="N43" s="24" t="s">
        <v>25</v>
      </c>
      <c r="O43" s="24" t="s">
        <v>26</v>
      </c>
      <c r="P43" s="24" t="s">
        <v>27</v>
      </c>
      <c r="Q43" s="44" t="s">
        <v>373</v>
      </c>
      <c r="R43" s="61" t="s">
        <v>373</v>
      </c>
      <c r="S43" s="24" t="s">
        <v>24</v>
      </c>
      <c r="T43" s="24" t="s">
        <v>24</v>
      </c>
      <c r="U43" s="24" t="s">
        <v>24</v>
      </c>
      <c r="V43" s="24" t="s">
        <v>24</v>
      </c>
      <c r="W43" s="18" t="s">
        <v>397</v>
      </c>
      <c r="X43" s="24" t="s">
        <v>24</v>
      </c>
      <c r="Y43" s="24" t="s">
        <v>24</v>
      </c>
      <c r="Z43" s="24" t="s">
        <v>24</v>
      </c>
      <c r="AA43" s="46"/>
      <c r="AB43" s="78" t="s">
        <v>398</v>
      </c>
      <c r="AC43" s="46"/>
      <c r="AD43" s="46"/>
      <c r="AE43" s="46"/>
      <c r="AF43" s="49">
        <v>0.0</v>
      </c>
      <c r="AG43" s="49" t="s">
        <v>356</v>
      </c>
      <c r="AH43" s="49" t="s">
        <v>354</v>
      </c>
      <c r="AI43" s="49" t="s">
        <v>356</v>
      </c>
      <c r="AJ43" s="49" t="s">
        <v>356</v>
      </c>
      <c r="AK43" s="49" t="s">
        <v>356</v>
      </c>
      <c r="AL43" s="73" t="s">
        <v>357</v>
      </c>
      <c r="AM43" s="74" t="s">
        <v>361</v>
      </c>
      <c r="AN43" s="73" t="s">
        <v>357</v>
      </c>
    </row>
    <row r="44">
      <c r="A44" s="45" t="s">
        <v>24</v>
      </c>
      <c r="B44" s="18" t="s">
        <v>391</v>
      </c>
      <c r="C44" s="46" t="s">
        <v>23</v>
      </c>
      <c r="D44" s="47" t="s">
        <v>353</v>
      </c>
      <c r="E44" s="48" t="s">
        <v>7</v>
      </c>
      <c r="F44" s="46" t="s">
        <v>8</v>
      </c>
      <c r="G44" s="49" t="s">
        <v>354</v>
      </c>
      <c r="H44" s="57" t="s">
        <v>354</v>
      </c>
      <c r="I44" s="57" t="s">
        <v>354</v>
      </c>
      <c r="J44" s="57" t="s">
        <v>354</v>
      </c>
      <c r="K44" s="57" t="s">
        <v>354</v>
      </c>
      <c r="L44" s="78">
        <v>1.0</v>
      </c>
      <c r="M44" s="78" t="s">
        <v>399</v>
      </c>
      <c r="N44" s="24" t="s">
        <v>25</v>
      </c>
      <c r="O44" s="24" t="s">
        <v>26</v>
      </c>
      <c r="P44" s="24" t="s">
        <v>27</v>
      </c>
      <c r="Q44" s="44" t="s">
        <v>373</v>
      </c>
      <c r="R44" s="61" t="s">
        <v>373</v>
      </c>
      <c r="S44" s="24" t="s">
        <v>24</v>
      </c>
      <c r="T44" s="24" t="s">
        <v>24</v>
      </c>
      <c r="U44" s="24" t="s">
        <v>24</v>
      </c>
      <c r="V44" s="24" t="s">
        <v>24</v>
      </c>
      <c r="W44" s="18" t="s">
        <v>397</v>
      </c>
      <c r="X44" s="24" t="s">
        <v>24</v>
      </c>
      <c r="Y44" s="24" t="s">
        <v>24</v>
      </c>
      <c r="Z44" s="24" t="s">
        <v>24</v>
      </c>
      <c r="AA44" s="24" t="s">
        <v>24</v>
      </c>
      <c r="AB44" s="78" t="s">
        <v>398</v>
      </c>
      <c r="AC44" s="46"/>
      <c r="AD44" s="46"/>
      <c r="AE44" s="46"/>
      <c r="AF44" s="49">
        <v>0.0</v>
      </c>
      <c r="AG44" s="49" t="s">
        <v>354</v>
      </c>
      <c r="AH44" s="49" t="s">
        <v>354</v>
      </c>
      <c r="AI44" s="49" t="s">
        <v>354</v>
      </c>
      <c r="AJ44" s="49" t="s">
        <v>354</v>
      </c>
      <c r="AK44" s="49" t="s">
        <v>354</v>
      </c>
      <c r="AL44" s="59" t="s">
        <v>357</v>
      </c>
      <c r="AM44" s="75" t="s">
        <v>357</v>
      </c>
      <c r="AN44" s="59" t="s">
        <v>357</v>
      </c>
    </row>
    <row r="45">
      <c r="A45" s="17" t="s">
        <v>29</v>
      </c>
      <c r="B45" s="18" t="s">
        <v>401</v>
      </c>
      <c r="C45" s="19" t="s">
        <v>28</v>
      </c>
      <c r="D45" s="20" t="s">
        <v>353</v>
      </c>
      <c r="E45" s="21" t="s">
        <v>7</v>
      </c>
      <c r="F45" s="19" t="s">
        <v>8</v>
      </c>
      <c r="G45" s="23">
        <v>118.0</v>
      </c>
      <c r="H45" s="23">
        <v>240.0</v>
      </c>
      <c r="I45" s="23" t="s">
        <v>354</v>
      </c>
      <c r="J45" s="19">
        <v>8.0</v>
      </c>
      <c r="K45" s="23" t="s">
        <v>354</v>
      </c>
      <c r="L45" s="23">
        <v>0.0</v>
      </c>
      <c r="M45" s="22" t="s">
        <v>354</v>
      </c>
      <c r="N45" s="24" t="s">
        <v>30</v>
      </c>
      <c r="O45" s="19"/>
      <c r="P45" s="19"/>
      <c r="Q45" s="19"/>
      <c r="R45" s="19"/>
      <c r="S45" s="19"/>
      <c r="T45" s="19"/>
      <c r="U45" s="19"/>
      <c r="V45" s="19"/>
      <c r="W45" s="19"/>
      <c r="X45" s="19"/>
      <c r="Y45" s="19"/>
      <c r="Z45" s="19"/>
      <c r="AA45" s="19"/>
      <c r="AB45" s="23" t="s">
        <v>354</v>
      </c>
      <c r="AC45" s="19"/>
      <c r="AD45" s="19"/>
      <c r="AE45" s="19"/>
      <c r="AF45" s="33">
        <v>0.0</v>
      </c>
      <c r="AG45" s="43" t="s">
        <v>375</v>
      </c>
      <c r="AH45" s="19"/>
      <c r="AI45" s="43" t="s">
        <v>375</v>
      </c>
      <c r="AJ45" s="19"/>
      <c r="AK45" s="19"/>
      <c r="AL45" s="38" t="s">
        <v>357</v>
      </c>
      <c r="AM45" s="23" t="s">
        <v>356</v>
      </c>
      <c r="AN45" s="81" t="s">
        <v>358</v>
      </c>
    </row>
    <row r="46">
      <c r="A46" s="17" t="s">
        <v>29</v>
      </c>
      <c r="B46" s="18" t="s">
        <v>401</v>
      </c>
      <c r="C46" s="19" t="s">
        <v>28</v>
      </c>
      <c r="D46" s="20" t="s">
        <v>353</v>
      </c>
      <c r="E46" s="21" t="s">
        <v>7</v>
      </c>
      <c r="F46" s="19" t="s">
        <v>8</v>
      </c>
      <c r="G46" s="23">
        <v>117.0</v>
      </c>
      <c r="H46" s="23">
        <v>210.0</v>
      </c>
      <c r="I46" s="22" t="s">
        <v>354</v>
      </c>
      <c r="J46" s="22" t="s">
        <v>354</v>
      </c>
      <c r="K46" s="22" t="s">
        <v>354</v>
      </c>
      <c r="L46" s="23">
        <v>0.0</v>
      </c>
      <c r="M46" s="22" t="s">
        <v>354</v>
      </c>
      <c r="N46" s="24" t="s">
        <v>30</v>
      </c>
      <c r="O46" s="24" t="s">
        <v>31</v>
      </c>
      <c r="P46" s="19"/>
      <c r="Q46" s="19"/>
      <c r="R46" s="19"/>
      <c r="S46" s="19"/>
      <c r="T46" s="19"/>
      <c r="U46" s="19"/>
      <c r="V46" s="19"/>
      <c r="W46" s="19"/>
      <c r="X46" s="19"/>
      <c r="Y46" s="19"/>
      <c r="Z46" s="19"/>
      <c r="AA46" s="19"/>
      <c r="AB46" s="23" t="s">
        <v>354</v>
      </c>
      <c r="AC46" s="19">
        <v>36282.0</v>
      </c>
      <c r="AD46" s="19"/>
      <c r="AE46" s="19"/>
      <c r="AF46" s="33">
        <v>0.0</v>
      </c>
      <c r="AG46" s="23" t="s">
        <v>356</v>
      </c>
      <c r="AH46" s="19"/>
      <c r="AI46" s="23" t="s">
        <v>356</v>
      </c>
      <c r="AJ46" s="19"/>
      <c r="AK46" s="19"/>
      <c r="AL46" s="32" t="s">
        <v>361</v>
      </c>
      <c r="AM46" s="32" t="s">
        <v>361</v>
      </c>
      <c r="AN46" s="31" t="s">
        <v>356</v>
      </c>
    </row>
    <row r="47">
      <c r="A47" s="17" t="s">
        <v>29</v>
      </c>
      <c r="B47" s="18" t="s">
        <v>401</v>
      </c>
      <c r="C47" s="19" t="s">
        <v>28</v>
      </c>
      <c r="D47" s="20" t="s">
        <v>353</v>
      </c>
      <c r="E47" s="21" t="s">
        <v>7</v>
      </c>
      <c r="F47" s="19" t="s">
        <v>8</v>
      </c>
      <c r="G47" s="23">
        <v>117.0</v>
      </c>
      <c r="H47" s="23">
        <v>195.0</v>
      </c>
      <c r="I47" s="22" t="s">
        <v>354</v>
      </c>
      <c r="J47" s="22" t="s">
        <v>354</v>
      </c>
      <c r="K47" s="22" t="s">
        <v>354</v>
      </c>
      <c r="L47" s="23">
        <v>0.0</v>
      </c>
      <c r="M47" s="22" t="s">
        <v>354</v>
      </c>
      <c r="N47" s="24" t="s">
        <v>30</v>
      </c>
      <c r="O47" s="24" t="s">
        <v>31</v>
      </c>
      <c r="P47" s="24" t="s">
        <v>32</v>
      </c>
      <c r="Q47" s="19"/>
      <c r="R47" s="19"/>
      <c r="S47" s="19"/>
      <c r="T47" s="19"/>
      <c r="U47" s="19"/>
      <c r="V47" s="19"/>
      <c r="W47" s="19"/>
      <c r="X47" s="19"/>
      <c r="Y47" s="19"/>
      <c r="Z47" s="19"/>
      <c r="AA47" s="19"/>
      <c r="AB47" s="23" t="s">
        <v>402</v>
      </c>
      <c r="AC47" s="19">
        <v>36322.0</v>
      </c>
      <c r="AD47" s="19"/>
      <c r="AE47" s="19"/>
      <c r="AF47" s="33">
        <v>0.0</v>
      </c>
      <c r="AG47" s="23" t="s">
        <v>356</v>
      </c>
      <c r="AH47" s="19"/>
      <c r="AI47" s="23" t="s">
        <v>356</v>
      </c>
      <c r="AJ47" s="19"/>
      <c r="AK47" s="19"/>
      <c r="AL47" s="31" t="s">
        <v>356</v>
      </c>
      <c r="AM47" s="73" t="s">
        <v>357</v>
      </c>
      <c r="AN47" s="31" t="s">
        <v>356</v>
      </c>
    </row>
    <row r="48">
      <c r="A48" s="17" t="s">
        <v>29</v>
      </c>
      <c r="B48" s="18" t="s">
        <v>401</v>
      </c>
      <c r="C48" s="19" t="s">
        <v>28</v>
      </c>
      <c r="D48" s="20" t="s">
        <v>353</v>
      </c>
      <c r="E48" s="21" t="s">
        <v>7</v>
      </c>
      <c r="F48" s="19" t="s">
        <v>8</v>
      </c>
      <c r="G48" s="22" t="s">
        <v>354</v>
      </c>
      <c r="H48" s="23">
        <v>210.0</v>
      </c>
      <c r="I48" s="22" t="s">
        <v>354</v>
      </c>
      <c r="J48" s="22" t="s">
        <v>354</v>
      </c>
      <c r="K48" s="22" t="s">
        <v>354</v>
      </c>
      <c r="L48" s="23">
        <v>0.0</v>
      </c>
      <c r="M48" s="22" t="s">
        <v>354</v>
      </c>
      <c r="N48" s="24" t="s">
        <v>30</v>
      </c>
      <c r="O48" s="24" t="s">
        <v>31</v>
      </c>
      <c r="P48" s="24" t="s">
        <v>32</v>
      </c>
      <c r="Q48" s="24" t="s">
        <v>29</v>
      </c>
      <c r="R48" s="19"/>
      <c r="S48" s="19"/>
      <c r="T48" s="19"/>
      <c r="U48" s="19"/>
      <c r="V48" s="19"/>
      <c r="W48" s="19"/>
      <c r="X48" s="19"/>
      <c r="Y48" s="19"/>
      <c r="Z48" s="19"/>
      <c r="AA48" s="19"/>
      <c r="AB48" s="23" t="s">
        <v>354</v>
      </c>
      <c r="AC48" s="19">
        <v>36650.0</v>
      </c>
      <c r="AD48" s="19"/>
      <c r="AE48" s="19"/>
      <c r="AF48" s="33">
        <v>0.0</v>
      </c>
      <c r="AG48" s="23" t="s">
        <v>356</v>
      </c>
      <c r="AH48" s="19"/>
      <c r="AI48" s="23" t="s">
        <v>356</v>
      </c>
      <c r="AJ48" s="19"/>
      <c r="AK48" s="19"/>
      <c r="AL48" s="31" t="s">
        <v>356</v>
      </c>
      <c r="AM48" s="31" t="s">
        <v>356</v>
      </c>
      <c r="AN48" s="37" t="s">
        <v>363</v>
      </c>
    </row>
    <row r="49">
      <c r="A49" s="17" t="s">
        <v>29</v>
      </c>
      <c r="B49" s="18" t="s">
        <v>401</v>
      </c>
      <c r="C49" s="19" t="s">
        <v>28</v>
      </c>
      <c r="D49" s="20" t="s">
        <v>353</v>
      </c>
      <c r="E49" s="21" t="s">
        <v>7</v>
      </c>
      <c r="F49" s="19" t="s">
        <v>8</v>
      </c>
      <c r="G49" s="22" t="s">
        <v>354</v>
      </c>
      <c r="H49" s="23">
        <v>225.0</v>
      </c>
      <c r="I49" s="22" t="s">
        <v>354</v>
      </c>
      <c r="J49" s="22" t="s">
        <v>354</v>
      </c>
      <c r="K49" s="22" t="s">
        <v>354</v>
      </c>
      <c r="L49" s="23">
        <v>0.0</v>
      </c>
      <c r="M49" s="22" t="s">
        <v>354</v>
      </c>
      <c r="N49" s="24" t="s">
        <v>30</v>
      </c>
      <c r="O49" s="24" t="s">
        <v>31</v>
      </c>
      <c r="P49" s="24" t="s">
        <v>32</v>
      </c>
      <c r="Q49" s="24" t="s">
        <v>29</v>
      </c>
      <c r="R49" s="24" t="s">
        <v>29</v>
      </c>
      <c r="S49" s="19"/>
      <c r="T49" s="19"/>
      <c r="U49" s="19"/>
      <c r="V49" s="19"/>
      <c r="W49" s="19"/>
      <c r="X49" s="19"/>
      <c r="Y49" s="19"/>
      <c r="Z49" s="19"/>
      <c r="AA49" s="19"/>
      <c r="AB49" s="23" t="s">
        <v>354</v>
      </c>
      <c r="AC49" s="19"/>
      <c r="AD49" s="19"/>
      <c r="AE49" s="19"/>
      <c r="AF49" s="33">
        <v>0.0</v>
      </c>
      <c r="AG49" s="23" t="s">
        <v>356</v>
      </c>
      <c r="AH49" s="19"/>
      <c r="AI49" s="23" t="s">
        <v>356</v>
      </c>
      <c r="AJ49" s="19"/>
      <c r="AK49" s="19"/>
      <c r="AL49" s="32" t="s">
        <v>361</v>
      </c>
      <c r="AM49" s="31" t="s">
        <v>356</v>
      </c>
      <c r="AN49" s="37" t="s">
        <v>363</v>
      </c>
    </row>
    <row r="50">
      <c r="A50" s="17" t="s">
        <v>29</v>
      </c>
      <c r="B50" s="18" t="s">
        <v>401</v>
      </c>
      <c r="C50" s="19" t="s">
        <v>28</v>
      </c>
      <c r="D50" s="20" t="s">
        <v>353</v>
      </c>
      <c r="E50" s="21" t="s">
        <v>7</v>
      </c>
      <c r="F50" s="19" t="s">
        <v>8</v>
      </c>
      <c r="G50" s="22" t="s">
        <v>354</v>
      </c>
      <c r="H50" s="23">
        <v>215.0</v>
      </c>
      <c r="I50" s="22" t="s">
        <v>354</v>
      </c>
      <c r="J50" s="22" t="s">
        <v>354</v>
      </c>
      <c r="K50" s="22" t="s">
        <v>354</v>
      </c>
      <c r="L50" s="23">
        <v>0.0</v>
      </c>
      <c r="M50" s="22" t="s">
        <v>354</v>
      </c>
      <c r="N50" s="24" t="s">
        <v>30</v>
      </c>
      <c r="O50" s="24" t="s">
        <v>31</v>
      </c>
      <c r="P50" s="24" t="s">
        <v>32</v>
      </c>
      <c r="Q50" s="24" t="s">
        <v>29</v>
      </c>
      <c r="R50" s="24" t="s">
        <v>29</v>
      </c>
      <c r="S50" s="24" t="s">
        <v>29</v>
      </c>
      <c r="T50" s="19"/>
      <c r="U50" s="19"/>
      <c r="V50" s="19"/>
      <c r="W50" s="19"/>
      <c r="X50" s="19"/>
      <c r="Y50" s="19"/>
      <c r="Z50" s="19"/>
      <c r="AA50" s="19"/>
      <c r="AB50" s="23" t="s">
        <v>354</v>
      </c>
      <c r="AC50" s="19"/>
      <c r="AD50" s="19"/>
      <c r="AE50" s="19"/>
      <c r="AF50" s="36">
        <v>26.19</v>
      </c>
      <c r="AG50" s="33" t="s">
        <v>354</v>
      </c>
      <c r="AH50" s="33"/>
      <c r="AI50" s="33" t="s">
        <v>354</v>
      </c>
      <c r="AJ50" s="19"/>
      <c r="AK50" s="19"/>
      <c r="AL50" s="59" t="s">
        <v>357</v>
      </c>
      <c r="AM50" s="59" t="s">
        <v>357</v>
      </c>
      <c r="AN50" s="59" t="s">
        <v>357</v>
      </c>
    </row>
    <row r="51">
      <c r="A51" s="17" t="s">
        <v>29</v>
      </c>
      <c r="B51" s="18" t="s">
        <v>401</v>
      </c>
      <c r="C51" s="19" t="s">
        <v>28</v>
      </c>
      <c r="D51" s="20" t="s">
        <v>353</v>
      </c>
      <c r="E51" s="21" t="s">
        <v>7</v>
      </c>
      <c r="F51" s="19" t="s">
        <v>8</v>
      </c>
      <c r="G51" s="22" t="s">
        <v>354</v>
      </c>
      <c r="H51" s="23">
        <v>215.0</v>
      </c>
      <c r="I51" s="22" t="s">
        <v>354</v>
      </c>
      <c r="J51" s="22" t="s">
        <v>354</v>
      </c>
      <c r="K51" s="22" t="s">
        <v>354</v>
      </c>
      <c r="L51" s="23">
        <v>0.0</v>
      </c>
      <c r="M51" s="22" t="s">
        <v>354</v>
      </c>
      <c r="N51" s="24" t="s">
        <v>30</v>
      </c>
      <c r="O51" s="24" t="s">
        <v>31</v>
      </c>
      <c r="P51" s="24" t="s">
        <v>32</v>
      </c>
      <c r="Q51" s="24" t="s">
        <v>29</v>
      </c>
      <c r="R51" s="24" t="s">
        <v>29</v>
      </c>
      <c r="S51" s="24" t="s">
        <v>29</v>
      </c>
      <c r="T51" s="24" t="s">
        <v>29</v>
      </c>
      <c r="U51" s="19"/>
      <c r="V51" s="19"/>
      <c r="W51" s="19"/>
      <c r="X51" s="19"/>
      <c r="Y51" s="19"/>
      <c r="Z51" s="19"/>
      <c r="AA51" s="19"/>
      <c r="AB51" s="23" t="s">
        <v>354</v>
      </c>
      <c r="AC51" s="19"/>
      <c r="AD51" s="19"/>
      <c r="AE51" s="19"/>
      <c r="AF51" s="33">
        <v>0.0</v>
      </c>
      <c r="AG51" s="33" t="s">
        <v>354</v>
      </c>
      <c r="AH51" s="33"/>
      <c r="AI51" s="33" t="s">
        <v>354</v>
      </c>
      <c r="AJ51" s="19"/>
      <c r="AK51" s="19"/>
      <c r="AL51" s="40" t="s">
        <v>357</v>
      </c>
      <c r="AM51" s="40" t="s">
        <v>357</v>
      </c>
      <c r="AN51" s="40" t="s">
        <v>357</v>
      </c>
    </row>
    <row r="52">
      <c r="A52" s="17" t="s">
        <v>29</v>
      </c>
      <c r="B52" s="18" t="s">
        <v>401</v>
      </c>
      <c r="C52" s="19" t="s">
        <v>28</v>
      </c>
      <c r="D52" s="20" t="s">
        <v>353</v>
      </c>
      <c r="E52" s="21" t="s">
        <v>7</v>
      </c>
      <c r="F52" s="19" t="s">
        <v>8</v>
      </c>
      <c r="G52" s="22" t="s">
        <v>354</v>
      </c>
      <c r="H52" s="23">
        <v>230.0</v>
      </c>
      <c r="I52" s="22" t="s">
        <v>354</v>
      </c>
      <c r="J52" s="22" t="s">
        <v>354</v>
      </c>
      <c r="K52" s="22" t="s">
        <v>354</v>
      </c>
      <c r="L52" s="23">
        <v>0.0</v>
      </c>
      <c r="M52" s="22" t="s">
        <v>354</v>
      </c>
      <c r="N52" s="24" t="s">
        <v>30</v>
      </c>
      <c r="O52" s="24" t="s">
        <v>31</v>
      </c>
      <c r="P52" s="24" t="s">
        <v>32</v>
      </c>
      <c r="Q52" s="24" t="s">
        <v>29</v>
      </c>
      <c r="R52" s="24" t="s">
        <v>29</v>
      </c>
      <c r="S52" s="24" t="s">
        <v>29</v>
      </c>
      <c r="T52" s="24" t="s">
        <v>29</v>
      </c>
      <c r="U52" s="24" t="s">
        <v>29</v>
      </c>
      <c r="V52" s="19"/>
      <c r="W52" s="19"/>
      <c r="X52" s="19"/>
      <c r="Y52" s="19"/>
      <c r="Z52" s="19"/>
      <c r="AA52" s="19"/>
      <c r="AB52" s="23" t="s">
        <v>354</v>
      </c>
      <c r="AC52" s="19"/>
      <c r="AD52" s="19"/>
      <c r="AE52" s="19"/>
      <c r="AF52" s="33">
        <v>0.0</v>
      </c>
      <c r="AG52" s="33" t="s">
        <v>354</v>
      </c>
      <c r="AH52" s="33"/>
      <c r="AI52" s="33" t="s">
        <v>354</v>
      </c>
      <c r="AJ52" s="19"/>
      <c r="AK52" s="19"/>
      <c r="AL52" s="40" t="s">
        <v>357</v>
      </c>
      <c r="AM52" s="40" t="s">
        <v>357</v>
      </c>
      <c r="AN52" s="40" t="s">
        <v>357</v>
      </c>
    </row>
    <row r="53">
      <c r="A53" s="17" t="s">
        <v>29</v>
      </c>
      <c r="B53" s="18" t="s">
        <v>401</v>
      </c>
      <c r="C53" s="19" t="s">
        <v>28</v>
      </c>
      <c r="D53" s="20" t="s">
        <v>353</v>
      </c>
      <c r="E53" s="21" t="s">
        <v>7</v>
      </c>
      <c r="F53" s="19" t="s">
        <v>8</v>
      </c>
      <c r="G53" s="22" t="s">
        <v>354</v>
      </c>
      <c r="H53" s="23">
        <v>240.0</v>
      </c>
      <c r="I53" s="22" t="s">
        <v>354</v>
      </c>
      <c r="J53" s="22" t="s">
        <v>354</v>
      </c>
      <c r="K53" s="22" t="s">
        <v>354</v>
      </c>
      <c r="L53" s="23">
        <v>0.0</v>
      </c>
      <c r="M53" s="22" t="s">
        <v>354</v>
      </c>
      <c r="N53" s="24" t="s">
        <v>30</v>
      </c>
      <c r="O53" s="24" t="s">
        <v>31</v>
      </c>
      <c r="P53" s="24" t="s">
        <v>32</v>
      </c>
      <c r="Q53" s="24" t="s">
        <v>29</v>
      </c>
      <c r="R53" s="24" t="s">
        <v>29</v>
      </c>
      <c r="S53" s="24" t="s">
        <v>29</v>
      </c>
      <c r="T53" s="24" t="s">
        <v>29</v>
      </c>
      <c r="U53" s="24" t="s">
        <v>29</v>
      </c>
      <c r="V53" s="24" t="s">
        <v>29</v>
      </c>
      <c r="W53" s="19"/>
      <c r="X53" s="19"/>
      <c r="Y53" s="19"/>
      <c r="Z53" s="19"/>
      <c r="AA53" s="19"/>
      <c r="AB53" s="23" t="s">
        <v>354</v>
      </c>
      <c r="AC53" s="19"/>
      <c r="AD53" s="19"/>
      <c r="AE53" s="19"/>
      <c r="AF53" s="33">
        <v>0.0</v>
      </c>
      <c r="AG53" s="33" t="s">
        <v>354</v>
      </c>
      <c r="AH53" s="33"/>
      <c r="AI53" s="33" t="s">
        <v>354</v>
      </c>
      <c r="AJ53" s="19"/>
      <c r="AK53" s="19"/>
      <c r="AL53" s="23" t="s">
        <v>356</v>
      </c>
      <c r="AM53" s="23" t="s">
        <v>356</v>
      </c>
      <c r="AN53" s="23" t="s">
        <v>356</v>
      </c>
    </row>
    <row r="54">
      <c r="A54" s="17" t="s">
        <v>29</v>
      </c>
      <c r="B54" s="18" t="s">
        <v>401</v>
      </c>
      <c r="C54" s="19" t="s">
        <v>28</v>
      </c>
      <c r="D54" s="20" t="s">
        <v>353</v>
      </c>
      <c r="E54" s="21" t="s">
        <v>7</v>
      </c>
      <c r="F54" s="19" t="s">
        <v>8</v>
      </c>
      <c r="G54" s="22" t="s">
        <v>354</v>
      </c>
      <c r="H54" s="23">
        <v>235.0</v>
      </c>
      <c r="I54" s="22" t="s">
        <v>354</v>
      </c>
      <c r="J54" s="22" t="s">
        <v>354</v>
      </c>
      <c r="K54" s="22" t="s">
        <v>354</v>
      </c>
      <c r="L54" s="23">
        <v>0.0</v>
      </c>
      <c r="M54" s="22" t="s">
        <v>354</v>
      </c>
      <c r="N54" s="24" t="s">
        <v>30</v>
      </c>
      <c r="O54" s="24" t="s">
        <v>31</v>
      </c>
      <c r="P54" s="24" t="s">
        <v>32</v>
      </c>
      <c r="Q54" s="24" t="s">
        <v>29</v>
      </c>
      <c r="R54" s="24" t="s">
        <v>29</v>
      </c>
      <c r="S54" s="24" t="s">
        <v>29</v>
      </c>
      <c r="T54" s="24" t="s">
        <v>29</v>
      </c>
      <c r="U54" s="24" t="s">
        <v>29</v>
      </c>
      <c r="V54" s="24" t="s">
        <v>29</v>
      </c>
      <c r="W54" s="18" t="s">
        <v>403</v>
      </c>
      <c r="X54" s="19"/>
      <c r="Y54" s="19"/>
      <c r="Z54" s="19"/>
      <c r="AA54" s="19"/>
      <c r="AB54" s="41" t="s">
        <v>404</v>
      </c>
      <c r="AC54" s="19"/>
      <c r="AD54" s="19"/>
      <c r="AE54" s="19"/>
      <c r="AF54" s="33">
        <v>0.0</v>
      </c>
      <c r="AG54" s="33" t="s">
        <v>354</v>
      </c>
      <c r="AH54" s="33"/>
      <c r="AI54" s="33" t="s">
        <v>354</v>
      </c>
      <c r="AJ54" s="19"/>
      <c r="AK54" s="19"/>
      <c r="AL54" s="82" t="s">
        <v>361</v>
      </c>
      <c r="AM54" s="82" t="s">
        <v>361</v>
      </c>
      <c r="AN54" s="59" t="s">
        <v>357</v>
      </c>
    </row>
    <row r="55">
      <c r="A55" s="17" t="s">
        <v>29</v>
      </c>
      <c r="B55" s="18" t="s">
        <v>401</v>
      </c>
      <c r="C55" s="19" t="s">
        <v>28</v>
      </c>
      <c r="D55" s="20" t="s">
        <v>353</v>
      </c>
      <c r="E55" s="21" t="s">
        <v>7</v>
      </c>
      <c r="F55" s="19" t="s">
        <v>8</v>
      </c>
      <c r="G55" s="22" t="s">
        <v>354</v>
      </c>
      <c r="H55" s="22" t="s">
        <v>354</v>
      </c>
      <c r="I55" s="22" t="s">
        <v>354</v>
      </c>
      <c r="J55" s="22" t="s">
        <v>354</v>
      </c>
      <c r="K55" s="22" t="s">
        <v>354</v>
      </c>
      <c r="L55" s="41">
        <v>0.0</v>
      </c>
      <c r="M55" s="71" t="s">
        <v>354</v>
      </c>
      <c r="N55" s="24" t="s">
        <v>30</v>
      </c>
      <c r="O55" s="24" t="s">
        <v>31</v>
      </c>
      <c r="P55" s="24" t="s">
        <v>32</v>
      </c>
      <c r="Q55" s="24" t="s">
        <v>29</v>
      </c>
      <c r="R55" s="24" t="s">
        <v>29</v>
      </c>
      <c r="S55" s="24" t="s">
        <v>29</v>
      </c>
      <c r="T55" s="24" t="s">
        <v>29</v>
      </c>
      <c r="U55" s="24" t="s">
        <v>29</v>
      </c>
      <c r="V55" s="24" t="s">
        <v>29</v>
      </c>
      <c r="W55" s="18" t="s">
        <v>403</v>
      </c>
      <c r="X55" s="18">
        <v>982.0</v>
      </c>
      <c r="Y55" s="23"/>
      <c r="Z55" s="23"/>
      <c r="AA55" s="19"/>
      <c r="AB55" s="41" t="s">
        <v>371</v>
      </c>
      <c r="AC55" s="19"/>
      <c r="AD55" s="19"/>
      <c r="AE55" s="19"/>
      <c r="AF55" s="33">
        <v>0.0</v>
      </c>
      <c r="AG55" s="33" t="s">
        <v>354</v>
      </c>
      <c r="AH55" s="33"/>
      <c r="AI55" s="33" t="s">
        <v>354</v>
      </c>
      <c r="AJ55" s="19"/>
      <c r="AK55" s="19"/>
      <c r="AL55" s="23" t="s">
        <v>356</v>
      </c>
      <c r="AM55" s="23" t="s">
        <v>356</v>
      </c>
      <c r="AN55" s="23" t="s">
        <v>356</v>
      </c>
    </row>
    <row r="56">
      <c r="A56" s="17" t="s">
        <v>29</v>
      </c>
      <c r="B56" s="18" t="s">
        <v>401</v>
      </c>
      <c r="C56" s="19" t="s">
        <v>28</v>
      </c>
      <c r="D56" s="20" t="s">
        <v>353</v>
      </c>
      <c r="E56" s="21" t="s">
        <v>7</v>
      </c>
      <c r="F56" s="19" t="s">
        <v>8</v>
      </c>
      <c r="G56" s="22" t="s">
        <v>354</v>
      </c>
      <c r="H56" s="22" t="s">
        <v>354</v>
      </c>
      <c r="I56" s="22" t="s">
        <v>354</v>
      </c>
      <c r="J56" s="22" t="s">
        <v>354</v>
      </c>
      <c r="K56" s="22" t="s">
        <v>354</v>
      </c>
      <c r="L56" s="41">
        <v>0.0</v>
      </c>
      <c r="M56" s="71" t="s">
        <v>354</v>
      </c>
      <c r="N56" s="24" t="s">
        <v>30</v>
      </c>
      <c r="O56" s="24" t="s">
        <v>31</v>
      </c>
      <c r="P56" s="24" t="s">
        <v>32</v>
      </c>
      <c r="Q56" s="24" t="s">
        <v>29</v>
      </c>
      <c r="R56" s="24" t="s">
        <v>29</v>
      </c>
      <c r="S56" s="24" t="s">
        <v>29</v>
      </c>
      <c r="T56" s="24" t="s">
        <v>29</v>
      </c>
      <c r="U56" s="24" t="s">
        <v>29</v>
      </c>
      <c r="V56" s="24" t="s">
        <v>29</v>
      </c>
      <c r="W56" s="18" t="s">
        <v>403</v>
      </c>
      <c r="X56" s="18">
        <v>982.0</v>
      </c>
      <c r="Y56" s="83" t="s">
        <v>29</v>
      </c>
      <c r="Z56" s="23"/>
      <c r="AA56" s="19"/>
      <c r="AB56" s="41" t="s">
        <v>371</v>
      </c>
      <c r="AC56" s="19"/>
      <c r="AD56" s="19"/>
      <c r="AE56" s="19"/>
      <c r="AF56" s="33">
        <v>0.0</v>
      </c>
      <c r="AG56" s="33" t="s">
        <v>354</v>
      </c>
      <c r="AH56" s="33"/>
      <c r="AI56" s="33" t="s">
        <v>354</v>
      </c>
      <c r="AJ56" s="19"/>
      <c r="AK56" s="19"/>
      <c r="AL56" s="23" t="s">
        <v>356</v>
      </c>
      <c r="AM56" s="23" t="s">
        <v>356</v>
      </c>
      <c r="AN56" s="40" t="s">
        <v>357</v>
      </c>
    </row>
    <row r="57">
      <c r="A57" s="17" t="s">
        <v>29</v>
      </c>
      <c r="B57" s="18" t="s">
        <v>401</v>
      </c>
      <c r="C57" s="19" t="s">
        <v>28</v>
      </c>
      <c r="D57" s="20" t="s">
        <v>353</v>
      </c>
      <c r="E57" s="21" t="s">
        <v>7</v>
      </c>
      <c r="F57" s="19" t="s">
        <v>8</v>
      </c>
      <c r="G57" s="22" t="s">
        <v>354</v>
      </c>
      <c r="H57" s="22" t="s">
        <v>354</v>
      </c>
      <c r="I57" s="22" t="s">
        <v>354</v>
      </c>
      <c r="J57" s="22" t="s">
        <v>354</v>
      </c>
      <c r="K57" s="22" t="s">
        <v>354</v>
      </c>
      <c r="L57" s="41">
        <v>0.0</v>
      </c>
      <c r="M57" s="71" t="s">
        <v>354</v>
      </c>
      <c r="N57" s="24" t="s">
        <v>30</v>
      </c>
      <c r="O57" s="24" t="s">
        <v>31</v>
      </c>
      <c r="P57" s="24" t="s">
        <v>32</v>
      </c>
      <c r="Q57" s="24" t="s">
        <v>29</v>
      </c>
      <c r="R57" s="24" t="s">
        <v>29</v>
      </c>
      <c r="S57" s="24" t="s">
        <v>29</v>
      </c>
      <c r="T57" s="24" t="s">
        <v>29</v>
      </c>
      <c r="U57" s="24" t="s">
        <v>29</v>
      </c>
      <c r="V57" s="24" t="s">
        <v>29</v>
      </c>
      <c r="W57" s="18" t="s">
        <v>403</v>
      </c>
      <c r="X57" s="18">
        <v>982.0</v>
      </c>
      <c r="Y57" s="83" t="s">
        <v>29</v>
      </c>
      <c r="Z57" s="18" t="s">
        <v>405</v>
      </c>
      <c r="AA57" s="19"/>
      <c r="AB57" s="41" t="s">
        <v>406</v>
      </c>
      <c r="AC57" s="19"/>
      <c r="AD57" s="19"/>
      <c r="AE57" s="19"/>
      <c r="AF57" s="33">
        <v>0.0</v>
      </c>
      <c r="AG57" s="23" t="s">
        <v>356</v>
      </c>
      <c r="AH57" s="19"/>
      <c r="AI57" s="23" t="s">
        <v>356</v>
      </c>
      <c r="AJ57" s="82" t="s">
        <v>361</v>
      </c>
      <c r="AK57" s="23" t="s">
        <v>356</v>
      </c>
      <c r="AL57" s="23" t="s">
        <v>356</v>
      </c>
      <c r="AM57" s="82" t="s">
        <v>361</v>
      </c>
      <c r="AN57" s="23" t="s">
        <v>356</v>
      </c>
    </row>
    <row r="58">
      <c r="A58" s="17" t="s">
        <v>29</v>
      </c>
      <c r="B58" s="18" t="s">
        <v>401</v>
      </c>
      <c r="C58" s="19" t="s">
        <v>28</v>
      </c>
      <c r="D58" s="20" t="s">
        <v>353</v>
      </c>
      <c r="E58" s="21" t="s">
        <v>7</v>
      </c>
      <c r="F58" s="19" t="s">
        <v>8</v>
      </c>
      <c r="G58" s="22" t="s">
        <v>354</v>
      </c>
      <c r="H58" s="22" t="s">
        <v>354</v>
      </c>
      <c r="I58" s="22" t="s">
        <v>354</v>
      </c>
      <c r="J58" s="22" t="s">
        <v>354</v>
      </c>
      <c r="K58" s="22" t="s">
        <v>354</v>
      </c>
      <c r="L58" s="41">
        <v>0.0</v>
      </c>
      <c r="M58" s="71" t="s">
        <v>354</v>
      </c>
      <c r="N58" s="24" t="s">
        <v>30</v>
      </c>
      <c r="O58" s="24" t="s">
        <v>31</v>
      </c>
      <c r="P58" s="24" t="s">
        <v>32</v>
      </c>
      <c r="Q58" s="24" t="s">
        <v>29</v>
      </c>
      <c r="R58" s="24" t="s">
        <v>29</v>
      </c>
      <c r="S58" s="24" t="s">
        <v>29</v>
      </c>
      <c r="T58" s="24" t="s">
        <v>29</v>
      </c>
      <c r="U58" s="24" t="s">
        <v>29</v>
      </c>
      <c r="V58" s="24" t="s">
        <v>29</v>
      </c>
      <c r="W58" s="18" t="s">
        <v>403</v>
      </c>
      <c r="X58" s="18">
        <v>982.0</v>
      </c>
      <c r="Y58" s="83" t="s">
        <v>29</v>
      </c>
      <c r="Z58" s="18" t="s">
        <v>405</v>
      </c>
      <c r="AA58" s="83" t="s">
        <v>29</v>
      </c>
      <c r="AB58" s="41" t="s">
        <v>371</v>
      </c>
      <c r="AC58" s="19"/>
      <c r="AD58" s="19"/>
      <c r="AE58" s="19"/>
      <c r="AF58" s="33">
        <v>0.0</v>
      </c>
      <c r="AG58" s="33" t="s">
        <v>354</v>
      </c>
      <c r="AH58" s="33"/>
      <c r="AI58" s="33" t="s">
        <v>354</v>
      </c>
      <c r="AJ58" s="19"/>
      <c r="AK58" s="19"/>
      <c r="AL58" s="23" t="s">
        <v>356</v>
      </c>
      <c r="AM58" s="23" t="s">
        <v>356</v>
      </c>
      <c r="AN58" s="84" t="s">
        <v>407</v>
      </c>
    </row>
    <row r="59">
      <c r="A59" s="85" t="s">
        <v>408</v>
      </c>
      <c r="B59" s="18">
        <v>2.0</v>
      </c>
      <c r="C59" s="46" t="s">
        <v>33</v>
      </c>
      <c r="D59" s="47" t="s">
        <v>353</v>
      </c>
      <c r="E59" s="48" t="s">
        <v>7</v>
      </c>
      <c r="F59" s="46" t="s">
        <v>8</v>
      </c>
      <c r="G59" s="49">
        <v>124.0</v>
      </c>
      <c r="H59" s="49">
        <v>160.0</v>
      </c>
      <c r="I59" s="49" t="s">
        <v>354</v>
      </c>
      <c r="J59" s="46">
        <v>9.0</v>
      </c>
      <c r="K59" s="49" t="s">
        <v>354</v>
      </c>
      <c r="L59" s="49">
        <v>0.0</v>
      </c>
      <c r="M59" s="49" t="s">
        <v>354</v>
      </c>
      <c r="N59" s="24" t="s">
        <v>34</v>
      </c>
      <c r="O59" s="44" t="s">
        <v>373</v>
      </c>
      <c r="P59" s="61" t="s">
        <v>373</v>
      </c>
      <c r="Q59" s="62" t="s">
        <v>373</v>
      </c>
      <c r="R59" s="62" t="s">
        <v>409</v>
      </c>
      <c r="S59" s="62" t="s">
        <v>409</v>
      </c>
      <c r="T59" s="62" t="s">
        <v>409</v>
      </c>
      <c r="U59" s="62" t="s">
        <v>409</v>
      </c>
      <c r="V59" s="62" t="s">
        <v>409</v>
      </c>
      <c r="W59" s="62" t="s">
        <v>409</v>
      </c>
      <c r="X59" s="62" t="s">
        <v>409</v>
      </c>
      <c r="Y59" s="62" t="s">
        <v>409</v>
      </c>
      <c r="Z59" s="62" t="s">
        <v>409</v>
      </c>
      <c r="AA59" s="62" t="s">
        <v>409</v>
      </c>
      <c r="AB59" s="62" t="s">
        <v>410</v>
      </c>
      <c r="AC59" s="46"/>
      <c r="AD59" s="46"/>
      <c r="AE59" s="46"/>
      <c r="AF59" s="86">
        <v>43.64</v>
      </c>
      <c r="AG59" s="50" t="s">
        <v>375</v>
      </c>
      <c r="AH59" s="46"/>
      <c r="AI59" s="46"/>
      <c r="AJ59" s="46"/>
      <c r="AK59" s="46"/>
      <c r="AL59" s="54" t="s">
        <v>356</v>
      </c>
      <c r="AM59" s="54" t="s">
        <v>356</v>
      </c>
      <c r="AN59" s="54" t="s">
        <v>356</v>
      </c>
    </row>
    <row r="60">
      <c r="A60" s="17" t="s">
        <v>36</v>
      </c>
      <c r="B60" s="18" t="s">
        <v>411</v>
      </c>
      <c r="C60" s="19" t="s">
        <v>35</v>
      </c>
      <c r="D60" s="20" t="s">
        <v>353</v>
      </c>
      <c r="E60" s="21" t="s">
        <v>37</v>
      </c>
      <c r="F60" s="19" t="s">
        <v>8</v>
      </c>
      <c r="G60" s="23">
        <v>118.0</v>
      </c>
      <c r="H60" s="23">
        <v>215.0</v>
      </c>
      <c r="I60" s="23" t="s">
        <v>354</v>
      </c>
      <c r="J60" s="23" t="s">
        <v>354</v>
      </c>
      <c r="K60" s="23" t="s">
        <v>354</v>
      </c>
      <c r="L60" s="23">
        <v>0.0</v>
      </c>
      <c r="M60" s="23" t="s">
        <v>354</v>
      </c>
      <c r="N60" s="24" t="s">
        <v>38</v>
      </c>
      <c r="O60" s="19"/>
      <c r="P60" s="19"/>
      <c r="Q60" s="19"/>
      <c r="R60" s="19"/>
      <c r="S60" s="19"/>
      <c r="T60" s="19"/>
      <c r="U60" s="19"/>
      <c r="V60" s="19"/>
      <c r="W60" s="19"/>
      <c r="X60" s="19"/>
      <c r="Y60" s="19"/>
      <c r="Z60" s="19"/>
      <c r="AA60" s="19"/>
      <c r="AB60" s="23" t="s">
        <v>412</v>
      </c>
      <c r="AC60" s="19"/>
      <c r="AD60" s="19"/>
      <c r="AE60" s="19"/>
      <c r="AF60" s="25">
        <v>38.0</v>
      </c>
      <c r="AG60" s="43" t="s">
        <v>375</v>
      </c>
      <c r="AH60" s="19"/>
      <c r="AI60" s="43" t="s">
        <v>375</v>
      </c>
      <c r="AJ60" s="19"/>
      <c r="AK60" s="19"/>
      <c r="AL60" s="87" t="s">
        <v>413</v>
      </c>
      <c r="AM60" s="23" t="s">
        <v>356</v>
      </c>
      <c r="AN60" s="88" t="s">
        <v>358</v>
      </c>
    </row>
    <row r="61">
      <c r="A61" s="17" t="s">
        <v>36</v>
      </c>
      <c r="B61" s="18" t="s">
        <v>411</v>
      </c>
      <c r="C61" s="19" t="s">
        <v>35</v>
      </c>
      <c r="D61" s="20" t="s">
        <v>353</v>
      </c>
      <c r="E61" s="21" t="s">
        <v>37</v>
      </c>
      <c r="F61" s="19" t="s">
        <v>8</v>
      </c>
      <c r="G61" s="23">
        <v>117.0</v>
      </c>
      <c r="H61" s="23">
        <v>180.0</v>
      </c>
      <c r="I61" s="23" t="s">
        <v>354</v>
      </c>
      <c r="J61" s="23" t="s">
        <v>354</v>
      </c>
      <c r="K61" s="23" t="s">
        <v>354</v>
      </c>
      <c r="L61" s="23">
        <v>0.0</v>
      </c>
      <c r="M61" s="23" t="s">
        <v>354</v>
      </c>
      <c r="N61" s="24" t="s">
        <v>38</v>
      </c>
      <c r="O61" s="24" t="s">
        <v>39</v>
      </c>
      <c r="P61" s="19"/>
      <c r="Q61" s="19"/>
      <c r="R61" s="19"/>
      <c r="S61" s="19"/>
      <c r="T61" s="19"/>
      <c r="U61" s="19"/>
      <c r="V61" s="19"/>
      <c r="W61" s="19"/>
      <c r="X61" s="19"/>
      <c r="Y61" s="19"/>
      <c r="Z61" s="19"/>
      <c r="AA61" s="19"/>
      <c r="AB61" s="23" t="s">
        <v>354</v>
      </c>
      <c r="AC61" s="19">
        <v>36281.0</v>
      </c>
      <c r="AD61" s="19"/>
      <c r="AE61" s="19"/>
      <c r="AF61" s="23">
        <v>0.0</v>
      </c>
      <c r="AG61" s="23" t="s">
        <v>356</v>
      </c>
      <c r="AH61" s="19"/>
      <c r="AI61" s="23" t="s">
        <v>356</v>
      </c>
      <c r="AJ61" s="19"/>
      <c r="AK61" s="19"/>
      <c r="AL61" s="31" t="s">
        <v>356</v>
      </c>
      <c r="AM61" s="32" t="s">
        <v>361</v>
      </c>
      <c r="AN61" s="31" t="s">
        <v>356</v>
      </c>
    </row>
    <row r="62">
      <c r="A62" s="17" t="s">
        <v>36</v>
      </c>
      <c r="B62" s="18" t="s">
        <v>411</v>
      </c>
      <c r="C62" s="19" t="s">
        <v>35</v>
      </c>
      <c r="D62" s="20" t="s">
        <v>353</v>
      </c>
      <c r="E62" s="21" t="s">
        <v>37</v>
      </c>
      <c r="F62" s="19" t="s">
        <v>8</v>
      </c>
      <c r="G62" s="23">
        <v>117.0</v>
      </c>
      <c r="H62" s="23">
        <v>155.0</v>
      </c>
      <c r="I62" s="23" t="s">
        <v>354</v>
      </c>
      <c r="J62" s="23" t="s">
        <v>354</v>
      </c>
      <c r="K62" s="23" t="s">
        <v>354</v>
      </c>
      <c r="L62" s="23">
        <v>0.0</v>
      </c>
      <c r="M62" s="23" t="s">
        <v>354</v>
      </c>
      <c r="N62" s="24" t="s">
        <v>38</v>
      </c>
      <c r="O62" s="24" t="s">
        <v>39</v>
      </c>
      <c r="P62" s="24" t="s">
        <v>40</v>
      </c>
      <c r="Q62" s="19"/>
      <c r="R62" s="19"/>
      <c r="S62" s="19"/>
      <c r="T62" s="19"/>
      <c r="U62" s="19"/>
      <c r="V62" s="19"/>
      <c r="W62" s="19"/>
      <c r="X62" s="19"/>
      <c r="Y62" s="19"/>
      <c r="Z62" s="19"/>
      <c r="AA62" s="19"/>
      <c r="AB62" s="23" t="s">
        <v>414</v>
      </c>
      <c r="AC62" s="19">
        <v>36317.0</v>
      </c>
      <c r="AD62" s="19"/>
      <c r="AE62" s="19"/>
      <c r="AF62" s="23">
        <v>0.0</v>
      </c>
      <c r="AG62" s="23" t="s">
        <v>356</v>
      </c>
      <c r="AH62" s="19"/>
      <c r="AI62" s="23" t="s">
        <v>356</v>
      </c>
      <c r="AJ62" s="19"/>
      <c r="AK62" s="19"/>
      <c r="AL62" s="31" t="s">
        <v>356</v>
      </c>
      <c r="AM62" s="31" t="s">
        <v>356</v>
      </c>
      <c r="AN62" s="31" t="s">
        <v>356</v>
      </c>
    </row>
    <row r="63">
      <c r="A63" s="17" t="s">
        <v>36</v>
      </c>
      <c r="B63" s="18" t="s">
        <v>411</v>
      </c>
      <c r="C63" s="19" t="s">
        <v>35</v>
      </c>
      <c r="D63" s="20" t="s">
        <v>353</v>
      </c>
      <c r="E63" s="33" t="s">
        <v>7</v>
      </c>
      <c r="F63" s="19" t="s">
        <v>8</v>
      </c>
      <c r="G63" s="23" t="s">
        <v>354</v>
      </c>
      <c r="H63" s="23">
        <v>160.0</v>
      </c>
      <c r="I63" s="23" t="s">
        <v>354</v>
      </c>
      <c r="J63" s="23" t="s">
        <v>354</v>
      </c>
      <c r="K63" s="23" t="s">
        <v>354</v>
      </c>
      <c r="L63" s="23">
        <v>0.0</v>
      </c>
      <c r="M63" s="23" t="s">
        <v>354</v>
      </c>
      <c r="N63" s="24" t="s">
        <v>38</v>
      </c>
      <c r="O63" s="24" t="s">
        <v>39</v>
      </c>
      <c r="P63" s="24" t="s">
        <v>40</v>
      </c>
      <c r="Q63" s="44" t="s">
        <v>373</v>
      </c>
      <c r="R63" s="24" t="s">
        <v>36</v>
      </c>
      <c r="S63" s="19"/>
      <c r="T63" s="19"/>
      <c r="U63" s="19"/>
      <c r="V63" s="19"/>
      <c r="W63" s="19"/>
      <c r="X63" s="19"/>
      <c r="Y63" s="19"/>
      <c r="Z63" s="19"/>
      <c r="AA63" s="19"/>
      <c r="AB63" s="23" t="s">
        <v>415</v>
      </c>
      <c r="AC63" s="19"/>
      <c r="AD63" s="19"/>
      <c r="AE63" s="19"/>
      <c r="AF63" s="23">
        <v>0.0</v>
      </c>
      <c r="AG63" s="23" t="s">
        <v>356</v>
      </c>
      <c r="AH63" s="19"/>
      <c r="AI63" s="23" t="s">
        <v>356</v>
      </c>
      <c r="AJ63" s="19"/>
      <c r="AK63" s="19"/>
      <c r="AL63" s="31" t="s">
        <v>356</v>
      </c>
      <c r="AM63" s="31" t="s">
        <v>356</v>
      </c>
      <c r="AN63" s="23" t="s">
        <v>356</v>
      </c>
    </row>
    <row r="64">
      <c r="A64" s="17" t="s">
        <v>36</v>
      </c>
      <c r="B64" s="18" t="s">
        <v>411</v>
      </c>
      <c r="C64" s="19" t="s">
        <v>35</v>
      </c>
      <c r="D64" s="20" t="s">
        <v>353</v>
      </c>
      <c r="E64" s="33" t="s">
        <v>7</v>
      </c>
      <c r="F64" s="19" t="s">
        <v>8</v>
      </c>
      <c r="G64" s="23">
        <v>119.0</v>
      </c>
      <c r="H64" s="23">
        <v>180.0</v>
      </c>
      <c r="I64" s="23" t="s">
        <v>354</v>
      </c>
      <c r="J64" s="23" t="s">
        <v>354</v>
      </c>
      <c r="K64" s="23" t="s">
        <v>354</v>
      </c>
      <c r="L64" s="23">
        <v>0.0</v>
      </c>
      <c r="M64" s="23" t="s">
        <v>354</v>
      </c>
      <c r="N64" s="24" t="s">
        <v>38</v>
      </c>
      <c r="O64" s="24" t="s">
        <v>39</v>
      </c>
      <c r="P64" s="24" t="s">
        <v>40</v>
      </c>
      <c r="Q64" s="44" t="s">
        <v>373</v>
      </c>
      <c r="R64" s="24" t="s">
        <v>36</v>
      </c>
      <c r="S64" s="24" t="s">
        <v>36</v>
      </c>
      <c r="T64" s="19"/>
      <c r="U64" s="19"/>
      <c r="V64" s="19"/>
      <c r="W64" s="19"/>
      <c r="X64" s="19"/>
      <c r="Y64" s="19"/>
      <c r="Z64" s="19"/>
      <c r="AA64" s="19"/>
      <c r="AB64" s="23" t="s">
        <v>416</v>
      </c>
      <c r="AC64" s="19"/>
      <c r="AD64" s="19"/>
      <c r="AE64" s="19"/>
      <c r="AF64" s="23">
        <v>0.0</v>
      </c>
      <c r="AG64" s="23" t="s">
        <v>354</v>
      </c>
      <c r="AH64" s="19"/>
      <c r="AI64" s="23" t="s">
        <v>354</v>
      </c>
      <c r="AJ64" s="19"/>
      <c r="AK64" s="19"/>
      <c r="AL64" s="82" t="s">
        <v>407</v>
      </c>
      <c r="AM64" s="89" t="s">
        <v>356</v>
      </c>
      <c r="AN64" s="89" t="s">
        <v>356</v>
      </c>
    </row>
    <row r="65">
      <c r="A65" s="17" t="s">
        <v>36</v>
      </c>
      <c r="B65" s="18" t="s">
        <v>411</v>
      </c>
      <c r="C65" s="19" t="s">
        <v>35</v>
      </c>
      <c r="D65" s="20" t="s">
        <v>353</v>
      </c>
      <c r="E65" s="33" t="s">
        <v>7</v>
      </c>
      <c r="F65" s="19" t="s">
        <v>8</v>
      </c>
      <c r="G65" s="23" t="s">
        <v>354</v>
      </c>
      <c r="H65" s="23">
        <v>180.0</v>
      </c>
      <c r="I65" s="23" t="s">
        <v>354</v>
      </c>
      <c r="J65" s="23" t="s">
        <v>354</v>
      </c>
      <c r="K65" s="23" t="s">
        <v>354</v>
      </c>
      <c r="L65" s="23">
        <v>0.0</v>
      </c>
      <c r="M65" s="23" t="s">
        <v>354</v>
      </c>
      <c r="N65" s="24" t="s">
        <v>38</v>
      </c>
      <c r="O65" s="24" t="s">
        <v>39</v>
      </c>
      <c r="P65" s="24" t="s">
        <v>40</v>
      </c>
      <c r="Q65" s="44" t="s">
        <v>373</v>
      </c>
      <c r="R65" s="24" t="s">
        <v>36</v>
      </c>
      <c r="S65" s="24" t="s">
        <v>36</v>
      </c>
      <c r="T65" s="24" t="s">
        <v>36</v>
      </c>
      <c r="U65" s="19"/>
      <c r="V65" s="19"/>
      <c r="W65" s="19"/>
      <c r="X65" s="19"/>
      <c r="Y65" s="19"/>
      <c r="Z65" s="19"/>
      <c r="AA65" s="19"/>
      <c r="AB65" s="23" t="s">
        <v>395</v>
      </c>
      <c r="AC65" s="19"/>
      <c r="AD65" s="19"/>
      <c r="AE65" s="19"/>
      <c r="AF65" s="36">
        <v>33.18</v>
      </c>
      <c r="AG65" s="23" t="s">
        <v>354</v>
      </c>
      <c r="AH65" s="19"/>
      <c r="AI65" s="23" t="s">
        <v>354</v>
      </c>
      <c r="AJ65" s="19"/>
      <c r="AK65" s="19"/>
      <c r="AL65" s="90" t="s">
        <v>413</v>
      </c>
      <c r="AM65" s="90" t="s">
        <v>413</v>
      </c>
      <c r="AN65" s="90" t="s">
        <v>413</v>
      </c>
    </row>
    <row r="66">
      <c r="A66" s="17" t="s">
        <v>36</v>
      </c>
      <c r="B66" s="18" t="s">
        <v>411</v>
      </c>
      <c r="C66" s="19" t="s">
        <v>35</v>
      </c>
      <c r="D66" s="20" t="s">
        <v>353</v>
      </c>
      <c r="E66" s="33" t="s">
        <v>7</v>
      </c>
      <c r="F66" s="19" t="s">
        <v>8</v>
      </c>
      <c r="G66" s="23" t="s">
        <v>354</v>
      </c>
      <c r="H66" s="23">
        <v>205.0</v>
      </c>
      <c r="I66" s="23" t="s">
        <v>354</v>
      </c>
      <c r="J66" s="23" t="s">
        <v>354</v>
      </c>
      <c r="K66" s="23" t="s">
        <v>354</v>
      </c>
      <c r="L66" s="23">
        <v>0.0</v>
      </c>
      <c r="M66" s="23" t="s">
        <v>354</v>
      </c>
      <c r="N66" s="24" t="s">
        <v>38</v>
      </c>
      <c r="O66" s="24" t="s">
        <v>39</v>
      </c>
      <c r="P66" s="24" t="s">
        <v>40</v>
      </c>
      <c r="Q66" s="44" t="s">
        <v>373</v>
      </c>
      <c r="R66" s="24" t="s">
        <v>36</v>
      </c>
      <c r="S66" s="24" t="s">
        <v>36</v>
      </c>
      <c r="T66" s="24" t="s">
        <v>36</v>
      </c>
      <c r="U66" s="24" t="s">
        <v>36</v>
      </c>
      <c r="V66" s="19"/>
      <c r="W66" s="19"/>
      <c r="X66" s="19"/>
      <c r="Y66" s="19"/>
      <c r="Z66" s="19"/>
      <c r="AA66" s="19"/>
      <c r="AB66" s="23" t="s">
        <v>354</v>
      </c>
      <c r="AC66" s="19"/>
      <c r="AD66" s="19"/>
      <c r="AE66" s="19"/>
      <c r="AF66" s="23">
        <v>0.0</v>
      </c>
      <c r="AG66" s="23" t="s">
        <v>354</v>
      </c>
      <c r="AH66" s="19"/>
      <c r="AI66" s="23" t="s">
        <v>354</v>
      </c>
      <c r="AJ66" s="19"/>
      <c r="AK66" s="19"/>
      <c r="AL66" s="31" t="s">
        <v>356</v>
      </c>
      <c r="AM66" s="31" t="s">
        <v>356</v>
      </c>
      <c r="AN66" s="31" t="s">
        <v>356</v>
      </c>
    </row>
    <row r="67">
      <c r="A67" s="17" t="s">
        <v>36</v>
      </c>
      <c r="B67" s="18" t="s">
        <v>411</v>
      </c>
      <c r="C67" s="19" t="s">
        <v>35</v>
      </c>
      <c r="D67" s="20" t="s">
        <v>353</v>
      </c>
      <c r="E67" s="33" t="s">
        <v>7</v>
      </c>
      <c r="F67" s="19" t="s">
        <v>8</v>
      </c>
      <c r="G67" s="23" t="s">
        <v>354</v>
      </c>
      <c r="H67" s="23">
        <v>205.0</v>
      </c>
      <c r="I67" s="23" t="s">
        <v>354</v>
      </c>
      <c r="J67" s="23" t="s">
        <v>354</v>
      </c>
      <c r="K67" s="23" t="s">
        <v>354</v>
      </c>
      <c r="L67" s="23">
        <v>0.0</v>
      </c>
      <c r="M67" s="23" t="s">
        <v>354</v>
      </c>
      <c r="N67" s="24" t="s">
        <v>38</v>
      </c>
      <c r="O67" s="24" t="s">
        <v>39</v>
      </c>
      <c r="P67" s="24" t="s">
        <v>40</v>
      </c>
      <c r="Q67" s="44" t="s">
        <v>373</v>
      </c>
      <c r="R67" s="24" t="s">
        <v>36</v>
      </c>
      <c r="S67" s="24" t="s">
        <v>36</v>
      </c>
      <c r="T67" s="24" t="s">
        <v>36</v>
      </c>
      <c r="U67" s="24" t="s">
        <v>36</v>
      </c>
      <c r="V67" s="24" t="s">
        <v>36</v>
      </c>
      <c r="W67" s="19"/>
      <c r="X67" s="19"/>
      <c r="Y67" s="19"/>
      <c r="Z67" s="19"/>
      <c r="AA67" s="19"/>
      <c r="AB67" s="23" t="s">
        <v>354</v>
      </c>
      <c r="AC67" s="19"/>
      <c r="AD67" s="19"/>
      <c r="AE67" s="19"/>
      <c r="AF67" s="23">
        <v>0.0</v>
      </c>
      <c r="AG67" s="23" t="s">
        <v>354</v>
      </c>
      <c r="AH67" s="19"/>
      <c r="AI67" s="23" t="s">
        <v>354</v>
      </c>
      <c r="AJ67" s="19"/>
      <c r="AK67" s="19"/>
      <c r="AL67" s="31" t="s">
        <v>356</v>
      </c>
      <c r="AM67" s="31" t="s">
        <v>356</v>
      </c>
      <c r="AN67" s="31" t="s">
        <v>356</v>
      </c>
    </row>
    <row r="68">
      <c r="A68" s="17" t="s">
        <v>36</v>
      </c>
      <c r="B68" s="18" t="s">
        <v>411</v>
      </c>
      <c r="C68" s="19" t="s">
        <v>35</v>
      </c>
      <c r="D68" s="20" t="s">
        <v>353</v>
      </c>
      <c r="E68" s="33" t="s">
        <v>7</v>
      </c>
      <c r="F68" s="19" t="s">
        <v>8</v>
      </c>
      <c r="G68" s="23" t="s">
        <v>354</v>
      </c>
      <c r="H68" s="23">
        <v>225.0</v>
      </c>
      <c r="I68" s="23" t="s">
        <v>354</v>
      </c>
      <c r="J68" s="23" t="s">
        <v>354</v>
      </c>
      <c r="K68" s="23" t="s">
        <v>354</v>
      </c>
      <c r="L68" s="23">
        <v>0.0</v>
      </c>
      <c r="M68" s="23" t="s">
        <v>354</v>
      </c>
      <c r="N68" s="24" t="s">
        <v>38</v>
      </c>
      <c r="O68" s="24" t="s">
        <v>39</v>
      </c>
      <c r="P68" s="24" t="s">
        <v>40</v>
      </c>
      <c r="Q68" s="44" t="s">
        <v>373</v>
      </c>
      <c r="R68" s="24" t="s">
        <v>36</v>
      </c>
      <c r="S68" s="24" t="s">
        <v>36</v>
      </c>
      <c r="T68" s="24" t="s">
        <v>36</v>
      </c>
      <c r="U68" s="24" t="s">
        <v>36</v>
      </c>
      <c r="V68" s="24" t="s">
        <v>36</v>
      </c>
      <c r="W68" s="18" t="s">
        <v>417</v>
      </c>
      <c r="X68" s="19"/>
      <c r="Y68" s="19"/>
      <c r="Z68" s="19"/>
      <c r="AA68" s="19"/>
      <c r="AB68" s="41" t="s">
        <v>371</v>
      </c>
      <c r="AC68" s="19"/>
      <c r="AD68" s="19"/>
      <c r="AE68" s="19"/>
      <c r="AF68" s="23">
        <v>0.0</v>
      </c>
      <c r="AG68" s="23" t="s">
        <v>354</v>
      </c>
      <c r="AH68" s="19"/>
      <c r="AI68" s="23" t="s">
        <v>354</v>
      </c>
      <c r="AJ68" s="19"/>
      <c r="AK68" s="19"/>
      <c r="AL68" s="31" t="s">
        <v>356</v>
      </c>
      <c r="AM68" s="31" t="s">
        <v>356</v>
      </c>
      <c r="AN68" s="31" t="s">
        <v>356</v>
      </c>
    </row>
    <row r="69">
      <c r="A69" s="17" t="s">
        <v>36</v>
      </c>
      <c r="B69" s="18" t="s">
        <v>411</v>
      </c>
      <c r="C69" s="19" t="s">
        <v>35</v>
      </c>
      <c r="D69" s="20" t="s">
        <v>353</v>
      </c>
      <c r="E69" s="33" t="s">
        <v>7</v>
      </c>
      <c r="F69" s="19" t="s">
        <v>8</v>
      </c>
      <c r="G69" s="23" t="s">
        <v>354</v>
      </c>
      <c r="H69" s="23" t="s">
        <v>354</v>
      </c>
      <c r="I69" s="23" t="s">
        <v>354</v>
      </c>
      <c r="J69" s="23" t="s">
        <v>354</v>
      </c>
      <c r="K69" s="23" t="s">
        <v>354</v>
      </c>
      <c r="L69" s="41">
        <v>0.0</v>
      </c>
      <c r="M69" s="41" t="s">
        <v>354</v>
      </c>
      <c r="N69" s="24" t="s">
        <v>38</v>
      </c>
      <c r="O69" s="24" t="s">
        <v>39</v>
      </c>
      <c r="P69" s="24" t="s">
        <v>40</v>
      </c>
      <c r="Q69" s="44" t="s">
        <v>373</v>
      </c>
      <c r="R69" s="24" t="s">
        <v>36</v>
      </c>
      <c r="S69" s="24" t="s">
        <v>36</v>
      </c>
      <c r="T69" s="24" t="s">
        <v>36</v>
      </c>
      <c r="U69" s="24" t="s">
        <v>36</v>
      </c>
      <c r="V69" s="24" t="s">
        <v>36</v>
      </c>
      <c r="W69" s="18" t="s">
        <v>417</v>
      </c>
      <c r="X69" s="18">
        <v>3174.0</v>
      </c>
      <c r="Y69" s="23"/>
      <c r="Z69" s="23"/>
      <c r="AA69" s="19"/>
      <c r="AB69" s="41" t="s">
        <v>371</v>
      </c>
      <c r="AC69" s="19"/>
      <c r="AD69" s="19"/>
      <c r="AE69" s="19"/>
      <c r="AF69" s="23">
        <v>0.0</v>
      </c>
      <c r="AG69" s="23" t="s">
        <v>354</v>
      </c>
      <c r="AH69" s="19"/>
      <c r="AI69" s="23" t="s">
        <v>354</v>
      </c>
      <c r="AJ69" s="19"/>
      <c r="AK69" s="19"/>
      <c r="AL69" s="31" t="s">
        <v>356</v>
      </c>
      <c r="AM69" s="31" t="s">
        <v>356</v>
      </c>
      <c r="AN69" s="31" t="s">
        <v>356</v>
      </c>
    </row>
    <row r="70">
      <c r="A70" s="17" t="s">
        <v>36</v>
      </c>
      <c r="B70" s="18" t="s">
        <v>411</v>
      </c>
      <c r="C70" s="19" t="s">
        <v>35</v>
      </c>
      <c r="D70" s="20" t="s">
        <v>353</v>
      </c>
      <c r="E70" s="33" t="s">
        <v>7</v>
      </c>
      <c r="F70" s="19" t="s">
        <v>8</v>
      </c>
      <c r="G70" s="23" t="s">
        <v>354</v>
      </c>
      <c r="H70" s="23" t="s">
        <v>354</v>
      </c>
      <c r="I70" s="23" t="s">
        <v>354</v>
      </c>
      <c r="J70" s="23" t="s">
        <v>354</v>
      </c>
      <c r="K70" s="23" t="s">
        <v>354</v>
      </c>
      <c r="L70" s="41">
        <v>0.0</v>
      </c>
      <c r="M70" s="41" t="s">
        <v>354</v>
      </c>
      <c r="N70" s="24" t="s">
        <v>38</v>
      </c>
      <c r="O70" s="24" t="s">
        <v>39</v>
      </c>
      <c r="P70" s="24" t="s">
        <v>40</v>
      </c>
      <c r="Q70" s="44" t="s">
        <v>373</v>
      </c>
      <c r="R70" s="24" t="s">
        <v>36</v>
      </c>
      <c r="S70" s="24" t="s">
        <v>36</v>
      </c>
      <c r="T70" s="24" t="s">
        <v>36</v>
      </c>
      <c r="U70" s="24" t="s">
        <v>36</v>
      </c>
      <c r="V70" s="24" t="s">
        <v>36</v>
      </c>
      <c r="W70" s="18" t="s">
        <v>417</v>
      </c>
      <c r="X70" s="18">
        <v>3174.0</v>
      </c>
      <c r="Y70" s="18" t="s">
        <v>36</v>
      </c>
      <c r="Z70" s="23"/>
      <c r="AA70" s="19"/>
      <c r="AB70" s="41" t="s">
        <v>371</v>
      </c>
      <c r="AC70" s="19"/>
      <c r="AD70" s="19"/>
      <c r="AE70" s="19"/>
      <c r="AF70" s="23">
        <v>0.0</v>
      </c>
      <c r="AG70" s="23" t="s">
        <v>354</v>
      </c>
      <c r="AH70" s="19"/>
      <c r="AI70" s="23" t="s">
        <v>354</v>
      </c>
      <c r="AJ70" s="19"/>
      <c r="AK70" s="19"/>
      <c r="AL70" s="31" t="s">
        <v>356</v>
      </c>
      <c r="AM70" s="31" t="s">
        <v>356</v>
      </c>
      <c r="AN70" s="31" t="s">
        <v>356</v>
      </c>
    </row>
    <row r="71">
      <c r="A71" s="17" t="s">
        <v>36</v>
      </c>
      <c r="B71" s="18" t="s">
        <v>411</v>
      </c>
      <c r="C71" s="19" t="s">
        <v>35</v>
      </c>
      <c r="D71" s="20" t="s">
        <v>353</v>
      </c>
      <c r="E71" s="33" t="s">
        <v>7</v>
      </c>
      <c r="F71" s="19" t="s">
        <v>8</v>
      </c>
      <c r="G71" s="23" t="s">
        <v>354</v>
      </c>
      <c r="H71" s="23" t="s">
        <v>354</v>
      </c>
      <c r="I71" s="23" t="s">
        <v>354</v>
      </c>
      <c r="J71" s="23" t="s">
        <v>354</v>
      </c>
      <c r="K71" s="23" t="s">
        <v>354</v>
      </c>
      <c r="L71" s="78">
        <v>1.0</v>
      </c>
      <c r="M71" s="78" t="s">
        <v>354</v>
      </c>
      <c r="N71" s="24" t="s">
        <v>38</v>
      </c>
      <c r="O71" s="24" t="s">
        <v>39</v>
      </c>
      <c r="P71" s="24" t="s">
        <v>40</v>
      </c>
      <c r="Q71" s="44" t="s">
        <v>373</v>
      </c>
      <c r="R71" s="24" t="s">
        <v>36</v>
      </c>
      <c r="S71" s="24" t="s">
        <v>36</v>
      </c>
      <c r="T71" s="24" t="s">
        <v>36</v>
      </c>
      <c r="U71" s="24" t="s">
        <v>36</v>
      </c>
      <c r="V71" s="24" t="s">
        <v>36</v>
      </c>
      <c r="W71" s="18" t="s">
        <v>417</v>
      </c>
      <c r="X71" s="18">
        <v>3174.0</v>
      </c>
      <c r="Y71" s="18" t="s">
        <v>36</v>
      </c>
      <c r="Z71" s="18" t="s">
        <v>418</v>
      </c>
      <c r="AA71" s="19"/>
      <c r="AB71" s="78" t="s">
        <v>419</v>
      </c>
      <c r="AC71" s="19"/>
      <c r="AD71" s="19"/>
      <c r="AE71" s="19"/>
      <c r="AF71" s="30">
        <v>41.9554061591716</v>
      </c>
      <c r="AG71" s="23" t="s">
        <v>356</v>
      </c>
      <c r="AH71" s="19"/>
      <c r="AI71" s="23" t="s">
        <v>356</v>
      </c>
      <c r="AJ71" s="44" t="s">
        <v>420</v>
      </c>
      <c r="AK71" s="23" t="s">
        <v>356</v>
      </c>
      <c r="AL71" s="44" t="s">
        <v>420</v>
      </c>
      <c r="AM71" s="32" t="s">
        <v>361</v>
      </c>
      <c r="AN71" s="44" t="s">
        <v>420</v>
      </c>
    </row>
    <row r="72">
      <c r="A72" s="17" t="s">
        <v>36</v>
      </c>
      <c r="B72" s="18" t="s">
        <v>411</v>
      </c>
      <c r="C72" s="19" t="s">
        <v>35</v>
      </c>
      <c r="D72" s="20" t="s">
        <v>353</v>
      </c>
      <c r="E72" s="33" t="s">
        <v>7</v>
      </c>
      <c r="F72" s="19" t="s">
        <v>8</v>
      </c>
      <c r="G72" s="23" t="s">
        <v>354</v>
      </c>
      <c r="H72" s="23" t="s">
        <v>354</v>
      </c>
      <c r="I72" s="23" t="s">
        <v>354</v>
      </c>
      <c r="J72" s="23" t="s">
        <v>354</v>
      </c>
      <c r="K72" s="23" t="s">
        <v>354</v>
      </c>
      <c r="L72" s="41">
        <v>0.0</v>
      </c>
      <c r="M72" s="41" t="s">
        <v>354</v>
      </c>
      <c r="N72" s="24" t="s">
        <v>38</v>
      </c>
      <c r="O72" s="24" t="s">
        <v>39</v>
      </c>
      <c r="P72" s="24" t="s">
        <v>40</v>
      </c>
      <c r="Q72" s="44" t="s">
        <v>373</v>
      </c>
      <c r="R72" s="24" t="s">
        <v>36</v>
      </c>
      <c r="S72" s="24" t="s">
        <v>36</v>
      </c>
      <c r="T72" s="24" t="s">
        <v>36</v>
      </c>
      <c r="U72" s="24" t="s">
        <v>36</v>
      </c>
      <c r="V72" s="24" t="s">
        <v>36</v>
      </c>
      <c r="W72" s="18" t="s">
        <v>417</v>
      </c>
      <c r="X72" s="18">
        <v>3174.0</v>
      </c>
      <c r="Y72" s="18" t="s">
        <v>36</v>
      </c>
      <c r="Z72" s="18" t="s">
        <v>418</v>
      </c>
      <c r="AA72" s="18" t="s">
        <v>36</v>
      </c>
      <c r="AB72" s="41" t="s">
        <v>371</v>
      </c>
      <c r="AC72" s="19"/>
      <c r="AD72" s="19"/>
      <c r="AE72" s="19"/>
      <c r="AF72" s="66">
        <v>31.097988622051</v>
      </c>
      <c r="AG72" s="23" t="s">
        <v>354</v>
      </c>
      <c r="AH72" s="19"/>
      <c r="AI72" s="23" t="s">
        <v>354</v>
      </c>
      <c r="AJ72" s="19"/>
      <c r="AK72" s="19"/>
      <c r="AL72" s="91" t="s">
        <v>413</v>
      </c>
      <c r="AM72" s="91" t="s">
        <v>413</v>
      </c>
      <c r="AN72" s="91" t="s">
        <v>413</v>
      </c>
    </row>
    <row r="73">
      <c r="A73" s="85" t="s">
        <v>42</v>
      </c>
      <c r="B73" s="18" t="s">
        <v>421</v>
      </c>
      <c r="C73" s="46" t="s">
        <v>41</v>
      </c>
      <c r="D73" s="47" t="s">
        <v>353</v>
      </c>
      <c r="E73" s="48" t="s">
        <v>7</v>
      </c>
      <c r="F73" s="46" t="s">
        <v>8</v>
      </c>
      <c r="G73" s="49">
        <v>123.0</v>
      </c>
      <c r="H73" s="49">
        <v>300.0</v>
      </c>
      <c r="I73" s="57" t="s">
        <v>354</v>
      </c>
      <c r="J73" s="57" t="s">
        <v>354</v>
      </c>
      <c r="K73" s="57" t="s">
        <v>354</v>
      </c>
      <c r="L73" s="49">
        <v>0.0</v>
      </c>
      <c r="M73" s="57" t="s">
        <v>354</v>
      </c>
      <c r="N73" s="24" t="s">
        <v>43</v>
      </c>
      <c r="O73" s="46"/>
      <c r="P73" s="46"/>
      <c r="Q73" s="46"/>
      <c r="R73" s="46"/>
      <c r="S73" s="46"/>
      <c r="T73" s="46"/>
      <c r="U73" s="46"/>
      <c r="V73" s="46"/>
      <c r="W73" s="46"/>
      <c r="X73" s="46"/>
      <c r="Y73" s="46"/>
      <c r="Z73" s="46"/>
      <c r="AA73" s="46"/>
      <c r="AB73" s="49" t="s">
        <v>422</v>
      </c>
      <c r="AC73" s="46"/>
      <c r="AD73" s="46"/>
      <c r="AE73" s="46"/>
      <c r="AF73" s="86">
        <v>44.07</v>
      </c>
      <c r="AG73" s="50" t="s">
        <v>375</v>
      </c>
      <c r="AH73" s="46"/>
      <c r="AI73" s="50" t="s">
        <v>375</v>
      </c>
      <c r="AJ73" s="46"/>
      <c r="AK73" s="46"/>
      <c r="AL73" s="88" t="s">
        <v>358</v>
      </c>
      <c r="AM73" s="88" t="s">
        <v>358</v>
      </c>
      <c r="AN73" s="88" t="s">
        <v>358</v>
      </c>
    </row>
    <row r="74">
      <c r="A74" s="85" t="s">
        <v>42</v>
      </c>
      <c r="B74" s="18" t="s">
        <v>421</v>
      </c>
      <c r="C74" s="46" t="s">
        <v>41</v>
      </c>
      <c r="D74" s="47" t="s">
        <v>353</v>
      </c>
      <c r="E74" s="48" t="s">
        <v>7</v>
      </c>
      <c r="F74" s="46" t="s">
        <v>8</v>
      </c>
      <c r="G74" s="49">
        <v>121.0</v>
      </c>
      <c r="H74" s="49">
        <v>245.0</v>
      </c>
      <c r="I74" s="57" t="s">
        <v>354</v>
      </c>
      <c r="J74" s="57" t="s">
        <v>354</v>
      </c>
      <c r="K74" s="57" t="s">
        <v>354</v>
      </c>
      <c r="L74" s="49">
        <v>0.0</v>
      </c>
      <c r="M74" s="57" t="s">
        <v>354</v>
      </c>
      <c r="N74" s="24" t="s">
        <v>43</v>
      </c>
      <c r="O74" s="24" t="s">
        <v>44</v>
      </c>
      <c r="P74" s="46"/>
      <c r="Q74" s="46"/>
      <c r="R74" s="46"/>
      <c r="S74" s="46"/>
      <c r="T74" s="46"/>
      <c r="U74" s="46"/>
      <c r="V74" s="46"/>
      <c r="W74" s="46"/>
      <c r="X74" s="46"/>
      <c r="Y74" s="46"/>
      <c r="Z74" s="46"/>
      <c r="AA74" s="46"/>
      <c r="AB74" s="49" t="s">
        <v>354</v>
      </c>
      <c r="AC74" s="46">
        <v>36285.0</v>
      </c>
      <c r="AD74" s="46"/>
      <c r="AE74" s="46"/>
      <c r="AF74" s="49">
        <v>0.0</v>
      </c>
      <c r="AG74" s="49" t="s">
        <v>356</v>
      </c>
      <c r="AH74" s="46"/>
      <c r="AI74" s="49" t="s">
        <v>356</v>
      </c>
      <c r="AJ74" s="46"/>
      <c r="AK74" s="46"/>
      <c r="AL74" s="92" t="s">
        <v>361</v>
      </c>
      <c r="AM74" s="92" t="s">
        <v>361</v>
      </c>
      <c r="AN74" s="54" t="s">
        <v>356</v>
      </c>
    </row>
    <row r="75">
      <c r="A75" s="85" t="s">
        <v>42</v>
      </c>
      <c r="B75" s="18" t="s">
        <v>421</v>
      </c>
      <c r="C75" s="46" t="s">
        <v>41</v>
      </c>
      <c r="D75" s="47" t="s">
        <v>353</v>
      </c>
      <c r="E75" s="48" t="s">
        <v>7</v>
      </c>
      <c r="F75" s="46" t="s">
        <v>8</v>
      </c>
      <c r="G75" s="49">
        <v>122.0</v>
      </c>
      <c r="H75" s="49">
        <v>245.0</v>
      </c>
      <c r="I75" s="57" t="s">
        <v>354</v>
      </c>
      <c r="J75" s="57" t="s">
        <v>354</v>
      </c>
      <c r="K75" s="57" t="s">
        <v>354</v>
      </c>
      <c r="L75" s="49">
        <v>0.0</v>
      </c>
      <c r="M75" s="57" t="s">
        <v>354</v>
      </c>
      <c r="N75" s="24" t="s">
        <v>43</v>
      </c>
      <c r="O75" s="24" t="s">
        <v>44</v>
      </c>
      <c r="P75" s="24" t="s">
        <v>45</v>
      </c>
      <c r="Q75" s="46"/>
      <c r="R75" s="46"/>
      <c r="S75" s="46"/>
      <c r="T75" s="46"/>
      <c r="U75" s="46"/>
      <c r="V75" s="46"/>
      <c r="W75" s="46"/>
      <c r="X75" s="46"/>
      <c r="Y75" s="46"/>
      <c r="Z75" s="46"/>
      <c r="AA75" s="46"/>
      <c r="AB75" s="49" t="s">
        <v>354</v>
      </c>
      <c r="AC75" s="46">
        <v>36318.0</v>
      </c>
      <c r="AD75" s="46"/>
      <c r="AE75" s="46"/>
      <c r="AF75" s="49">
        <v>0.0</v>
      </c>
      <c r="AG75" s="49" t="s">
        <v>356</v>
      </c>
      <c r="AH75" s="46"/>
      <c r="AI75" s="49" t="s">
        <v>356</v>
      </c>
      <c r="AJ75" s="46"/>
      <c r="AK75" s="46"/>
      <c r="AL75" s="54" t="s">
        <v>356</v>
      </c>
      <c r="AM75" s="54" t="s">
        <v>356</v>
      </c>
      <c r="AN75" s="88" t="s">
        <v>358</v>
      </c>
    </row>
    <row r="76">
      <c r="A76" s="85" t="s">
        <v>42</v>
      </c>
      <c r="B76" s="18" t="s">
        <v>421</v>
      </c>
      <c r="C76" s="46" t="s">
        <v>41</v>
      </c>
      <c r="D76" s="47" t="s">
        <v>353</v>
      </c>
      <c r="E76" s="48" t="s">
        <v>7</v>
      </c>
      <c r="F76" s="46" t="s">
        <v>8</v>
      </c>
      <c r="G76" s="57" t="s">
        <v>354</v>
      </c>
      <c r="H76" s="49">
        <v>220.0</v>
      </c>
      <c r="I76" s="57" t="s">
        <v>354</v>
      </c>
      <c r="J76" s="57" t="s">
        <v>354</v>
      </c>
      <c r="K76" s="57" t="s">
        <v>354</v>
      </c>
      <c r="L76" s="49">
        <v>0.0</v>
      </c>
      <c r="M76" s="57" t="s">
        <v>354</v>
      </c>
      <c r="N76" s="24" t="s">
        <v>43</v>
      </c>
      <c r="O76" s="24" t="s">
        <v>44</v>
      </c>
      <c r="P76" s="24" t="s">
        <v>45</v>
      </c>
      <c r="Q76" s="24" t="s">
        <v>42</v>
      </c>
      <c r="R76" s="46"/>
      <c r="S76" s="46"/>
      <c r="T76" s="46"/>
      <c r="U76" s="46"/>
      <c r="V76" s="46"/>
      <c r="W76" s="46"/>
      <c r="X76" s="46"/>
      <c r="Y76" s="46"/>
      <c r="Z76" s="46"/>
      <c r="AA76" s="46"/>
      <c r="AB76" s="49" t="s">
        <v>354</v>
      </c>
      <c r="AC76" s="46">
        <v>36648.0</v>
      </c>
      <c r="AD76" s="46"/>
      <c r="AE76" s="46"/>
      <c r="AF76" s="49">
        <v>0.0</v>
      </c>
      <c r="AG76" s="49" t="s">
        <v>356</v>
      </c>
      <c r="AH76" s="46"/>
      <c r="AI76" s="49" t="s">
        <v>356</v>
      </c>
      <c r="AJ76" s="46"/>
      <c r="AK76" s="46"/>
      <c r="AL76" s="46" t="s">
        <v>361</v>
      </c>
      <c r="AM76" s="46" t="s">
        <v>356</v>
      </c>
      <c r="AN76" s="37" t="s">
        <v>363</v>
      </c>
    </row>
    <row r="77">
      <c r="A77" s="85" t="s">
        <v>42</v>
      </c>
      <c r="B77" s="18" t="s">
        <v>421</v>
      </c>
      <c r="C77" s="46" t="s">
        <v>41</v>
      </c>
      <c r="D77" s="47" t="s">
        <v>353</v>
      </c>
      <c r="E77" s="48" t="s">
        <v>7</v>
      </c>
      <c r="F77" s="46" t="s">
        <v>8</v>
      </c>
      <c r="G77" s="57" t="s">
        <v>354</v>
      </c>
      <c r="H77" s="49">
        <v>260.0</v>
      </c>
      <c r="I77" s="57" t="s">
        <v>354</v>
      </c>
      <c r="J77" s="57" t="s">
        <v>354</v>
      </c>
      <c r="K77" s="57" t="s">
        <v>354</v>
      </c>
      <c r="L77" s="49">
        <v>0.0</v>
      </c>
      <c r="M77" s="57" t="s">
        <v>354</v>
      </c>
      <c r="N77" s="24" t="s">
        <v>43</v>
      </c>
      <c r="O77" s="24" t="s">
        <v>44</v>
      </c>
      <c r="P77" s="24" t="s">
        <v>45</v>
      </c>
      <c r="Q77" s="24" t="s">
        <v>42</v>
      </c>
      <c r="R77" s="24" t="s">
        <v>42</v>
      </c>
      <c r="S77" s="46"/>
      <c r="T77" s="46"/>
      <c r="U77" s="46"/>
      <c r="V77" s="46"/>
      <c r="W77" s="46"/>
      <c r="X77" s="46"/>
      <c r="Y77" s="46"/>
      <c r="Z77" s="46"/>
      <c r="AA77" s="46"/>
      <c r="AB77" s="49" t="s">
        <v>354</v>
      </c>
      <c r="AC77" s="46"/>
      <c r="AD77" s="46"/>
      <c r="AE77" s="46"/>
      <c r="AF77" s="49">
        <v>0.0</v>
      </c>
      <c r="AG77" s="49" t="s">
        <v>356</v>
      </c>
      <c r="AH77" s="46"/>
      <c r="AI77" s="49" t="s">
        <v>356</v>
      </c>
      <c r="AJ77" s="46"/>
      <c r="AK77" s="46"/>
      <c r="AL77" s="39" t="s">
        <v>357</v>
      </c>
      <c r="AM77" s="46" t="s">
        <v>356</v>
      </c>
      <c r="AN77" s="74" t="s">
        <v>361</v>
      </c>
    </row>
    <row r="78">
      <c r="A78" s="85" t="s">
        <v>42</v>
      </c>
      <c r="B78" s="18" t="s">
        <v>421</v>
      </c>
      <c r="C78" s="46" t="s">
        <v>41</v>
      </c>
      <c r="D78" s="47" t="s">
        <v>353</v>
      </c>
      <c r="E78" s="48" t="s">
        <v>7</v>
      </c>
      <c r="F78" s="46" t="s">
        <v>8</v>
      </c>
      <c r="G78" s="57" t="s">
        <v>354</v>
      </c>
      <c r="H78" s="49">
        <v>275.0</v>
      </c>
      <c r="I78" s="57" t="s">
        <v>354</v>
      </c>
      <c r="J78" s="57" t="s">
        <v>354</v>
      </c>
      <c r="K78" s="57" t="s">
        <v>354</v>
      </c>
      <c r="L78" s="49">
        <v>0.0</v>
      </c>
      <c r="M78" s="57" t="s">
        <v>354</v>
      </c>
      <c r="N78" s="24" t="s">
        <v>43</v>
      </c>
      <c r="O78" s="24" t="s">
        <v>44</v>
      </c>
      <c r="P78" s="24" t="s">
        <v>45</v>
      </c>
      <c r="Q78" s="24" t="s">
        <v>42</v>
      </c>
      <c r="R78" s="24" t="s">
        <v>42</v>
      </c>
      <c r="S78" s="24" t="s">
        <v>42</v>
      </c>
      <c r="T78" s="46"/>
      <c r="U78" s="46"/>
      <c r="V78" s="46"/>
      <c r="W78" s="46"/>
      <c r="X78" s="46"/>
      <c r="Y78" s="46"/>
      <c r="Z78" s="46"/>
      <c r="AA78" s="46"/>
      <c r="AB78" s="49" t="s">
        <v>354</v>
      </c>
      <c r="AC78" s="46"/>
      <c r="AD78" s="46"/>
      <c r="AE78" s="46"/>
      <c r="AF78" s="63">
        <v>0.0</v>
      </c>
      <c r="AG78" s="63" t="s">
        <v>354</v>
      </c>
      <c r="AH78" s="63"/>
      <c r="AI78" s="63" t="s">
        <v>354</v>
      </c>
      <c r="AJ78" s="46"/>
      <c r="AK78" s="46"/>
      <c r="AL78" s="46" t="s">
        <v>356</v>
      </c>
      <c r="AM78" s="46" t="s">
        <v>356</v>
      </c>
      <c r="AN78" s="46" t="s">
        <v>356</v>
      </c>
    </row>
    <row r="79">
      <c r="A79" s="85" t="s">
        <v>42</v>
      </c>
      <c r="B79" s="18" t="s">
        <v>421</v>
      </c>
      <c r="C79" s="46" t="s">
        <v>41</v>
      </c>
      <c r="D79" s="47" t="s">
        <v>353</v>
      </c>
      <c r="E79" s="48" t="s">
        <v>7</v>
      </c>
      <c r="F79" s="46" t="s">
        <v>8</v>
      </c>
      <c r="G79" s="57" t="s">
        <v>354</v>
      </c>
      <c r="H79" s="49">
        <v>225.0</v>
      </c>
      <c r="I79" s="57" t="s">
        <v>354</v>
      </c>
      <c r="J79" s="57" t="s">
        <v>354</v>
      </c>
      <c r="K79" s="57" t="s">
        <v>354</v>
      </c>
      <c r="L79" s="49">
        <v>0.0</v>
      </c>
      <c r="M79" s="57" t="s">
        <v>354</v>
      </c>
      <c r="N79" s="24" t="s">
        <v>43</v>
      </c>
      <c r="O79" s="24" t="s">
        <v>44</v>
      </c>
      <c r="P79" s="24" t="s">
        <v>45</v>
      </c>
      <c r="Q79" s="24" t="s">
        <v>42</v>
      </c>
      <c r="R79" s="24" t="s">
        <v>42</v>
      </c>
      <c r="S79" s="24" t="s">
        <v>42</v>
      </c>
      <c r="T79" s="24" t="s">
        <v>42</v>
      </c>
      <c r="U79" s="46"/>
      <c r="V79" s="46"/>
      <c r="W79" s="46"/>
      <c r="X79" s="46"/>
      <c r="Y79" s="46"/>
      <c r="Z79" s="46"/>
      <c r="AA79" s="46"/>
      <c r="AB79" s="49" t="s">
        <v>354</v>
      </c>
      <c r="AC79" s="46"/>
      <c r="AD79" s="46"/>
      <c r="AE79" s="46"/>
      <c r="AF79" s="63">
        <v>0.0</v>
      </c>
      <c r="AG79" s="63" t="s">
        <v>354</v>
      </c>
      <c r="AH79" s="63"/>
      <c r="AI79" s="63" t="s">
        <v>354</v>
      </c>
      <c r="AJ79" s="46"/>
      <c r="AK79" s="46"/>
      <c r="AL79" s="80" t="s">
        <v>356</v>
      </c>
      <c r="AM79" s="79" t="s">
        <v>361</v>
      </c>
      <c r="AN79" s="80" t="s">
        <v>356</v>
      </c>
    </row>
    <row r="80">
      <c r="A80" s="85" t="s">
        <v>42</v>
      </c>
      <c r="B80" s="18" t="s">
        <v>421</v>
      </c>
      <c r="C80" s="46" t="s">
        <v>41</v>
      </c>
      <c r="D80" s="47" t="s">
        <v>353</v>
      </c>
      <c r="E80" s="48" t="s">
        <v>7</v>
      </c>
      <c r="F80" s="46" t="s">
        <v>8</v>
      </c>
      <c r="G80" s="57" t="s">
        <v>354</v>
      </c>
      <c r="H80" s="49">
        <v>265.0</v>
      </c>
      <c r="I80" s="57" t="s">
        <v>354</v>
      </c>
      <c r="J80" s="57" t="s">
        <v>354</v>
      </c>
      <c r="K80" s="57" t="s">
        <v>354</v>
      </c>
      <c r="L80" s="49">
        <v>0.0</v>
      </c>
      <c r="M80" s="57" t="s">
        <v>354</v>
      </c>
      <c r="N80" s="24" t="s">
        <v>43</v>
      </c>
      <c r="O80" s="24" t="s">
        <v>44</v>
      </c>
      <c r="P80" s="24" t="s">
        <v>45</v>
      </c>
      <c r="Q80" s="24" t="s">
        <v>42</v>
      </c>
      <c r="R80" s="24" t="s">
        <v>42</v>
      </c>
      <c r="S80" s="24" t="s">
        <v>42</v>
      </c>
      <c r="T80" s="24" t="s">
        <v>42</v>
      </c>
      <c r="U80" s="24" t="s">
        <v>42</v>
      </c>
      <c r="V80" s="46"/>
      <c r="W80" s="46"/>
      <c r="X80" s="46"/>
      <c r="Y80" s="46"/>
      <c r="Z80" s="46"/>
      <c r="AA80" s="46"/>
      <c r="AB80" s="49" t="s">
        <v>354</v>
      </c>
      <c r="AC80" s="46"/>
      <c r="AD80" s="46"/>
      <c r="AE80" s="46"/>
      <c r="AF80" s="63">
        <v>0.0</v>
      </c>
      <c r="AG80" s="63" t="s">
        <v>354</v>
      </c>
      <c r="AH80" s="63"/>
      <c r="AI80" s="63" t="s">
        <v>354</v>
      </c>
      <c r="AJ80" s="46"/>
      <c r="AK80" s="46"/>
      <c r="AL80" s="80" t="s">
        <v>356</v>
      </c>
      <c r="AM80" s="80" t="s">
        <v>356</v>
      </c>
      <c r="AN80" s="80" t="s">
        <v>356</v>
      </c>
    </row>
    <row r="81">
      <c r="A81" s="85" t="s">
        <v>42</v>
      </c>
      <c r="B81" s="18" t="s">
        <v>421</v>
      </c>
      <c r="C81" s="46" t="s">
        <v>41</v>
      </c>
      <c r="D81" s="47" t="s">
        <v>353</v>
      </c>
      <c r="E81" s="48" t="s">
        <v>7</v>
      </c>
      <c r="F81" s="46" t="s">
        <v>8</v>
      </c>
      <c r="G81" s="57" t="s">
        <v>354</v>
      </c>
      <c r="H81" s="49">
        <v>265.0</v>
      </c>
      <c r="I81" s="57" t="s">
        <v>354</v>
      </c>
      <c r="J81" s="57" t="s">
        <v>354</v>
      </c>
      <c r="K81" s="57" t="s">
        <v>354</v>
      </c>
      <c r="L81" s="49">
        <v>0.0</v>
      </c>
      <c r="M81" s="57" t="s">
        <v>354</v>
      </c>
      <c r="N81" s="24" t="s">
        <v>43</v>
      </c>
      <c r="O81" s="24" t="s">
        <v>44</v>
      </c>
      <c r="P81" s="24" t="s">
        <v>45</v>
      </c>
      <c r="Q81" s="24" t="s">
        <v>42</v>
      </c>
      <c r="R81" s="24" t="s">
        <v>42</v>
      </c>
      <c r="S81" s="24" t="s">
        <v>42</v>
      </c>
      <c r="T81" s="24" t="s">
        <v>42</v>
      </c>
      <c r="U81" s="24" t="s">
        <v>42</v>
      </c>
      <c r="V81" s="24" t="s">
        <v>42</v>
      </c>
      <c r="W81" s="46"/>
      <c r="X81" s="46"/>
      <c r="Y81" s="46"/>
      <c r="Z81" s="46"/>
      <c r="AA81" s="46"/>
      <c r="AB81" s="49" t="s">
        <v>354</v>
      </c>
      <c r="AC81" s="46"/>
      <c r="AD81" s="46"/>
      <c r="AE81" s="46"/>
      <c r="AF81" s="63">
        <v>0.0</v>
      </c>
      <c r="AG81" s="63" t="s">
        <v>354</v>
      </c>
      <c r="AH81" s="63"/>
      <c r="AI81" s="63" t="s">
        <v>354</v>
      </c>
      <c r="AJ81" s="46"/>
      <c r="AK81" s="46"/>
      <c r="AL81" s="46" t="s">
        <v>356</v>
      </c>
      <c r="AM81" s="58" t="s">
        <v>380</v>
      </c>
      <c r="AN81" s="46" t="s">
        <v>356</v>
      </c>
    </row>
    <row r="82">
      <c r="A82" s="85" t="s">
        <v>42</v>
      </c>
      <c r="B82" s="18" t="s">
        <v>421</v>
      </c>
      <c r="C82" s="46" t="s">
        <v>41</v>
      </c>
      <c r="D82" s="47" t="s">
        <v>353</v>
      </c>
      <c r="E82" s="48" t="s">
        <v>7</v>
      </c>
      <c r="F82" s="46" t="s">
        <v>8</v>
      </c>
      <c r="G82" s="49">
        <v>122.0</v>
      </c>
      <c r="H82" s="49">
        <v>305.0</v>
      </c>
      <c r="I82" s="57" t="s">
        <v>354</v>
      </c>
      <c r="J82" s="57" t="s">
        <v>354</v>
      </c>
      <c r="K82" s="57" t="s">
        <v>354</v>
      </c>
      <c r="L82" s="49">
        <v>0.0</v>
      </c>
      <c r="M82" s="57" t="s">
        <v>354</v>
      </c>
      <c r="N82" s="24" t="s">
        <v>43</v>
      </c>
      <c r="O82" s="24" t="s">
        <v>44</v>
      </c>
      <c r="P82" s="24" t="s">
        <v>45</v>
      </c>
      <c r="Q82" s="24" t="s">
        <v>42</v>
      </c>
      <c r="R82" s="24" t="s">
        <v>42</v>
      </c>
      <c r="S82" s="24" t="s">
        <v>42</v>
      </c>
      <c r="T82" s="24" t="s">
        <v>42</v>
      </c>
      <c r="U82" s="24" t="s">
        <v>42</v>
      </c>
      <c r="V82" s="24" t="s">
        <v>42</v>
      </c>
      <c r="W82" s="18" t="s">
        <v>423</v>
      </c>
      <c r="X82" s="46"/>
      <c r="Y82" s="46"/>
      <c r="Z82" s="46"/>
      <c r="AA82" s="46"/>
      <c r="AB82" s="41" t="s">
        <v>371</v>
      </c>
      <c r="AC82" s="46"/>
      <c r="AD82" s="46"/>
      <c r="AE82" s="46"/>
      <c r="AF82" s="63">
        <v>0.0</v>
      </c>
      <c r="AG82" s="63" t="s">
        <v>354</v>
      </c>
      <c r="AH82" s="63"/>
      <c r="AI82" s="63" t="s">
        <v>354</v>
      </c>
      <c r="AJ82" s="46"/>
      <c r="AK82" s="46"/>
      <c r="AL82" s="80" t="s">
        <v>356</v>
      </c>
      <c r="AM82" s="80" t="s">
        <v>356</v>
      </c>
      <c r="AN82" s="80" t="s">
        <v>356</v>
      </c>
    </row>
    <row r="83">
      <c r="A83" s="85" t="s">
        <v>42</v>
      </c>
      <c r="B83" s="18" t="s">
        <v>421</v>
      </c>
      <c r="C83" s="46" t="s">
        <v>41</v>
      </c>
      <c r="D83" s="47" t="s">
        <v>353</v>
      </c>
      <c r="E83" s="48" t="s">
        <v>7</v>
      </c>
      <c r="F83" s="46" t="s">
        <v>8</v>
      </c>
      <c r="G83" s="57" t="s">
        <v>354</v>
      </c>
      <c r="H83" s="57" t="s">
        <v>354</v>
      </c>
      <c r="I83" s="57" t="s">
        <v>354</v>
      </c>
      <c r="J83" s="57" t="s">
        <v>354</v>
      </c>
      <c r="K83" s="57" t="s">
        <v>354</v>
      </c>
      <c r="L83" s="41">
        <v>0.0</v>
      </c>
      <c r="M83" s="41" t="s">
        <v>354</v>
      </c>
      <c r="N83" s="24" t="s">
        <v>43</v>
      </c>
      <c r="O83" s="24" t="s">
        <v>44</v>
      </c>
      <c r="P83" s="24" t="s">
        <v>45</v>
      </c>
      <c r="Q83" s="24" t="s">
        <v>42</v>
      </c>
      <c r="R83" s="24" t="s">
        <v>42</v>
      </c>
      <c r="S83" s="24" t="s">
        <v>42</v>
      </c>
      <c r="T83" s="24" t="s">
        <v>42</v>
      </c>
      <c r="U83" s="24" t="s">
        <v>42</v>
      </c>
      <c r="V83" s="24" t="s">
        <v>42</v>
      </c>
      <c r="W83" s="18" t="s">
        <v>423</v>
      </c>
      <c r="X83" s="18" t="s">
        <v>424</v>
      </c>
      <c r="Y83" s="49"/>
      <c r="Z83" s="49"/>
      <c r="AA83" s="46"/>
      <c r="AB83" s="41" t="s">
        <v>371</v>
      </c>
      <c r="AC83" s="46"/>
      <c r="AD83" s="46"/>
      <c r="AE83" s="46"/>
      <c r="AF83" s="63">
        <v>0.0</v>
      </c>
      <c r="AG83" s="63" t="s">
        <v>354</v>
      </c>
      <c r="AH83" s="63"/>
      <c r="AI83" s="63" t="s">
        <v>354</v>
      </c>
      <c r="AJ83" s="46"/>
      <c r="AK83" s="46"/>
      <c r="AL83" s="80" t="s">
        <v>356</v>
      </c>
      <c r="AM83" s="80" t="s">
        <v>356</v>
      </c>
      <c r="AN83" s="80" t="s">
        <v>356</v>
      </c>
    </row>
    <row r="84">
      <c r="A84" s="85" t="s">
        <v>42</v>
      </c>
      <c r="B84" s="18" t="s">
        <v>421</v>
      </c>
      <c r="C84" s="46" t="s">
        <v>41</v>
      </c>
      <c r="D84" s="47" t="s">
        <v>353</v>
      </c>
      <c r="E84" s="48" t="s">
        <v>7</v>
      </c>
      <c r="F84" s="46" t="s">
        <v>8</v>
      </c>
      <c r="G84" s="57" t="s">
        <v>354</v>
      </c>
      <c r="H84" s="57" t="s">
        <v>354</v>
      </c>
      <c r="I84" s="57" t="s">
        <v>354</v>
      </c>
      <c r="J84" s="57" t="s">
        <v>354</v>
      </c>
      <c r="K84" s="57" t="s">
        <v>354</v>
      </c>
      <c r="L84" s="41">
        <v>0.0</v>
      </c>
      <c r="M84" s="41" t="s">
        <v>354</v>
      </c>
      <c r="N84" s="24" t="s">
        <v>43</v>
      </c>
      <c r="O84" s="24" t="s">
        <v>44</v>
      </c>
      <c r="P84" s="24" t="s">
        <v>45</v>
      </c>
      <c r="Q84" s="24" t="s">
        <v>42</v>
      </c>
      <c r="R84" s="24" t="s">
        <v>42</v>
      </c>
      <c r="S84" s="24" t="s">
        <v>42</v>
      </c>
      <c r="T84" s="24" t="s">
        <v>42</v>
      </c>
      <c r="U84" s="24" t="s">
        <v>42</v>
      </c>
      <c r="V84" s="24" t="s">
        <v>42</v>
      </c>
      <c r="W84" s="18" t="s">
        <v>423</v>
      </c>
      <c r="X84" s="18" t="s">
        <v>424</v>
      </c>
      <c r="Y84" s="18" t="s">
        <v>42</v>
      </c>
      <c r="Z84" s="49"/>
      <c r="AA84" s="46"/>
      <c r="AB84" s="41" t="s">
        <v>371</v>
      </c>
      <c r="AC84" s="46"/>
      <c r="AD84" s="46"/>
      <c r="AE84" s="46"/>
      <c r="AF84" s="63">
        <v>0.0</v>
      </c>
      <c r="AG84" s="63" t="s">
        <v>354</v>
      </c>
      <c r="AH84" s="63"/>
      <c r="AI84" s="63" t="s">
        <v>354</v>
      </c>
      <c r="AJ84" s="49"/>
      <c r="AK84" s="49"/>
      <c r="AL84" s="93" t="s">
        <v>356</v>
      </c>
      <c r="AM84" s="79" t="s">
        <v>361</v>
      </c>
      <c r="AN84" s="93" t="s">
        <v>356</v>
      </c>
    </row>
    <row r="85">
      <c r="A85" s="85" t="s">
        <v>42</v>
      </c>
      <c r="B85" s="18" t="s">
        <v>421</v>
      </c>
      <c r="C85" s="46" t="s">
        <v>41</v>
      </c>
      <c r="D85" s="47" t="s">
        <v>353</v>
      </c>
      <c r="E85" s="48" t="s">
        <v>7</v>
      </c>
      <c r="F85" s="46" t="s">
        <v>8</v>
      </c>
      <c r="G85" s="57" t="s">
        <v>354</v>
      </c>
      <c r="H85" s="57" t="s">
        <v>354</v>
      </c>
      <c r="I85" s="57" t="s">
        <v>354</v>
      </c>
      <c r="J85" s="57" t="s">
        <v>354</v>
      </c>
      <c r="K85" s="57" t="s">
        <v>354</v>
      </c>
      <c r="L85" s="41">
        <v>0.0</v>
      </c>
      <c r="M85" s="41" t="s">
        <v>354</v>
      </c>
      <c r="N85" s="24" t="s">
        <v>43</v>
      </c>
      <c r="O85" s="24" t="s">
        <v>44</v>
      </c>
      <c r="P85" s="24" t="s">
        <v>45</v>
      </c>
      <c r="Q85" s="24" t="s">
        <v>42</v>
      </c>
      <c r="R85" s="24" t="s">
        <v>42</v>
      </c>
      <c r="S85" s="24" t="s">
        <v>42</v>
      </c>
      <c r="T85" s="24" t="s">
        <v>42</v>
      </c>
      <c r="U85" s="24" t="s">
        <v>42</v>
      </c>
      <c r="V85" s="24" t="s">
        <v>42</v>
      </c>
      <c r="W85" s="18" t="s">
        <v>423</v>
      </c>
      <c r="X85" s="18" t="s">
        <v>424</v>
      </c>
      <c r="Y85" s="18" t="s">
        <v>42</v>
      </c>
      <c r="Z85" s="18" t="s">
        <v>425</v>
      </c>
      <c r="AA85" s="46"/>
      <c r="AB85" s="41" t="s">
        <v>371</v>
      </c>
      <c r="AC85" s="46"/>
      <c r="AD85" s="46"/>
      <c r="AE85" s="46"/>
      <c r="AF85" s="49">
        <v>0.0</v>
      </c>
      <c r="AG85" s="49" t="s">
        <v>356</v>
      </c>
      <c r="AH85" s="46"/>
      <c r="AI85" s="49" t="s">
        <v>356</v>
      </c>
      <c r="AJ85" s="49" t="s">
        <v>356</v>
      </c>
      <c r="AK85" s="49" t="s">
        <v>356</v>
      </c>
      <c r="AL85" s="49" t="s">
        <v>356</v>
      </c>
      <c r="AM85" s="79" t="s">
        <v>361</v>
      </c>
      <c r="AN85" s="49" t="s">
        <v>356</v>
      </c>
    </row>
    <row r="86">
      <c r="A86" s="85" t="s">
        <v>42</v>
      </c>
      <c r="B86" s="18" t="s">
        <v>421</v>
      </c>
      <c r="C86" s="46" t="s">
        <v>41</v>
      </c>
      <c r="D86" s="47" t="s">
        <v>353</v>
      </c>
      <c r="E86" s="48" t="s">
        <v>7</v>
      </c>
      <c r="F86" s="46" t="s">
        <v>8</v>
      </c>
      <c r="G86" s="57" t="s">
        <v>354</v>
      </c>
      <c r="H86" s="57" t="s">
        <v>354</v>
      </c>
      <c r="I86" s="57" t="s">
        <v>354</v>
      </c>
      <c r="J86" s="57" t="s">
        <v>354</v>
      </c>
      <c r="K86" s="57" t="s">
        <v>354</v>
      </c>
      <c r="L86" s="41">
        <v>0.0</v>
      </c>
      <c r="M86" s="41" t="s">
        <v>354</v>
      </c>
      <c r="N86" s="24" t="s">
        <v>43</v>
      </c>
      <c r="O86" s="24" t="s">
        <v>44</v>
      </c>
      <c r="P86" s="24" t="s">
        <v>45</v>
      </c>
      <c r="Q86" s="24" t="s">
        <v>42</v>
      </c>
      <c r="R86" s="24" t="s">
        <v>42</v>
      </c>
      <c r="S86" s="24" t="s">
        <v>42</v>
      </c>
      <c r="T86" s="24" t="s">
        <v>42</v>
      </c>
      <c r="U86" s="24" t="s">
        <v>42</v>
      </c>
      <c r="V86" s="24" t="s">
        <v>42</v>
      </c>
      <c r="W86" s="18" t="s">
        <v>423</v>
      </c>
      <c r="X86" s="18" t="s">
        <v>424</v>
      </c>
      <c r="Y86" s="18" t="s">
        <v>42</v>
      </c>
      <c r="Z86" s="18" t="s">
        <v>425</v>
      </c>
      <c r="AA86" s="18" t="s">
        <v>42</v>
      </c>
      <c r="AB86" s="41" t="s">
        <v>371</v>
      </c>
      <c r="AC86" s="46"/>
      <c r="AD86" s="46"/>
      <c r="AE86" s="46"/>
      <c r="AF86" s="63">
        <v>0.0</v>
      </c>
      <c r="AG86" s="63" t="s">
        <v>354</v>
      </c>
      <c r="AH86" s="63"/>
      <c r="AI86" s="63" t="s">
        <v>354</v>
      </c>
      <c r="AJ86" s="46"/>
      <c r="AK86" s="46"/>
      <c r="AL86" s="80" t="s">
        <v>356</v>
      </c>
      <c r="AM86" s="80" t="s">
        <v>356</v>
      </c>
      <c r="AN86" s="94" t="s">
        <v>407</v>
      </c>
    </row>
    <row r="87">
      <c r="A87" s="95">
        <v>916.0</v>
      </c>
      <c r="B87" s="18">
        <v>1.0</v>
      </c>
      <c r="C87" s="19" t="s">
        <v>46</v>
      </c>
      <c r="D87" s="20" t="s">
        <v>353</v>
      </c>
      <c r="E87" s="21" t="s">
        <v>7</v>
      </c>
      <c r="F87" s="19" t="s">
        <v>8</v>
      </c>
      <c r="G87" s="23">
        <v>120.0</v>
      </c>
      <c r="H87" s="23">
        <v>240.0</v>
      </c>
      <c r="I87" s="23" t="s">
        <v>354</v>
      </c>
      <c r="J87" s="19">
        <v>23.0</v>
      </c>
      <c r="K87" s="23" t="s">
        <v>354</v>
      </c>
      <c r="L87" s="23">
        <v>0.0</v>
      </c>
      <c r="M87" s="23" t="s">
        <v>354</v>
      </c>
      <c r="N87" s="24" t="s">
        <v>47</v>
      </c>
      <c r="O87" s="44" t="s">
        <v>373</v>
      </c>
      <c r="P87" s="61" t="s">
        <v>373</v>
      </c>
      <c r="Q87" s="62" t="s">
        <v>381</v>
      </c>
      <c r="R87" s="62" t="s">
        <v>381</v>
      </c>
      <c r="S87" s="62" t="s">
        <v>381</v>
      </c>
      <c r="T87" s="62" t="s">
        <v>381</v>
      </c>
      <c r="U87" s="62" t="s">
        <v>381</v>
      </c>
      <c r="V87" s="62" t="s">
        <v>381</v>
      </c>
      <c r="W87" s="62" t="s">
        <v>381</v>
      </c>
      <c r="X87" s="62" t="s">
        <v>381</v>
      </c>
      <c r="Y87" s="62" t="s">
        <v>381</v>
      </c>
      <c r="Z87" s="62" t="s">
        <v>381</v>
      </c>
      <c r="AA87" s="62" t="s">
        <v>381</v>
      </c>
      <c r="AB87" s="62" t="s">
        <v>426</v>
      </c>
      <c r="AC87" s="19"/>
      <c r="AD87" s="19"/>
      <c r="AE87" s="19"/>
      <c r="AF87" s="96">
        <v>44.98</v>
      </c>
      <c r="AG87" s="70" t="s">
        <v>361</v>
      </c>
      <c r="AH87" s="19"/>
      <c r="AI87" s="70" t="s">
        <v>361</v>
      </c>
      <c r="AJ87" s="19"/>
      <c r="AK87" s="19"/>
      <c r="AL87" s="70" t="s">
        <v>361</v>
      </c>
      <c r="AM87" s="97" t="s">
        <v>356</v>
      </c>
      <c r="AN87" s="31" t="s">
        <v>356</v>
      </c>
    </row>
    <row r="88">
      <c r="A88" s="45" t="s">
        <v>49</v>
      </c>
      <c r="B88" s="98" t="s">
        <v>427</v>
      </c>
      <c r="C88" s="46" t="s">
        <v>48</v>
      </c>
      <c r="D88" s="47" t="s">
        <v>353</v>
      </c>
      <c r="E88" s="48" t="s">
        <v>7</v>
      </c>
      <c r="F88" s="46" t="s">
        <v>8</v>
      </c>
      <c r="G88" s="49">
        <v>127.0</v>
      </c>
      <c r="H88" s="49">
        <v>280.0</v>
      </c>
      <c r="I88" s="57" t="s">
        <v>354</v>
      </c>
      <c r="J88" s="57" t="s">
        <v>354</v>
      </c>
      <c r="K88" s="57" t="s">
        <v>354</v>
      </c>
      <c r="L88" s="49">
        <v>0.0</v>
      </c>
      <c r="M88" s="57" t="s">
        <v>354</v>
      </c>
      <c r="N88" s="24" t="s">
        <v>50</v>
      </c>
      <c r="O88" s="46"/>
      <c r="P88" s="46"/>
      <c r="Q88" s="46"/>
      <c r="R88" s="46"/>
      <c r="S88" s="46"/>
      <c r="T88" s="46"/>
      <c r="U88" s="46"/>
      <c r="V88" s="46"/>
      <c r="W88" s="46"/>
      <c r="X88" s="46"/>
      <c r="Y88" s="46"/>
      <c r="Z88" s="46"/>
      <c r="AA88" s="46"/>
      <c r="AB88" s="49" t="s">
        <v>428</v>
      </c>
      <c r="AC88" s="46"/>
      <c r="AD88" s="46"/>
      <c r="AE88" s="46"/>
      <c r="AF88" s="63">
        <v>0.0</v>
      </c>
      <c r="AG88" s="49" t="s">
        <v>356</v>
      </c>
      <c r="AH88" s="46"/>
      <c r="AI88" s="49" t="s">
        <v>356</v>
      </c>
      <c r="AJ88" s="46"/>
      <c r="AK88" s="46"/>
      <c r="AL88" s="53" t="s">
        <v>361</v>
      </c>
      <c r="AM88" s="53" t="s">
        <v>361</v>
      </c>
      <c r="AN88" s="54" t="s">
        <v>356</v>
      </c>
    </row>
    <row r="89">
      <c r="A89" s="45" t="s">
        <v>49</v>
      </c>
      <c r="B89" s="98" t="s">
        <v>427</v>
      </c>
      <c r="C89" s="46" t="s">
        <v>48</v>
      </c>
      <c r="D89" s="47" t="s">
        <v>353</v>
      </c>
      <c r="E89" s="48" t="s">
        <v>7</v>
      </c>
      <c r="F89" s="46" t="s">
        <v>8</v>
      </c>
      <c r="G89" s="49">
        <v>125.0</v>
      </c>
      <c r="H89" s="49">
        <v>210.0</v>
      </c>
      <c r="I89" s="57" t="s">
        <v>354</v>
      </c>
      <c r="J89" s="57" t="s">
        <v>354</v>
      </c>
      <c r="K89" s="57" t="s">
        <v>354</v>
      </c>
      <c r="L89" s="49">
        <v>0.0</v>
      </c>
      <c r="M89" s="57" t="s">
        <v>354</v>
      </c>
      <c r="N89" s="24" t="s">
        <v>50</v>
      </c>
      <c r="O89" s="24" t="s">
        <v>51</v>
      </c>
      <c r="P89" s="44" t="s">
        <v>373</v>
      </c>
      <c r="Q89" s="61" t="s">
        <v>373</v>
      </c>
      <c r="R89" s="62" t="s">
        <v>381</v>
      </c>
      <c r="S89" s="62" t="s">
        <v>381</v>
      </c>
      <c r="T89" s="62" t="s">
        <v>381</v>
      </c>
      <c r="U89" s="62" t="s">
        <v>381</v>
      </c>
      <c r="V89" s="62" t="s">
        <v>381</v>
      </c>
      <c r="W89" s="62" t="s">
        <v>381</v>
      </c>
      <c r="X89" s="62" t="s">
        <v>381</v>
      </c>
      <c r="Y89" s="62" t="s">
        <v>381</v>
      </c>
      <c r="Z89" s="62" t="s">
        <v>381</v>
      </c>
      <c r="AA89" s="62" t="s">
        <v>381</v>
      </c>
      <c r="AB89" s="62" t="s">
        <v>429</v>
      </c>
      <c r="AC89" s="46">
        <v>36286.0</v>
      </c>
      <c r="AD89" s="46" t="s">
        <v>430</v>
      </c>
      <c r="AE89" s="46" t="s">
        <v>431</v>
      </c>
      <c r="AF89" s="63">
        <v>0.0</v>
      </c>
      <c r="AG89" s="49" t="s">
        <v>356</v>
      </c>
      <c r="AH89" s="46"/>
      <c r="AI89" s="49" t="s">
        <v>356</v>
      </c>
      <c r="AJ89" s="46"/>
      <c r="AK89" s="46"/>
      <c r="AL89" s="54" t="s">
        <v>356</v>
      </c>
      <c r="AM89" s="54" t="s">
        <v>356</v>
      </c>
      <c r="AN89" s="54" t="s">
        <v>356</v>
      </c>
    </row>
    <row r="90">
      <c r="A90" s="17" t="s">
        <v>54</v>
      </c>
      <c r="B90" s="98" t="s">
        <v>432</v>
      </c>
      <c r="C90" s="19" t="s">
        <v>53</v>
      </c>
      <c r="D90" s="20" t="s">
        <v>353</v>
      </c>
      <c r="E90" s="21" t="s">
        <v>7</v>
      </c>
      <c r="F90" s="19" t="s">
        <v>8</v>
      </c>
      <c r="G90" s="23">
        <v>119.0</v>
      </c>
      <c r="H90" s="23">
        <v>260.0</v>
      </c>
      <c r="I90" s="22" t="s">
        <v>354</v>
      </c>
      <c r="J90" s="22" t="s">
        <v>354</v>
      </c>
      <c r="K90" s="22" t="s">
        <v>354</v>
      </c>
      <c r="L90" s="22">
        <v>0.0</v>
      </c>
      <c r="M90" s="22" t="s">
        <v>354</v>
      </c>
      <c r="N90" s="24" t="s">
        <v>55</v>
      </c>
      <c r="O90" s="19"/>
      <c r="P90" s="19"/>
      <c r="Q90" s="19"/>
      <c r="R90" s="19"/>
      <c r="S90" s="19"/>
      <c r="T90" s="19"/>
      <c r="U90" s="19"/>
      <c r="V90" s="19"/>
      <c r="W90" s="19"/>
      <c r="X90" s="19"/>
      <c r="Y90" s="19"/>
      <c r="Z90" s="19"/>
      <c r="AA90" s="19"/>
      <c r="AB90" s="22" t="s">
        <v>354</v>
      </c>
      <c r="AC90" s="19">
        <v>36271.0</v>
      </c>
      <c r="AD90" s="19"/>
      <c r="AE90" s="19"/>
      <c r="AF90" s="25">
        <v>39.89</v>
      </c>
      <c r="AG90" s="23" t="s">
        <v>356</v>
      </c>
      <c r="AH90" s="19"/>
      <c r="AI90" s="23" t="s">
        <v>356</v>
      </c>
      <c r="AJ90" s="19"/>
      <c r="AK90" s="19"/>
      <c r="AL90" s="31" t="s">
        <v>356</v>
      </c>
      <c r="AM90" s="32" t="s">
        <v>361</v>
      </c>
      <c r="AN90" s="99" t="s">
        <v>363</v>
      </c>
    </row>
    <row r="91">
      <c r="A91" s="17" t="s">
        <v>54</v>
      </c>
      <c r="B91" s="98" t="s">
        <v>432</v>
      </c>
      <c r="C91" s="19" t="s">
        <v>53</v>
      </c>
      <c r="D91" s="20" t="s">
        <v>353</v>
      </c>
      <c r="E91" s="21" t="s">
        <v>7</v>
      </c>
      <c r="F91" s="19" t="s">
        <v>8</v>
      </c>
      <c r="G91" s="23">
        <v>118.0</v>
      </c>
      <c r="H91" s="23">
        <v>195.0</v>
      </c>
      <c r="I91" s="22" t="s">
        <v>354</v>
      </c>
      <c r="J91" s="22" t="s">
        <v>354</v>
      </c>
      <c r="K91" s="22" t="s">
        <v>354</v>
      </c>
      <c r="L91" s="22">
        <v>0.0</v>
      </c>
      <c r="M91" s="22" t="s">
        <v>354</v>
      </c>
      <c r="N91" s="24" t="s">
        <v>55</v>
      </c>
      <c r="O91" s="24" t="s">
        <v>56</v>
      </c>
      <c r="P91" s="19"/>
      <c r="Q91" s="19"/>
      <c r="R91" s="19"/>
      <c r="S91" s="19"/>
      <c r="T91" s="19"/>
      <c r="U91" s="19"/>
      <c r="V91" s="19"/>
      <c r="W91" s="19"/>
      <c r="X91" s="19"/>
      <c r="Y91" s="19"/>
      <c r="Z91" s="19"/>
      <c r="AA91" s="19"/>
      <c r="AB91" s="22" t="s">
        <v>354</v>
      </c>
      <c r="AC91" s="19">
        <v>36279.0</v>
      </c>
      <c r="AD91" s="19"/>
      <c r="AE91" s="19"/>
      <c r="AF91" s="30">
        <v>44.96</v>
      </c>
      <c r="AG91" s="36" t="s">
        <v>365</v>
      </c>
      <c r="AH91" s="23" t="s">
        <v>433</v>
      </c>
      <c r="AI91" s="35" t="s">
        <v>363</v>
      </c>
      <c r="AJ91" s="19"/>
      <c r="AK91" s="19"/>
      <c r="AL91" s="31" t="s">
        <v>356</v>
      </c>
      <c r="AM91" s="32" t="s">
        <v>361</v>
      </c>
      <c r="AN91" s="35" t="s">
        <v>363</v>
      </c>
    </row>
    <row r="92">
      <c r="A92" s="17" t="s">
        <v>54</v>
      </c>
      <c r="B92" s="98" t="s">
        <v>432</v>
      </c>
      <c r="C92" s="19" t="s">
        <v>53</v>
      </c>
      <c r="D92" s="20" t="s">
        <v>353</v>
      </c>
      <c r="E92" s="21" t="s">
        <v>7</v>
      </c>
      <c r="F92" s="19" t="s">
        <v>8</v>
      </c>
      <c r="G92" s="23">
        <v>118.0</v>
      </c>
      <c r="H92" s="23">
        <v>150.0</v>
      </c>
      <c r="I92" s="22" t="s">
        <v>354</v>
      </c>
      <c r="J92" s="22" t="s">
        <v>354</v>
      </c>
      <c r="K92" s="22" t="s">
        <v>354</v>
      </c>
      <c r="L92" s="22">
        <v>0.0</v>
      </c>
      <c r="M92" s="22" t="s">
        <v>354</v>
      </c>
      <c r="N92" s="24" t="s">
        <v>55</v>
      </c>
      <c r="O92" s="24" t="s">
        <v>56</v>
      </c>
      <c r="P92" s="24" t="s">
        <v>57</v>
      </c>
      <c r="Q92" s="62" t="s">
        <v>409</v>
      </c>
      <c r="R92" s="62" t="s">
        <v>409</v>
      </c>
      <c r="S92" s="62" t="s">
        <v>409</v>
      </c>
      <c r="T92" s="62" t="s">
        <v>409</v>
      </c>
      <c r="U92" s="62" t="s">
        <v>409</v>
      </c>
      <c r="V92" s="62" t="s">
        <v>409</v>
      </c>
      <c r="W92" s="62" t="s">
        <v>409</v>
      </c>
      <c r="X92" s="62" t="s">
        <v>409</v>
      </c>
      <c r="Y92" s="62" t="s">
        <v>409</v>
      </c>
      <c r="Z92" s="62" t="s">
        <v>409</v>
      </c>
      <c r="AA92" s="62" t="s">
        <v>409</v>
      </c>
      <c r="AB92" s="100" t="s">
        <v>434</v>
      </c>
      <c r="AC92" s="19">
        <v>36310.0</v>
      </c>
      <c r="AD92" s="19"/>
      <c r="AE92" s="19"/>
      <c r="AF92" s="33">
        <v>0.0</v>
      </c>
      <c r="AG92" s="23" t="s">
        <v>356</v>
      </c>
      <c r="AH92" s="19"/>
      <c r="AI92" s="23" t="s">
        <v>356</v>
      </c>
      <c r="AJ92" s="19"/>
      <c r="AK92" s="19"/>
      <c r="AL92" s="99" t="s">
        <v>363</v>
      </c>
      <c r="AM92" s="99" t="s">
        <v>363</v>
      </c>
      <c r="AN92" s="35" t="s">
        <v>363</v>
      </c>
    </row>
    <row r="93">
      <c r="A93" s="85" t="s">
        <v>435</v>
      </c>
      <c r="B93" s="18" t="s">
        <v>17</v>
      </c>
      <c r="C93" s="46" t="s">
        <v>58</v>
      </c>
      <c r="D93" s="47" t="s">
        <v>353</v>
      </c>
      <c r="E93" s="48" t="s">
        <v>7</v>
      </c>
      <c r="F93" s="46" t="s">
        <v>8</v>
      </c>
      <c r="G93" s="49">
        <v>116.0</v>
      </c>
      <c r="H93" s="49">
        <v>290.0</v>
      </c>
      <c r="I93" s="49" t="s">
        <v>354</v>
      </c>
      <c r="J93" s="46">
        <v>33.0</v>
      </c>
      <c r="K93" s="49" t="s">
        <v>354</v>
      </c>
      <c r="L93" s="49">
        <v>0.0</v>
      </c>
      <c r="M93" s="49" t="s">
        <v>354</v>
      </c>
      <c r="N93" s="24" t="s">
        <v>59</v>
      </c>
      <c r="O93" s="44" t="s">
        <v>373</v>
      </c>
      <c r="P93" s="61" t="s">
        <v>373</v>
      </c>
      <c r="Q93" s="62" t="s">
        <v>381</v>
      </c>
      <c r="R93" s="62" t="s">
        <v>381</v>
      </c>
      <c r="S93" s="62" t="s">
        <v>381</v>
      </c>
      <c r="T93" s="62" t="s">
        <v>381</v>
      </c>
      <c r="U93" s="62" t="s">
        <v>381</v>
      </c>
      <c r="V93" s="62" t="s">
        <v>381</v>
      </c>
      <c r="W93" s="62" t="s">
        <v>381</v>
      </c>
      <c r="X93" s="62" t="s">
        <v>381</v>
      </c>
      <c r="Y93" s="62" t="s">
        <v>381</v>
      </c>
      <c r="Z93" s="62" t="s">
        <v>381</v>
      </c>
      <c r="AA93" s="62" t="s">
        <v>381</v>
      </c>
      <c r="AB93" s="62" t="s">
        <v>436</v>
      </c>
      <c r="AC93" s="46"/>
      <c r="AD93" s="46"/>
      <c r="AE93" s="46"/>
      <c r="AF93" s="49">
        <v>0.0</v>
      </c>
      <c r="AG93" s="49" t="s">
        <v>356</v>
      </c>
      <c r="AH93" s="46"/>
      <c r="AI93" s="46"/>
      <c r="AJ93" s="46"/>
      <c r="AK93" s="46"/>
      <c r="AL93" s="49" t="s">
        <v>356</v>
      </c>
      <c r="AM93" s="50" t="s">
        <v>361</v>
      </c>
      <c r="AN93" s="35" t="s">
        <v>363</v>
      </c>
    </row>
    <row r="94">
      <c r="A94" s="95" t="s">
        <v>437</v>
      </c>
      <c r="B94" s="18" t="s">
        <v>438</v>
      </c>
      <c r="C94" s="19" t="s">
        <v>60</v>
      </c>
      <c r="D94" s="20" t="s">
        <v>439</v>
      </c>
      <c r="E94" s="33" t="s">
        <v>37</v>
      </c>
      <c r="F94" s="19" t="s">
        <v>8</v>
      </c>
      <c r="G94" s="23">
        <v>109.0</v>
      </c>
      <c r="H94" s="23">
        <v>180.0</v>
      </c>
      <c r="I94" s="23" t="s">
        <v>354</v>
      </c>
      <c r="J94" s="22" t="s">
        <v>354</v>
      </c>
      <c r="K94" s="23" t="s">
        <v>354</v>
      </c>
      <c r="L94" s="23">
        <v>0.0</v>
      </c>
      <c r="M94" s="23" t="s">
        <v>354</v>
      </c>
      <c r="N94" s="101" t="s">
        <v>17</v>
      </c>
      <c r="O94" s="24" t="s">
        <v>63</v>
      </c>
      <c r="P94" s="19"/>
      <c r="Q94" s="19"/>
      <c r="R94" s="19"/>
      <c r="S94" s="19"/>
      <c r="T94" s="19"/>
      <c r="U94" s="19"/>
      <c r="V94" s="19"/>
      <c r="W94" s="19"/>
      <c r="X94" s="19"/>
      <c r="Y94" s="19"/>
      <c r="Z94" s="19"/>
      <c r="AA94" s="19"/>
      <c r="AB94" s="23" t="s">
        <v>440</v>
      </c>
      <c r="AC94" s="19">
        <v>36291.0</v>
      </c>
      <c r="AD94" s="19"/>
      <c r="AE94" s="19"/>
      <c r="AF94" s="66">
        <v>36.455</v>
      </c>
      <c r="AG94" s="36" t="s">
        <v>365</v>
      </c>
      <c r="AH94" s="23" t="s">
        <v>291</v>
      </c>
      <c r="AI94" s="87" t="s">
        <v>413</v>
      </c>
      <c r="AJ94" s="19"/>
      <c r="AK94" s="19"/>
      <c r="AL94" s="23" t="s">
        <v>356</v>
      </c>
      <c r="AM94" s="87" t="s">
        <v>413</v>
      </c>
      <c r="AN94" s="23" t="s">
        <v>356</v>
      </c>
    </row>
    <row r="95">
      <c r="A95" s="95" t="s">
        <v>437</v>
      </c>
      <c r="B95" s="18" t="s">
        <v>438</v>
      </c>
      <c r="C95" s="19" t="s">
        <v>60</v>
      </c>
      <c r="D95" s="20" t="s">
        <v>439</v>
      </c>
      <c r="E95" s="33" t="s">
        <v>37</v>
      </c>
      <c r="F95" s="19" t="s">
        <v>8</v>
      </c>
      <c r="G95" s="23">
        <v>111.0</v>
      </c>
      <c r="H95" s="23">
        <v>185.0</v>
      </c>
      <c r="I95" s="23" t="s">
        <v>354</v>
      </c>
      <c r="J95" s="22" t="s">
        <v>354</v>
      </c>
      <c r="K95" s="22" t="s">
        <v>354</v>
      </c>
      <c r="L95" s="22">
        <v>0.0</v>
      </c>
      <c r="M95" s="22" t="s">
        <v>354</v>
      </c>
      <c r="N95" s="101" t="s">
        <v>17</v>
      </c>
      <c r="O95" s="24" t="s">
        <v>63</v>
      </c>
      <c r="P95" s="24" t="s">
        <v>64</v>
      </c>
      <c r="Q95" s="19"/>
      <c r="R95" s="19"/>
      <c r="S95" s="19"/>
      <c r="T95" s="19"/>
      <c r="U95" s="19"/>
      <c r="V95" s="19"/>
      <c r="W95" s="19"/>
      <c r="X95" s="19"/>
      <c r="Y95" s="19"/>
      <c r="Z95" s="19"/>
      <c r="AA95" s="19"/>
      <c r="AB95" s="23" t="s">
        <v>440</v>
      </c>
      <c r="AC95" s="19">
        <v>36308.0</v>
      </c>
      <c r="AD95" s="19"/>
      <c r="AE95" s="19"/>
      <c r="AF95" s="66">
        <v>39.29</v>
      </c>
      <c r="AG95" s="36" t="s">
        <v>365</v>
      </c>
      <c r="AH95" s="23" t="s">
        <v>366</v>
      </c>
      <c r="AI95" s="26" t="s">
        <v>357</v>
      </c>
      <c r="AJ95" s="19"/>
      <c r="AK95" s="19"/>
      <c r="AL95" s="73" t="s">
        <v>357</v>
      </c>
      <c r="AM95" s="73" t="s">
        <v>357</v>
      </c>
      <c r="AN95" s="73" t="s">
        <v>357</v>
      </c>
    </row>
    <row r="96">
      <c r="A96" s="95" t="s">
        <v>437</v>
      </c>
      <c r="B96" s="18" t="s">
        <v>438</v>
      </c>
      <c r="C96" s="19" t="s">
        <v>60</v>
      </c>
      <c r="D96" s="20" t="s">
        <v>439</v>
      </c>
      <c r="E96" s="33" t="s">
        <v>37</v>
      </c>
      <c r="F96" s="19" t="s">
        <v>8</v>
      </c>
      <c r="G96" s="23">
        <v>106.0</v>
      </c>
      <c r="H96" s="23">
        <v>170.0</v>
      </c>
      <c r="I96" s="23" t="s">
        <v>354</v>
      </c>
      <c r="J96" s="22" t="s">
        <v>354</v>
      </c>
      <c r="K96" s="22" t="s">
        <v>354</v>
      </c>
      <c r="L96" s="22">
        <v>0.0</v>
      </c>
      <c r="M96" s="22" t="s">
        <v>354</v>
      </c>
      <c r="N96" s="101" t="s">
        <v>17</v>
      </c>
      <c r="O96" s="24" t="s">
        <v>63</v>
      </c>
      <c r="P96" s="24" t="s">
        <v>64</v>
      </c>
      <c r="Q96" s="24" t="s">
        <v>61</v>
      </c>
      <c r="R96" s="19"/>
      <c r="S96" s="19"/>
      <c r="T96" s="19"/>
      <c r="U96" s="19"/>
      <c r="V96" s="19"/>
      <c r="W96" s="19"/>
      <c r="X96" s="19"/>
      <c r="Y96" s="19"/>
      <c r="Z96" s="19"/>
      <c r="AA96" s="19"/>
      <c r="AB96" s="22" t="s">
        <v>354</v>
      </c>
      <c r="AC96" s="19">
        <v>36594.0</v>
      </c>
      <c r="AD96" s="19"/>
      <c r="AE96" s="19"/>
      <c r="AF96" s="66">
        <v>28.16</v>
      </c>
      <c r="AG96" s="36" t="s">
        <v>365</v>
      </c>
      <c r="AH96" s="23" t="s">
        <v>366</v>
      </c>
      <c r="AI96" s="26" t="s">
        <v>357</v>
      </c>
      <c r="AJ96" s="19"/>
      <c r="AK96" s="19"/>
      <c r="AL96" s="59" t="s">
        <v>357</v>
      </c>
      <c r="AM96" s="38" t="s">
        <v>357</v>
      </c>
      <c r="AN96" s="59" t="s">
        <v>357</v>
      </c>
    </row>
    <row r="97">
      <c r="A97" s="95" t="s">
        <v>437</v>
      </c>
      <c r="B97" s="18" t="s">
        <v>438</v>
      </c>
      <c r="C97" s="19" t="s">
        <v>60</v>
      </c>
      <c r="D97" s="20" t="s">
        <v>439</v>
      </c>
      <c r="E97" s="33" t="s">
        <v>37</v>
      </c>
      <c r="F97" s="19" t="s">
        <v>8</v>
      </c>
      <c r="G97" s="23">
        <v>115.0</v>
      </c>
      <c r="H97" s="23">
        <v>195.0</v>
      </c>
      <c r="I97" s="23" t="s">
        <v>354</v>
      </c>
      <c r="J97" s="22" t="s">
        <v>354</v>
      </c>
      <c r="K97" s="22" t="s">
        <v>354</v>
      </c>
      <c r="L97" s="22">
        <v>0.0</v>
      </c>
      <c r="M97" s="22" t="s">
        <v>354</v>
      </c>
      <c r="N97" s="101" t="s">
        <v>17</v>
      </c>
      <c r="O97" s="24" t="s">
        <v>63</v>
      </c>
      <c r="P97" s="24" t="s">
        <v>64</v>
      </c>
      <c r="Q97" s="24" t="s">
        <v>61</v>
      </c>
      <c r="R97" s="24" t="s">
        <v>61</v>
      </c>
      <c r="S97" s="19"/>
      <c r="T97" s="19"/>
      <c r="U97" s="19"/>
      <c r="V97" s="19"/>
      <c r="W97" s="19"/>
      <c r="X97" s="19"/>
      <c r="Y97" s="19"/>
      <c r="Z97" s="19"/>
      <c r="AA97" s="19"/>
      <c r="AB97" s="23" t="s">
        <v>441</v>
      </c>
      <c r="AC97" s="19"/>
      <c r="AD97" s="19"/>
      <c r="AE97" s="19"/>
      <c r="AF97" s="66">
        <v>31.51</v>
      </c>
      <c r="AG97" s="36" t="s">
        <v>365</v>
      </c>
      <c r="AH97" s="23" t="s">
        <v>366</v>
      </c>
      <c r="AI97" s="26" t="s">
        <v>357</v>
      </c>
      <c r="AJ97" s="19"/>
      <c r="AK97" s="19"/>
      <c r="AL97" s="102" t="s">
        <v>357</v>
      </c>
      <c r="AM97" s="102" t="s">
        <v>357</v>
      </c>
      <c r="AN97" s="102" t="s">
        <v>357</v>
      </c>
    </row>
    <row r="98">
      <c r="A98" s="95" t="s">
        <v>437</v>
      </c>
      <c r="B98" s="18" t="s">
        <v>438</v>
      </c>
      <c r="C98" s="19" t="s">
        <v>60</v>
      </c>
      <c r="D98" s="20" t="s">
        <v>439</v>
      </c>
      <c r="E98" s="33" t="s">
        <v>37</v>
      </c>
      <c r="F98" s="19" t="s">
        <v>8</v>
      </c>
      <c r="G98" s="23">
        <v>117.0</v>
      </c>
      <c r="H98" s="23">
        <v>210.0</v>
      </c>
      <c r="I98" s="23" t="s">
        <v>354</v>
      </c>
      <c r="J98" s="22" t="s">
        <v>354</v>
      </c>
      <c r="K98" s="22" t="s">
        <v>354</v>
      </c>
      <c r="L98" s="22">
        <v>0.0</v>
      </c>
      <c r="M98" s="22" t="s">
        <v>354</v>
      </c>
      <c r="N98" s="101" t="s">
        <v>17</v>
      </c>
      <c r="O98" s="24" t="s">
        <v>63</v>
      </c>
      <c r="P98" s="24" t="s">
        <v>64</v>
      </c>
      <c r="Q98" s="24" t="s">
        <v>61</v>
      </c>
      <c r="R98" s="24" t="s">
        <v>61</v>
      </c>
      <c r="S98" s="24" t="s">
        <v>61</v>
      </c>
      <c r="T98" s="19"/>
      <c r="U98" s="19"/>
      <c r="V98" s="19"/>
      <c r="W98" s="19"/>
      <c r="X98" s="19"/>
      <c r="Y98" s="19"/>
      <c r="Z98" s="19"/>
      <c r="AA98" s="19"/>
      <c r="AB98" s="23" t="s">
        <v>442</v>
      </c>
      <c r="AC98" s="19"/>
      <c r="AD98" s="19"/>
      <c r="AE98" s="19"/>
      <c r="AF98" s="33">
        <v>0.0</v>
      </c>
      <c r="AG98" s="33" t="s">
        <v>354</v>
      </c>
      <c r="AH98" s="33" t="s">
        <v>354</v>
      </c>
      <c r="AI98" s="33" t="s">
        <v>354</v>
      </c>
      <c r="AJ98" s="19"/>
      <c r="AK98" s="19"/>
      <c r="AL98" s="40" t="s">
        <v>357</v>
      </c>
      <c r="AM98" s="40" t="s">
        <v>357</v>
      </c>
      <c r="AN98" s="40" t="s">
        <v>357</v>
      </c>
    </row>
    <row r="99">
      <c r="A99" s="95" t="s">
        <v>437</v>
      </c>
      <c r="B99" s="18" t="s">
        <v>438</v>
      </c>
      <c r="C99" s="19" t="s">
        <v>60</v>
      </c>
      <c r="D99" s="20" t="s">
        <v>439</v>
      </c>
      <c r="E99" s="33" t="s">
        <v>37</v>
      </c>
      <c r="F99" s="19" t="s">
        <v>8</v>
      </c>
      <c r="G99" s="23">
        <v>121.0</v>
      </c>
      <c r="H99" s="23">
        <v>215.0</v>
      </c>
      <c r="I99" s="23" t="s">
        <v>354</v>
      </c>
      <c r="J99" s="22" t="s">
        <v>354</v>
      </c>
      <c r="K99" s="22" t="s">
        <v>354</v>
      </c>
      <c r="L99" s="22">
        <v>0.0</v>
      </c>
      <c r="M99" s="22" t="s">
        <v>354</v>
      </c>
      <c r="N99" s="101" t="s">
        <v>17</v>
      </c>
      <c r="O99" s="24" t="s">
        <v>63</v>
      </c>
      <c r="P99" s="24" t="s">
        <v>64</v>
      </c>
      <c r="Q99" s="24" t="s">
        <v>61</v>
      </c>
      <c r="R99" s="24" t="s">
        <v>61</v>
      </c>
      <c r="S99" s="24" t="s">
        <v>61</v>
      </c>
      <c r="T99" s="24" t="s">
        <v>61</v>
      </c>
      <c r="U99" s="19"/>
      <c r="V99" s="19"/>
      <c r="W99" s="19"/>
      <c r="X99" s="19"/>
      <c r="Y99" s="19"/>
      <c r="Z99" s="19"/>
      <c r="AA99" s="19"/>
      <c r="AB99" s="23" t="s">
        <v>443</v>
      </c>
      <c r="AC99" s="19"/>
      <c r="AD99" s="19"/>
      <c r="AE99" s="19"/>
      <c r="AF99" s="36">
        <v>31.36</v>
      </c>
      <c r="AG99" s="33" t="s">
        <v>354</v>
      </c>
      <c r="AH99" s="33"/>
      <c r="AI99" s="33" t="s">
        <v>354</v>
      </c>
      <c r="AJ99" s="19"/>
      <c r="AK99" s="19"/>
      <c r="AL99" s="40" t="s">
        <v>357</v>
      </c>
      <c r="AM99" s="40" t="s">
        <v>357</v>
      </c>
      <c r="AN99" s="40" t="s">
        <v>357</v>
      </c>
    </row>
    <row r="100">
      <c r="A100" s="95" t="s">
        <v>437</v>
      </c>
      <c r="B100" s="18" t="s">
        <v>438</v>
      </c>
      <c r="C100" s="19" t="s">
        <v>60</v>
      </c>
      <c r="D100" s="20" t="s">
        <v>439</v>
      </c>
      <c r="E100" s="33" t="s">
        <v>37</v>
      </c>
      <c r="F100" s="19" t="s">
        <v>8</v>
      </c>
      <c r="G100" s="23" t="s">
        <v>354</v>
      </c>
      <c r="H100" s="23">
        <v>230.0</v>
      </c>
      <c r="I100" s="23" t="s">
        <v>354</v>
      </c>
      <c r="J100" s="22" t="s">
        <v>354</v>
      </c>
      <c r="K100" s="22" t="s">
        <v>354</v>
      </c>
      <c r="L100" s="22">
        <v>0.0</v>
      </c>
      <c r="M100" s="22" t="s">
        <v>354</v>
      </c>
      <c r="N100" s="101" t="s">
        <v>17</v>
      </c>
      <c r="O100" s="24" t="s">
        <v>63</v>
      </c>
      <c r="P100" s="24" t="s">
        <v>64</v>
      </c>
      <c r="Q100" s="24" t="s">
        <v>61</v>
      </c>
      <c r="R100" s="24" t="s">
        <v>61</v>
      </c>
      <c r="S100" s="24" t="s">
        <v>61</v>
      </c>
      <c r="T100" s="24" t="s">
        <v>61</v>
      </c>
      <c r="U100" s="24" t="s">
        <v>61</v>
      </c>
      <c r="V100" s="44" t="s">
        <v>373</v>
      </c>
      <c r="W100" s="23"/>
      <c r="X100" s="23"/>
      <c r="Y100" s="23"/>
      <c r="Z100" s="23"/>
      <c r="AA100" s="19"/>
      <c r="AB100" s="23" t="s">
        <v>444</v>
      </c>
      <c r="AC100" s="19"/>
      <c r="AD100" s="19"/>
      <c r="AE100" s="19"/>
      <c r="AF100" s="36">
        <v>31.93</v>
      </c>
      <c r="AG100" s="33" t="s">
        <v>354</v>
      </c>
      <c r="AH100" s="33"/>
      <c r="AI100" s="33" t="s">
        <v>354</v>
      </c>
      <c r="AJ100" s="19"/>
      <c r="AK100" s="19"/>
      <c r="AL100" s="40" t="s">
        <v>357</v>
      </c>
      <c r="AM100" s="40" t="s">
        <v>357</v>
      </c>
      <c r="AN100" s="40" t="s">
        <v>357</v>
      </c>
    </row>
    <row r="101">
      <c r="A101" s="95" t="s">
        <v>437</v>
      </c>
      <c r="B101" s="18" t="s">
        <v>438</v>
      </c>
      <c r="C101" s="19" t="s">
        <v>60</v>
      </c>
      <c r="D101" s="20" t="s">
        <v>439</v>
      </c>
      <c r="E101" s="33" t="s">
        <v>37</v>
      </c>
      <c r="F101" s="19" t="s">
        <v>8</v>
      </c>
      <c r="G101" s="23">
        <v>122.0</v>
      </c>
      <c r="H101" s="23">
        <v>275.0</v>
      </c>
      <c r="I101" s="23" t="s">
        <v>354</v>
      </c>
      <c r="J101" s="22" t="s">
        <v>354</v>
      </c>
      <c r="K101" s="22" t="s">
        <v>354</v>
      </c>
      <c r="L101" s="23">
        <v>0.0</v>
      </c>
      <c r="M101" s="23" t="s">
        <v>354</v>
      </c>
      <c r="N101" s="101" t="s">
        <v>17</v>
      </c>
      <c r="O101" s="24" t="s">
        <v>63</v>
      </c>
      <c r="P101" s="24" t="s">
        <v>64</v>
      </c>
      <c r="Q101" s="24" t="s">
        <v>61</v>
      </c>
      <c r="R101" s="24" t="s">
        <v>61</v>
      </c>
      <c r="S101" s="24" t="s">
        <v>61</v>
      </c>
      <c r="T101" s="24" t="s">
        <v>61</v>
      </c>
      <c r="U101" s="24" t="s">
        <v>61</v>
      </c>
      <c r="V101" s="44" t="s">
        <v>373</v>
      </c>
      <c r="W101" s="18" t="s">
        <v>445</v>
      </c>
      <c r="X101" s="23"/>
      <c r="Y101" s="23"/>
      <c r="Z101" s="23"/>
      <c r="AA101" s="19"/>
      <c r="AB101" s="61" t="s">
        <v>446</v>
      </c>
      <c r="AC101" s="19"/>
      <c r="AD101" s="19"/>
      <c r="AE101" s="19"/>
      <c r="AF101" s="66">
        <v>29.13340047788355</v>
      </c>
      <c r="AG101" s="33" t="s">
        <v>354</v>
      </c>
      <c r="AH101" s="33"/>
      <c r="AI101" s="33" t="s">
        <v>354</v>
      </c>
      <c r="AJ101" s="19"/>
      <c r="AK101" s="19"/>
      <c r="AL101" s="59" t="s">
        <v>357</v>
      </c>
      <c r="AM101" s="103" t="s">
        <v>389</v>
      </c>
      <c r="AN101" s="82" t="s">
        <v>361</v>
      </c>
    </row>
    <row r="102">
      <c r="A102" s="95" t="s">
        <v>437</v>
      </c>
      <c r="B102" s="18" t="s">
        <v>438</v>
      </c>
      <c r="C102" s="19" t="s">
        <v>60</v>
      </c>
      <c r="D102" s="20" t="s">
        <v>439</v>
      </c>
      <c r="E102" s="33" t="s">
        <v>7</v>
      </c>
      <c r="F102" s="19" t="s">
        <v>8</v>
      </c>
      <c r="G102" s="23" t="s">
        <v>354</v>
      </c>
      <c r="H102" s="23" t="s">
        <v>354</v>
      </c>
      <c r="I102" s="23" t="s">
        <v>354</v>
      </c>
      <c r="J102" s="22" t="s">
        <v>354</v>
      </c>
      <c r="K102" s="22" t="s">
        <v>354</v>
      </c>
      <c r="L102" s="61">
        <v>1.0</v>
      </c>
      <c r="M102" s="61" t="s">
        <v>447</v>
      </c>
      <c r="N102" s="101" t="s">
        <v>17</v>
      </c>
      <c r="O102" s="24" t="s">
        <v>63</v>
      </c>
      <c r="P102" s="24" t="s">
        <v>64</v>
      </c>
      <c r="Q102" s="24" t="s">
        <v>61</v>
      </c>
      <c r="R102" s="24" t="s">
        <v>61</v>
      </c>
      <c r="S102" s="24" t="s">
        <v>61</v>
      </c>
      <c r="T102" s="24" t="s">
        <v>61</v>
      </c>
      <c r="U102" s="24" t="s">
        <v>61</v>
      </c>
      <c r="V102" s="44" t="s">
        <v>373</v>
      </c>
      <c r="W102" s="18" t="s">
        <v>445</v>
      </c>
      <c r="X102" s="18">
        <v>6510.0</v>
      </c>
      <c r="Y102" s="23"/>
      <c r="Z102" s="23"/>
      <c r="AA102" s="19"/>
      <c r="AB102" s="61" t="s">
        <v>446</v>
      </c>
      <c r="AC102" s="19"/>
      <c r="AD102" s="19"/>
      <c r="AE102" s="19"/>
      <c r="AF102" s="33">
        <v>0.0</v>
      </c>
      <c r="AG102" s="33" t="s">
        <v>354</v>
      </c>
      <c r="AH102" s="19"/>
      <c r="AI102" s="33" t="s">
        <v>354</v>
      </c>
      <c r="AJ102" s="43"/>
      <c r="AK102" s="43"/>
      <c r="AL102" s="23" t="s">
        <v>356</v>
      </c>
      <c r="AM102" s="23" t="s">
        <v>356</v>
      </c>
      <c r="AN102" s="23" t="s">
        <v>356</v>
      </c>
    </row>
    <row r="103">
      <c r="A103" s="95" t="s">
        <v>437</v>
      </c>
      <c r="B103" s="18" t="s">
        <v>438</v>
      </c>
      <c r="C103" s="19" t="s">
        <v>60</v>
      </c>
      <c r="D103" s="20" t="s">
        <v>439</v>
      </c>
      <c r="E103" s="33" t="s">
        <v>7</v>
      </c>
      <c r="F103" s="19" t="s">
        <v>8</v>
      </c>
      <c r="G103" s="23" t="s">
        <v>354</v>
      </c>
      <c r="H103" s="23" t="s">
        <v>354</v>
      </c>
      <c r="I103" s="23" t="s">
        <v>354</v>
      </c>
      <c r="J103" s="22" t="s">
        <v>354</v>
      </c>
      <c r="K103" s="22" t="s">
        <v>354</v>
      </c>
      <c r="L103" s="61">
        <v>1.0</v>
      </c>
      <c r="M103" s="61" t="s">
        <v>447</v>
      </c>
      <c r="N103" s="101" t="s">
        <v>17</v>
      </c>
      <c r="O103" s="24" t="s">
        <v>63</v>
      </c>
      <c r="P103" s="24" t="s">
        <v>64</v>
      </c>
      <c r="Q103" s="24" t="s">
        <v>61</v>
      </c>
      <c r="R103" s="24" t="s">
        <v>61</v>
      </c>
      <c r="S103" s="24" t="s">
        <v>61</v>
      </c>
      <c r="T103" s="24" t="s">
        <v>61</v>
      </c>
      <c r="U103" s="24" t="s">
        <v>61</v>
      </c>
      <c r="V103" s="44" t="s">
        <v>373</v>
      </c>
      <c r="W103" s="18" t="s">
        <v>445</v>
      </c>
      <c r="X103" s="18">
        <v>6510.0</v>
      </c>
      <c r="Y103" s="18" t="s">
        <v>448</v>
      </c>
      <c r="Z103" s="23"/>
      <c r="AA103" s="19"/>
      <c r="AB103" s="61" t="s">
        <v>446</v>
      </c>
      <c r="AC103" s="19"/>
      <c r="AD103" s="19"/>
      <c r="AE103" s="19"/>
      <c r="AF103" s="33">
        <v>0.0</v>
      </c>
      <c r="AG103" s="33" t="s">
        <v>354</v>
      </c>
      <c r="AH103" s="19"/>
      <c r="AI103" s="33" t="s">
        <v>354</v>
      </c>
      <c r="AJ103" s="43"/>
      <c r="AK103" s="43"/>
      <c r="AL103" s="104" t="s">
        <v>389</v>
      </c>
      <c r="AM103" s="23" t="s">
        <v>356</v>
      </c>
      <c r="AN103" s="23" t="s">
        <v>356</v>
      </c>
    </row>
    <row r="104">
      <c r="A104" s="95" t="s">
        <v>437</v>
      </c>
      <c r="B104" s="18" t="s">
        <v>438</v>
      </c>
      <c r="C104" s="19" t="s">
        <v>60</v>
      </c>
      <c r="D104" s="20" t="s">
        <v>439</v>
      </c>
      <c r="E104" s="33" t="s">
        <v>7</v>
      </c>
      <c r="F104" s="19" t="s">
        <v>8</v>
      </c>
      <c r="G104" s="23" t="s">
        <v>354</v>
      </c>
      <c r="H104" s="23" t="s">
        <v>354</v>
      </c>
      <c r="I104" s="23" t="s">
        <v>354</v>
      </c>
      <c r="J104" s="22" t="s">
        <v>354</v>
      </c>
      <c r="K104" s="22" t="s">
        <v>354</v>
      </c>
      <c r="L104" s="61">
        <v>1.0</v>
      </c>
      <c r="M104" s="61" t="s">
        <v>447</v>
      </c>
      <c r="N104" s="101" t="s">
        <v>17</v>
      </c>
      <c r="O104" s="24" t="s">
        <v>63</v>
      </c>
      <c r="P104" s="24" t="s">
        <v>64</v>
      </c>
      <c r="Q104" s="24" t="s">
        <v>61</v>
      </c>
      <c r="R104" s="24" t="s">
        <v>61</v>
      </c>
      <c r="S104" s="24" t="s">
        <v>61</v>
      </c>
      <c r="T104" s="24" t="s">
        <v>61</v>
      </c>
      <c r="U104" s="24" t="s">
        <v>61</v>
      </c>
      <c r="V104" s="44" t="s">
        <v>373</v>
      </c>
      <c r="W104" s="18" t="s">
        <v>445</v>
      </c>
      <c r="X104" s="18">
        <v>6510.0</v>
      </c>
      <c r="Y104" s="18" t="s">
        <v>448</v>
      </c>
      <c r="Z104" s="18" t="s">
        <v>449</v>
      </c>
      <c r="AA104" s="19"/>
      <c r="AB104" s="61" t="s">
        <v>446</v>
      </c>
      <c r="AC104" s="19"/>
      <c r="AD104" s="19"/>
      <c r="AE104" s="19"/>
      <c r="AF104" s="66">
        <v>32.6275185514065</v>
      </c>
      <c r="AG104" s="36" t="s">
        <v>365</v>
      </c>
      <c r="AH104" s="19"/>
      <c r="AI104" s="105" t="s">
        <v>413</v>
      </c>
      <c r="AJ104" s="43" t="s">
        <v>361</v>
      </c>
      <c r="AK104" s="105" t="s">
        <v>413</v>
      </c>
      <c r="AL104" s="105" t="s">
        <v>413</v>
      </c>
      <c r="AM104" s="105" t="s">
        <v>413</v>
      </c>
      <c r="AN104" s="105" t="s">
        <v>413</v>
      </c>
    </row>
    <row r="105">
      <c r="A105" s="95" t="s">
        <v>437</v>
      </c>
      <c r="B105" s="18" t="s">
        <v>438</v>
      </c>
      <c r="C105" s="19" t="s">
        <v>60</v>
      </c>
      <c r="D105" s="20" t="s">
        <v>439</v>
      </c>
      <c r="E105" s="33" t="s">
        <v>7</v>
      </c>
      <c r="F105" s="19" t="s">
        <v>8</v>
      </c>
      <c r="G105" s="23" t="s">
        <v>354</v>
      </c>
      <c r="H105" s="23" t="s">
        <v>354</v>
      </c>
      <c r="I105" s="23" t="s">
        <v>354</v>
      </c>
      <c r="J105" s="22" t="s">
        <v>354</v>
      </c>
      <c r="K105" s="22" t="s">
        <v>354</v>
      </c>
      <c r="L105" s="61">
        <v>1.0</v>
      </c>
      <c r="M105" s="61" t="s">
        <v>447</v>
      </c>
      <c r="N105" s="101" t="s">
        <v>17</v>
      </c>
      <c r="O105" s="24" t="s">
        <v>63</v>
      </c>
      <c r="P105" s="24" t="s">
        <v>64</v>
      </c>
      <c r="Q105" s="24" t="s">
        <v>61</v>
      </c>
      <c r="R105" s="24" t="s">
        <v>61</v>
      </c>
      <c r="S105" s="24" t="s">
        <v>61</v>
      </c>
      <c r="T105" s="24" t="s">
        <v>61</v>
      </c>
      <c r="U105" s="24" t="s">
        <v>61</v>
      </c>
      <c r="V105" s="44" t="s">
        <v>373</v>
      </c>
      <c r="W105" s="18" t="s">
        <v>445</v>
      </c>
      <c r="X105" s="18">
        <v>6510.0</v>
      </c>
      <c r="Y105" s="18" t="s">
        <v>448</v>
      </c>
      <c r="Z105" s="18" t="s">
        <v>449</v>
      </c>
      <c r="AA105" s="18" t="s">
        <v>448</v>
      </c>
      <c r="AB105" s="61" t="s">
        <v>450</v>
      </c>
      <c r="AC105" s="19"/>
      <c r="AD105" s="19"/>
      <c r="AE105" s="19"/>
      <c r="AF105" s="33">
        <v>0.0</v>
      </c>
      <c r="AG105" s="33" t="s">
        <v>354</v>
      </c>
      <c r="AH105" s="19"/>
      <c r="AI105" s="33" t="s">
        <v>354</v>
      </c>
      <c r="AJ105" s="43"/>
      <c r="AK105" s="43"/>
      <c r="AL105" s="91" t="s">
        <v>413</v>
      </c>
      <c r="AM105" s="91" t="s">
        <v>413</v>
      </c>
      <c r="AN105" s="91" t="s">
        <v>413</v>
      </c>
    </row>
    <row r="106">
      <c r="A106" s="45" t="s">
        <v>66</v>
      </c>
      <c r="B106" s="18" t="s">
        <v>451</v>
      </c>
      <c r="C106" s="46" t="s">
        <v>65</v>
      </c>
      <c r="D106" s="47" t="s">
        <v>439</v>
      </c>
      <c r="E106" s="48" t="s">
        <v>7</v>
      </c>
      <c r="F106" s="46" t="s">
        <v>67</v>
      </c>
      <c r="G106" s="49">
        <v>124.0</v>
      </c>
      <c r="H106" s="49">
        <v>255.0</v>
      </c>
      <c r="I106" s="49" t="s">
        <v>354</v>
      </c>
      <c r="J106" s="46">
        <v>16.0</v>
      </c>
      <c r="K106" s="49">
        <v>0.0</v>
      </c>
      <c r="L106" s="49">
        <v>0.0</v>
      </c>
      <c r="M106" s="49" t="s">
        <v>354</v>
      </c>
      <c r="N106" s="101" t="s">
        <v>17</v>
      </c>
      <c r="O106" s="24" t="s">
        <v>68</v>
      </c>
      <c r="P106" s="46"/>
      <c r="Q106" s="46"/>
      <c r="R106" s="46"/>
      <c r="S106" s="46"/>
      <c r="T106" s="46"/>
      <c r="U106" s="46"/>
      <c r="V106" s="46"/>
      <c r="W106" s="46"/>
      <c r="X106" s="46"/>
      <c r="Y106" s="46"/>
      <c r="Z106" s="46"/>
      <c r="AA106" s="46"/>
      <c r="AB106" s="57" t="s">
        <v>354</v>
      </c>
      <c r="AC106" s="46">
        <v>36292.0</v>
      </c>
      <c r="AD106" s="46"/>
      <c r="AE106" s="46"/>
      <c r="AF106" s="56">
        <v>38.41</v>
      </c>
      <c r="AG106" s="49" t="s">
        <v>360</v>
      </c>
      <c r="AH106" s="46"/>
      <c r="AI106" s="46" t="s">
        <v>360</v>
      </c>
      <c r="AJ106" s="46"/>
      <c r="AK106" s="46"/>
      <c r="AL106" s="88" t="s">
        <v>358</v>
      </c>
      <c r="AM106" s="53" t="s">
        <v>361</v>
      </c>
      <c r="AN106" s="106" t="s">
        <v>358</v>
      </c>
    </row>
    <row r="107">
      <c r="A107" s="45" t="s">
        <v>66</v>
      </c>
      <c r="B107" s="18" t="s">
        <v>451</v>
      </c>
      <c r="C107" s="46" t="s">
        <v>65</v>
      </c>
      <c r="D107" s="47" t="s">
        <v>439</v>
      </c>
      <c r="E107" s="48" t="s">
        <v>7</v>
      </c>
      <c r="F107" s="46" t="s">
        <v>67</v>
      </c>
      <c r="G107" s="49">
        <v>124.0</v>
      </c>
      <c r="H107" s="49">
        <v>265.0</v>
      </c>
      <c r="I107" s="49" t="s">
        <v>354</v>
      </c>
      <c r="J107" s="46">
        <v>2.0</v>
      </c>
      <c r="K107" s="49">
        <v>1.0</v>
      </c>
      <c r="L107" s="49">
        <v>0.0</v>
      </c>
      <c r="M107" s="49" t="s">
        <v>354</v>
      </c>
      <c r="N107" s="101" t="s">
        <v>17</v>
      </c>
      <c r="O107" s="24" t="s">
        <v>68</v>
      </c>
      <c r="P107" s="24" t="s">
        <v>69</v>
      </c>
      <c r="Q107" s="46"/>
      <c r="R107" s="46"/>
      <c r="S107" s="46"/>
      <c r="T107" s="46"/>
      <c r="U107" s="46"/>
      <c r="V107" s="46"/>
      <c r="W107" s="46"/>
      <c r="X107" s="46"/>
      <c r="Y107" s="46"/>
      <c r="Z107" s="46"/>
      <c r="AA107" s="46"/>
      <c r="AB107" s="49" t="s">
        <v>452</v>
      </c>
      <c r="AC107" s="46">
        <v>36305.0</v>
      </c>
      <c r="AD107" s="46"/>
      <c r="AE107" s="46"/>
      <c r="AF107" s="49">
        <v>0.0</v>
      </c>
      <c r="AG107" s="49" t="s">
        <v>356</v>
      </c>
      <c r="AH107" s="46"/>
      <c r="AI107" s="49" t="s">
        <v>356</v>
      </c>
      <c r="AJ107" s="46"/>
      <c r="AK107" s="46"/>
      <c r="AL107" s="107" t="s">
        <v>358</v>
      </c>
      <c r="AM107" s="34" t="s">
        <v>357</v>
      </c>
      <c r="AN107" s="88" t="s">
        <v>358</v>
      </c>
    </row>
    <row r="108">
      <c r="A108" s="45" t="s">
        <v>66</v>
      </c>
      <c r="B108" s="18" t="s">
        <v>451</v>
      </c>
      <c r="C108" s="46" t="s">
        <v>65</v>
      </c>
      <c r="D108" s="47" t="s">
        <v>439</v>
      </c>
      <c r="E108" s="48" t="s">
        <v>7</v>
      </c>
      <c r="F108" s="46" t="s">
        <v>67</v>
      </c>
      <c r="G108" s="49">
        <v>123.0</v>
      </c>
      <c r="H108" s="49">
        <v>275.0</v>
      </c>
      <c r="I108" s="49" t="s">
        <v>354</v>
      </c>
      <c r="J108" s="46">
        <v>5.0</v>
      </c>
      <c r="K108" s="49">
        <v>1.0</v>
      </c>
      <c r="L108" s="49">
        <v>1.0</v>
      </c>
      <c r="M108" s="49" t="s">
        <v>354</v>
      </c>
      <c r="N108" s="101" t="s">
        <v>17</v>
      </c>
      <c r="O108" s="24" t="s">
        <v>68</v>
      </c>
      <c r="P108" s="24" t="s">
        <v>69</v>
      </c>
      <c r="Q108" s="24" t="s">
        <v>66</v>
      </c>
      <c r="R108" s="44" t="s">
        <v>373</v>
      </c>
      <c r="S108" s="61" t="s">
        <v>373</v>
      </c>
      <c r="T108" s="46"/>
      <c r="U108" s="46"/>
      <c r="V108" s="46"/>
      <c r="W108" s="46"/>
      <c r="X108" s="46"/>
      <c r="Y108" s="46"/>
      <c r="Z108" s="46"/>
      <c r="AA108" s="46"/>
      <c r="AB108" s="49" t="s">
        <v>453</v>
      </c>
      <c r="AC108" s="46">
        <v>36595.0</v>
      </c>
      <c r="AD108" s="46"/>
      <c r="AE108" s="46"/>
      <c r="AF108" s="49">
        <v>0.0</v>
      </c>
      <c r="AG108" s="49" t="s">
        <v>356</v>
      </c>
      <c r="AH108" s="46"/>
      <c r="AI108" s="49" t="s">
        <v>356</v>
      </c>
      <c r="AJ108" s="46"/>
      <c r="AK108" s="46"/>
      <c r="AL108" s="53" t="s">
        <v>361</v>
      </c>
      <c r="AM108" s="38" t="s">
        <v>357</v>
      </c>
      <c r="AN108" s="75" t="s">
        <v>357</v>
      </c>
    </row>
    <row r="109">
      <c r="A109" s="45" t="s">
        <v>66</v>
      </c>
      <c r="B109" s="18" t="s">
        <v>451</v>
      </c>
      <c r="C109" s="46" t="s">
        <v>65</v>
      </c>
      <c r="D109" s="47" t="s">
        <v>439</v>
      </c>
      <c r="E109" s="48" t="s">
        <v>7</v>
      </c>
      <c r="F109" s="46" t="s">
        <v>67</v>
      </c>
      <c r="G109" s="49" t="s">
        <v>354</v>
      </c>
      <c r="H109" s="49">
        <v>235.0</v>
      </c>
      <c r="I109" s="49" t="s">
        <v>354</v>
      </c>
      <c r="J109" s="46">
        <v>10.0</v>
      </c>
      <c r="K109" s="49">
        <v>0.0</v>
      </c>
      <c r="L109" s="49">
        <v>0.0</v>
      </c>
      <c r="M109" s="49" t="s">
        <v>354</v>
      </c>
      <c r="N109" s="101" t="s">
        <v>17</v>
      </c>
      <c r="O109" s="24" t="s">
        <v>68</v>
      </c>
      <c r="P109" s="24" t="s">
        <v>69</v>
      </c>
      <c r="Q109" s="24" t="s">
        <v>66</v>
      </c>
      <c r="R109" s="44" t="s">
        <v>373</v>
      </c>
      <c r="S109" s="61" t="s">
        <v>373</v>
      </c>
      <c r="T109" s="24" t="s">
        <v>66</v>
      </c>
      <c r="U109" s="46"/>
      <c r="V109" s="46"/>
      <c r="W109" s="46"/>
      <c r="X109" s="46"/>
      <c r="Y109" s="46"/>
      <c r="Z109" s="46"/>
      <c r="AA109" s="46"/>
      <c r="AB109" s="108" t="s">
        <v>354</v>
      </c>
      <c r="AC109" s="46"/>
      <c r="AD109" s="46"/>
      <c r="AE109" s="46"/>
      <c r="AF109" s="49">
        <v>0.0</v>
      </c>
      <c r="AG109" s="49" t="s">
        <v>354</v>
      </c>
      <c r="AH109" s="46"/>
      <c r="AI109" s="49" t="s">
        <v>354</v>
      </c>
      <c r="AJ109" s="46"/>
      <c r="AK109" s="46"/>
      <c r="AL109" s="49" t="s">
        <v>356</v>
      </c>
      <c r="AM109" s="49" t="s">
        <v>356</v>
      </c>
      <c r="AN109" s="49" t="s">
        <v>356</v>
      </c>
    </row>
    <row r="110">
      <c r="A110" s="45" t="s">
        <v>66</v>
      </c>
      <c r="B110" s="18" t="s">
        <v>451</v>
      </c>
      <c r="C110" s="46" t="s">
        <v>65</v>
      </c>
      <c r="D110" s="47" t="s">
        <v>439</v>
      </c>
      <c r="E110" s="48" t="s">
        <v>7</v>
      </c>
      <c r="F110" s="46" t="s">
        <v>67</v>
      </c>
      <c r="G110" s="49" t="s">
        <v>354</v>
      </c>
      <c r="H110" s="49">
        <v>235.0</v>
      </c>
      <c r="I110" s="49" t="s">
        <v>354</v>
      </c>
      <c r="J110" s="46">
        <v>9.0</v>
      </c>
      <c r="K110" s="49">
        <v>0.0</v>
      </c>
      <c r="L110" s="49">
        <v>0.0</v>
      </c>
      <c r="M110" s="49" t="s">
        <v>354</v>
      </c>
      <c r="N110" s="101" t="s">
        <v>17</v>
      </c>
      <c r="O110" s="24" t="s">
        <v>68</v>
      </c>
      <c r="P110" s="24" t="s">
        <v>69</v>
      </c>
      <c r="Q110" s="24" t="s">
        <v>66</v>
      </c>
      <c r="R110" s="44" t="s">
        <v>373</v>
      </c>
      <c r="S110" s="61" t="s">
        <v>373</v>
      </c>
      <c r="T110" s="24" t="s">
        <v>66</v>
      </c>
      <c r="U110" s="24" t="s">
        <v>66</v>
      </c>
      <c r="V110" s="44" t="s">
        <v>373</v>
      </c>
      <c r="W110" s="46"/>
      <c r="X110" s="46"/>
      <c r="Y110" s="46"/>
      <c r="Z110" s="46"/>
      <c r="AA110" s="46"/>
      <c r="AB110" s="57" t="s">
        <v>354</v>
      </c>
      <c r="AC110" s="46"/>
      <c r="AD110" s="46"/>
      <c r="AE110" s="46"/>
      <c r="AF110" s="49">
        <v>0.0</v>
      </c>
      <c r="AG110" s="49" t="s">
        <v>354</v>
      </c>
      <c r="AH110" s="46"/>
      <c r="AI110" s="49" t="s">
        <v>354</v>
      </c>
      <c r="AJ110" s="46"/>
      <c r="AK110" s="46"/>
      <c r="AL110" s="109" t="s">
        <v>420</v>
      </c>
      <c r="AM110" s="58" t="s">
        <v>380</v>
      </c>
      <c r="AN110" s="109" t="s">
        <v>420</v>
      </c>
    </row>
    <row r="111">
      <c r="A111" s="45" t="s">
        <v>66</v>
      </c>
      <c r="B111" s="18" t="s">
        <v>451</v>
      </c>
      <c r="C111" s="46" t="s">
        <v>65</v>
      </c>
      <c r="D111" s="47" t="s">
        <v>439</v>
      </c>
      <c r="E111" s="48" t="s">
        <v>7</v>
      </c>
      <c r="F111" s="46" t="s">
        <v>67</v>
      </c>
      <c r="G111" s="49">
        <v>121.0</v>
      </c>
      <c r="H111" s="49">
        <v>200.0</v>
      </c>
      <c r="I111" s="49" t="s">
        <v>354</v>
      </c>
      <c r="J111" s="46">
        <v>9.0</v>
      </c>
      <c r="K111" s="49">
        <v>0.0</v>
      </c>
      <c r="L111" s="49">
        <v>0.0</v>
      </c>
      <c r="M111" s="49" t="s">
        <v>354</v>
      </c>
      <c r="N111" s="101" t="s">
        <v>17</v>
      </c>
      <c r="O111" s="24" t="s">
        <v>68</v>
      </c>
      <c r="P111" s="24" t="s">
        <v>69</v>
      </c>
      <c r="Q111" s="24" t="s">
        <v>66</v>
      </c>
      <c r="R111" s="44" t="s">
        <v>373</v>
      </c>
      <c r="S111" s="61" t="s">
        <v>373</v>
      </c>
      <c r="T111" s="24" t="s">
        <v>66</v>
      </c>
      <c r="U111" s="24" t="s">
        <v>66</v>
      </c>
      <c r="V111" s="44" t="s">
        <v>373</v>
      </c>
      <c r="W111" s="18" t="s">
        <v>454</v>
      </c>
      <c r="X111" s="46"/>
      <c r="Y111" s="46"/>
      <c r="Z111" s="46"/>
      <c r="AA111" s="46"/>
      <c r="AB111" s="78" t="s">
        <v>455</v>
      </c>
      <c r="AC111" s="46"/>
      <c r="AD111" s="46"/>
      <c r="AE111" s="46"/>
      <c r="AF111" s="49">
        <v>0.0</v>
      </c>
      <c r="AG111" s="49" t="s">
        <v>354</v>
      </c>
      <c r="AH111" s="46"/>
      <c r="AI111" s="49" t="s">
        <v>354</v>
      </c>
      <c r="AJ111" s="46"/>
      <c r="AK111" s="46"/>
      <c r="AL111" s="49" t="s">
        <v>356</v>
      </c>
      <c r="AM111" s="49" t="s">
        <v>356</v>
      </c>
      <c r="AN111" s="49" t="s">
        <v>356</v>
      </c>
    </row>
    <row r="112">
      <c r="A112" s="45" t="s">
        <v>66</v>
      </c>
      <c r="B112" s="18" t="s">
        <v>451</v>
      </c>
      <c r="C112" s="46" t="s">
        <v>65</v>
      </c>
      <c r="D112" s="47" t="s">
        <v>439</v>
      </c>
      <c r="E112" s="48" t="s">
        <v>7</v>
      </c>
      <c r="F112" s="46" t="s">
        <v>67</v>
      </c>
      <c r="G112" s="49" t="s">
        <v>354</v>
      </c>
      <c r="H112" s="49" t="s">
        <v>354</v>
      </c>
      <c r="I112" s="49" t="s">
        <v>354</v>
      </c>
      <c r="J112" s="46">
        <v>9.0</v>
      </c>
      <c r="K112" s="49">
        <v>1.0</v>
      </c>
      <c r="L112" s="78">
        <v>1.0</v>
      </c>
      <c r="M112" s="78" t="s">
        <v>456</v>
      </c>
      <c r="N112" s="101" t="s">
        <v>17</v>
      </c>
      <c r="O112" s="24" t="s">
        <v>68</v>
      </c>
      <c r="P112" s="24" t="s">
        <v>69</v>
      </c>
      <c r="Q112" s="24" t="s">
        <v>66</v>
      </c>
      <c r="R112" s="44" t="s">
        <v>373</v>
      </c>
      <c r="S112" s="61" t="s">
        <v>373</v>
      </c>
      <c r="T112" s="24" t="s">
        <v>66</v>
      </c>
      <c r="U112" s="24" t="s">
        <v>66</v>
      </c>
      <c r="V112" s="44" t="s">
        <v>373</v>
      </c>
      <c r="W112" s="18" t="s">
        <v>454</v>
      </c>
      <c r="X112" s="83" t="s">
        <v>66</v>
      </c>
      <c r="Y112" s="49"/>
      <c r="Z112" s="49"/>
      <c r="AA112" s="46"/>
      <c r="AB112" s="78" t="s">
        <v>455</v>
      </c>
      <c r="AC112" s="46"/>
      <c r="AD112" s="46"/>
      <c r="AE112" s="46"/>
      <c r="AF112" s="49">
        <v>0.0</v>
      </c>
      <c r="AG112" s="49" t="s">
        <v>354</v>
      </c>
      <c r="AH112" s="46"/>
      <c r="AI112" s="49" t="s">
        <v>354</v>
      </c>
      <c r="AJ112" s="49"/>
      <c r="AK112" s="49"/>
      <c r="AL112" s="110" t="s">
        <v>361</v>
      </c>
      <c r="AM112" s="46" t="s">
        <v>356</v>
      </c>
      <c r="AN112" s="54" t="s">
        <v>356</v>
      </c>
    </row>
    <row r="113">
      <c r="A113" s="45" t="s">
        <v>66</v>
      </c>
      <c r="B113" s="18" t="s">
        <v>451</v>
      </c>
      <c r="C113" s="46" t="s">
        <v>65</v>
      </c>
      <c r="D113" s="47" t="s">
        <v>439</v>
      </c>
      <c r="E113" s="48" t="s">
        <v>7</v>
      </c>
      <c r="F113" s="46" t="s">
        <v>67</v>
      </c>
      <c r="G113" s="49" t="s">
        <v>354</v>
      </c>
      <c r="H113" s="49" t="s">
        <v>354</v>
      </c>
      <c r="I113" s="49" t="s">
        <v>354</v>
      </c>
      <c r="J113" s="46">
        <v>9.0</v>
      </c>
      <c r="K113" s="49">
        <v>1.0</v>
      </c>
      <c r="L113" s="78">
        <v>1.0</v>
      </c>
      <c r="M113" s="78" t="s">
        <v>456</v>
      </c>
      <c r="N113" s="101" t="s">
        <v>17</v>
      </c>
      <c r="O113" s="24" t="s">
        <v>68</v>
      </c>
      <c r="P113" s="24" t="s">
        <v>69</v>
      </c>
      <c r="Q113" s="24" t="s">
        <v>66</v>
      </c>
      <c r="R113" s="44" t="s">
        <v>373</v>
      </c>
      <c r="S113" s="61" t="s">
        <v>373</v>
      </c>
      <c r="T113" s="24" t="s">
        <v>66</v>
      </c>
      <c r="U113" s="24" t="s">
        <v>66</v>
      </c>
      <c r="V113" s="44" t="s">
        <v>373</v>
      </c>
      <c r="W113" s="18" t="s">
        <v>454</v>
      </c>
      <c r="X113" s="83" t="s">
        <v>66</v>
      </c>
      <c r="Y113" s="83" t="s">
        <v>66</v>
      </c>
      <c r="Z113" s="49"/>
      <c r="AA113" s="46"/>
      <c r="AB113" s="78" t="s">
        <v>455</v>
      </c>
      <c r="AC113" s="46"/>
      <c r="AD113" s="46"/>
      <c r="AE113" s="46"/>
      <c r="AF113" s="49">
        <v>0.0</v>
      </c>
      <c r="AG113" s="49" t="s">
        <v>354</v>
      </c>
      <c r="AH113" s="46"/>
      <c r="AI113" s="49" t="s">
        <v>354</v>
      </c>
      <c r="AJ113" s="46"/>
      <c r="AK113" s="46"/>
      <c r="AL113" s="49" t="s">
        <v>356</v>
      </c>
      <c r="AM113" s="49" t="s">
        <v>356</v>
      </c>
      <c r="AN113" s="49" t="s">
        <v>356</v>
      </c>
    </row>
    <row r="114">
      <c r="A114" s="45" t="s">
        <v>66</v>
      </c>
      <c r="B114" s="18" t="s">
        <v>451</v>
      </c>
      <c r="C114" s="46" t="s">
        <v>70</v>
      </c>
      <c r="D114" s="47" t="s">
        <v>439</v>
      </c>
      <c r="E114" s="48" t="s">
        <v>7</v>
      </c>
      <c r="F114" s="46" t="s">
        <v>67</v>
      </c>
      <c r="G114" s="49" t="s">
        <v>354</v>
      </c>
      <c r="H114" s="49" t="s">
        <v>354</v>
      </c>
      <c r="I114" s="49" t="s">
        <v>354</v>
      </c>
      <c r="J114" s="46">
        <v>10.0</v>
      </c>
      <c r="K114" s="49">
        <v>1.0</v>
      </c>
      <c r="L114" s="78">
        <v>1.0</v>
      </c>
      <c r="M114" s="78" t="s">
        <v>456</v>
      </c>
      <c r="N114" s="101" t="s">
        <v>17</v>
      </c>
      <c r="O114" s="24" t="s">
        <v>457</v>
      </c>
      <c r="P114" s="18" t="s">
        <v>69</v>
      </c>
      <c r="Q114" s="24" t="s">
        <v>74</v>
      </c>
      <c r="R114" s="44" t="s">
        <v>373</v>
      </c>
      <c r="S114" s="61" t="s">
        <v>373</v>
      </c>
      <c r="T114" s="24" t="s">
        <v>66</v>
      </c>
      <c r="U114" s="24" t="s">
        <v>66</v>
      </c>
      <c r="V114" s="44" t="s">
        <v>373</v>
      </c>
      <c r="W114" s="18" t="s">
        <v>454</v>
      </c>
      <c r="X114" s="83" t="s">
        <v>66</v>
      </c>
      <c r="Y114" s="83" t="s">
        <v>66</v>
      </c>
      <c r="Z114" s="18" t="s">
        <v>458</v>
      </c>
      <c r="AA114" s="46"/>
      <c r="AB114" s="78" t="s">
        <v>455</v>
      </c>
      <c r="AC114" s="46"/>
      <c r="AD114" s="46"/>
      <c r="AE114" s="46"/>
      <c r="AF114" s="49">
        <v>0.0</v>
      </c>
      <c r="AG114" s="49" t="s">
        <v>356</v>
      </c>
      <c r="AH114" s="46"/>
      <c r="AI114" s="49" t="s">
        <v>356</v>
      </c>
      <c r="AJ114" s="49" t="s">
        <v>356</v>
      </c>
      <c r="AK114" s="49" t="s">
        <v>356</v>
      </c>
      <c r="AL114" s="92" t="s">
        <v>361</v>
      </c>
      <c r="AM114" s="46" t="s">
        <v>356</v>
      </c>
      <c r="AN114" s="54" t="s">
        <v>356</v>
      </c>
    </row>
    <row r="115">
      <c r="A115" s="45" t="s">
        <v>66</v>
      </c>
      <c r="B115" s="18" t="s">
        <v>451</v>
      </c>
      <c r="C115" s="46" t="s">
        <v>70</v>
      </c>
      <c r="D115" s="47" t="s">
        <v>439</v>
      </c>
      <c r="E115" s="48" t="s">
        <v>7</v>
      </c>
      <c r="F115" s="46" t="s">
        <v>67</v>
      </c>
      <c r="G115" s="49" t="s">
        <v>354</v>
      </c>
      <c r="H115" s="49" t="s">
        <v>354</v>
      </c>
      <c r="I115" s="49" t="s">
        <v>354</v>
      </c>
      <c r="J115" s="46">
        <v>10.0</v>
      </c>
      <c r="K115" s="49">
        <v>1.0</v>
      </c>
      <c r="L115" s="78">
        <v>1.0</v>
      </c>
      <c r="M115" s="78" t="s">
        <v>456</v>
      </c>
      <c r="N115" s="101" t="s">
        <v>17</v>
      </c>
      <c r="O115" s="24" t="s">
        <v>457</v>
      </c>
      <c r="P115" s="18" t="s">
        <v>69</v>
      </c>
      <c r="Q115" s="24" t="s">
        <v>74</v>
      </c>
      <c r="R115" s="44" t="s">
        <v>373</v>
      </c>
      <c r="S115" s="61" t="s">
        <v>373</v>
      </c>
      <c r="T115" s="24" t="s">
        <v>66</v>
      </c>
      <c r="U115" s="24" t="s">
        <v>66</v>
      </c>
      <c r="V115" s="44" t="s">
        <v>373</v>
      </c>
      <c r="W115" s="18" t="s">
        <v>454</v>
      </c>
      <c r="X115" s="83" t="s">
        <v>66</v>
      </c>
      <c r="Y115" s="83" t="s">
        <v>66</v>
      </c>
      <c r="Z115" s="18" t="s">
        <v>458</v>
      </c>
      <c r="AA115" s="83" t="s">
        <v>66</v>
      </c>
      <c r="AB115" s="78" t="s">
        <v>455</v>
      </c>
      <c r="AC115" s="46"/>
      <c r="AD115" s="46"/>
      <c r="AE115" s="46"/>
      <c r="AF115" s="49">
        <v>0.0</v>
      </c>
      <c r="AG115" s="49" t="s">
        <v>354</v>
      </c>
      <c r="AH115" s="46"/>
      <c r="AI115" s="49" t="s">
        <v>354</v>
      </c>
      <c r="AJ115" s="49"/>
      <c r="AK115" s="49"/>
      <c r="AL115" s="46" t="s">
        <v>356</v>
      </c>
      <c r="AM115" s="92" t="s">
        <v>361</v>
      </c>
      <c r="AN115" s="54" t="s">
        <v>356</v>
      </c>
    </row>
    <row r="116">
      <c r="A116" s="17" t="s">
        <v>71</v>
      </c>
      <c r="B116" s="18" t="s">
        <v>459</v>
      </c>
      <c r="C116" s="19" t="s">
        <v>70</v>
      </c>
      <c r="D116" s="20" t="s">
        <v>439</v>
      </c>
      <c r="E116" s="21" t="s">
        <v>7</v>
      </c>
      <c r="F116" s="19" t="s">
        <v>8</v>
      </c>
      <c r="G116" s="23">
        <v>125.0</v>
      </c>
      <c r="H116" s="23">
        <v>310.0</v>
      </c>
      <c r="I116" s="23" t="s">
        <v>354</v>
      </c>
      <c r="J116" s="23" t="s">
        <v>354</v>
      </c>
      <c r="K116" s="23" t="s">
        <v>354</v>
      </c>
      <c r="L116" s="23">
        <v>1.0</v>
      </c>
      <c r="M116" s="22" t="s">
        <v>354</v>
      </c>
      <c r="N116" s="101" t="s">
        <v>17</v>
      </c>
      <c r="O116" s="24" t="s">
        <v>72</v>
      </c>
      <c r="P116" s="19"/>
      <c r="Q116" s="19"/>
      <c r="R116" s="19"/>
      <c r="S116" s="19"/>
      <c r="T116" s="19"/>
      <c r="U116" s="19"/>
      <c r="V116" s="19"/>
      <c r="W116" s="19"/>
      <c r="X116" s="19"/>
      <c r="Y116" s="19"/>
      <c r="Z116" s="19"/>
      <c r="AA116" s="19"/>
      <c r="AB116" s="23" t="s">
        <v>354</v>
      </c>
      <c r="AC116" s="19">
        <v>36293.0</v>
      </c>
      <c r="AD116" s="19"/>
      <c r="AE116" s="19"/>
      <c r="AF116" s="30">
        <v>40.0</v>
      </c>
      <c r="AG116" s="23" t="s">
        <v>356</v>
      </c>
      <c r="AH116" s="19"/>
      <c r="AI116" s="23" t="s">
        <v>356</v>
      </c>
      <c r="AJ116" s="19"/>
      <c r="AK116" s="19"/>
      <c r="AL116" s="31" t="s">
        <v>356</v>
      </c>
      <c r="AM116" s="35" t="s">
        <v>363</v>
      </c>
      <c r="AN116" s="111" t="s">
        <v>363</v>
      </c>
    </row>
    <row r="117">
      <c r="A117" s="17" t="s">
        <v>71</v>
      </c>
      <c r="B117" s="18" t="s">
        <v>459</v>
      </c>
      <c r="C117" s="19" t="s">
        <v>70</v>
      </c>
      <c r="D117" s="20" t="s">
        <v>439</v>
      </c>
      <c r="E117" s="21" t="s">
        <v>7</v>
      </c>
      <c r="F117" s="19" t="s">
        <v>8</v>
      </c>
      <c r="G117" s="23">
        <v>124.0</v>
      </c>
      <c r="H117" s="23">
        <v>250.0</v>
      </c>
      <c r="I117" s="23" t="s">
        <v>354</v>
      </c>
      <c r="J117" s="23" t="s">
        <v>354</v>
      </c>
      <c r="K117" s="23" t="s">
        <v>354</v>
      </c>
      <c r="L117" s="23">
        <v>0.0</v>
      </c>
      <c r="M117" s="22" t="s">
        <v>354</v>
      </c>
      <c r="N117" s="101" t="s">
        <v>17</v>
      </c>
      <c r="O117" s="24" t="s">
        <v>72</v>
      </c>
      <c r="P117" s="24" t="s">
        <v>73</v>
      </c>
      <c r="Q117" s="19"/>
      <c r="R117" s="19"/>
      <c r="S117" s="19"/>
      <c r="T117" s="19"/>
      <c r="U117" s="19"/>
      <c r="V117" s="19"/>
      <c r="W117" s="19"/>
      <c r="X117" s="19"/>
      <c r="Y117" s="19"/>
      <c r="Z117" s="19"/>
      <c r="AA117" s="19"/>
      <c r="AB117" s="23" t="s">
        <v>354</v>
      </c>
      <c r="AC117" s="19">
        <v>36320.0</v>
      </c>
      <c r="AD117" s="19"/>
      <c r="AE117" s="19"/>
      <c r="AF117" s="33">
        <v>0.0</v>
      </c>
      <c r="AG117" s="23" t="s">
        <v>356</v>
      </c>
      <c r="AH117" s="19"/>
      <c r="AI117" s="23" t="s">
        <v>356</v>
      </c>
      <c r="AJ117" s="19"/>
      <c r="AK117" s="19"/>
      <c r="AL117" s="112" t="s">
        <v>363</v>
      </c>
      <c r="AM117" s="112" t="s">
        <v>363</v>
      </c>
      <c r="AN117" s="64" t="s">
        <v>363</v>
      </c>
    </row>
    <row r="118">
      <c r="A118" s="17" t="s">
        <v>71</v>
      </c>
      <c r="B118" s="18" t="s">
        <v>459</v>
      </c>
      <c r="C118" s="19" t="s">
        <v>70</v>
      </c>
      <c r="D118" s="20" t="s">
        <v>439</v>
      </c>
      <c r="E118" s="21" t="s">
        <v>7</v>
      </c>
      <c r="F118" s="19" t="s">
        <v>8</v>
      </c>
      <c r="G118" s="23" t="s">
        <v>354</v>
      </c>
      <c r="H118" s="23">
        <v>245.0</v>
      </c>
      <c r="I118" s="23" t="s">
        <v>354</v>
      </c>
      <c r="J118" s="23" t="s">
        <v>354</v>
      </c>
      <c r="K118" s="23" t="s">
        <v>354</v>
      </c>
      <c r="L118" s="23">
        <v>1.0</v>
      </c>
      <c r="M118" s="22" t="s">
        <v>354</v>
      </c>
      <c r="N118" s="101" t="s">
        <v>17</v>
      </c>
      <c r="O118" s="24" t="s">
        <v>72</v>
      </c>
      <c r="P118" s="24" t="s">
        <v>73</v>
      </c>
      <c r="Q118" s="24" t="s">
        <v>74</v>
      </c>
      <c r="R118" s="19"/>
      <c r="S118" s="19"/>
      <c r="T118" s="19"/>
      <c r="U118" s="19"/>
      <c r="V118" s="19"/>
      <c r="W118" s="19"/>
      <c r="X118" s="19"/>
      <c r="Y118" s="19"/>
      <c r="Z118" s="19"/>
      <c r="AA118" s="19"/>
      <c r="AB118" s="23" t="s">
        <v>354</v>
      </c>
      <c r="AC118" s="19">
        <v>36596.0</v>
      </c>
      <c r="AD118" s="19"/>
      <c r="AE118" s="19"/>
      <c r="AF118" s="66">
        <v>32.17</v>
      </c>
      <c r="AG118" s="36" t="s">
        <v>365</v>
      </c>
      <c r="AH118" s="19"/>
      <c r="AI118" s="23" t="s">
        <v>356</v>
      </c>
      <c r="AJ118" s="19"/>
      <c r="AK118" s="19"/>
      <c r="AL118" s="82" t="s">
        <v>361</v>
      </c>
      <c r="AM118" s="38" t="s">
        <v>357</v>
      </c>
      <c r="AN118" s="37" t="s">
        <v>363</v>
      </c>
    </row>
    <row r="119">
      <c r="A119" s="17" t="s">
        <v>71</v>
      </c>
      <c r="B119" s="18" t="s">
        <v>459</v>
      </c>
      <c r="C119" s="19" t="s">
        <v>70</v>
      </c>
      <c r="D119" s="20" t="s">
        <v>439</v>
      </c>
      <c r="E119" s="21" t="s">
        <v>7</v>
      </c>
      <c r="F119" s="19" t="s">
        <v>8</v>
      </c>
      <c r="G119" s="23" t="s">
        <v>354</v>
      </c>
      <c r="H119" s="23">
        <v>230.0</v>
      </c>
      <c r="I119" s="23" t="s">
        <v>354</v>
      </c>
      <c r="J119" s="23" t="s">
        <v>354</v>
      </c>
      <c r="K119" s="23" t="s">
        <v>354</v>
      </c>
      <c r="L119" s="23">
        <v>0.0</v>
      </c>
      <c r="M119" s="22" t="s">
        <v>354</v>
      </c>
      <c r="N119" s="101" t="s">
        <v>17</v>
      </c>
      <c r="O119" s="24" t="s">
        <v>72</v>
      </c>
      <c r="P119" s="24" t="s">
        <v>73</v>
      </c>
      <c r="Q119" s="24" t="s">
        <v>74</v>
      </c>
      <c r="R119" s="24" t="s">
        <v>74</v>
      </c>
      <c r="S119" s="19"/>
      <c r="T119" s="19"/>
      <c r="U119" s="19"/>
      <c r="V119" s="19"/>
      <c r="W119" s="19"/>
      <c r="X119" s="19"/>
      <c r="Y119" s="19"/>
      <c r="Z119" s="19"/>
      <c r="AA119" s="19"/>
      <c r="AB119" s="23" t="s">
        <v>460</v>
      </c>
      <c r="AC119" s="19"/>
      <c r="AD119" s="19"/>
      <c r="AE119" s="19"/>
      <c r="AF119" s="33">
        <v>0.0</v>
      </c>
      <c r="AG119" s="23" t="s">
        <v>356</v>
      </c>
      <c r="AH119" s="19"/>
      <c r="AI119" s="23" t="s">
        <v>356</v>
      </c>
      <c r="AJ119" s="19"/>
      <c r="AK119" s="19"/>
      <c r="AL119" s="82" t="s">
        <v>361</v>
      </c>
      <c r="AM119" s="31" t="s">
        <v>356</v>
      </c>
      <c r="AN119" s="75" t="s">
        <v>357</v>
      </c>
    </row>
    <row r="120">
      <c r="A120" s="17" t="s">
        <v>71</v>
      </c>
      <c r="B120" s="18" t="s">
        <v>459</v>
      </c>
      <c r="C120" s="19" t="s">
        <v>70</v>
      </c>
      <c r="D120" s="20" t="s">
        <v>439</v>
      </c>
      <c r="E120" s="21" t="s">
        <v>7</v>
      </c>
      <c r="F120" s="19" t="s">
        <v>8</v>
      </c>
      <c r="G120" s="23" t="s">
        <v>354</v>
      </c>
      <c r="H120" s="23">
        <v>250.0</v>
      </c>
      <c r="I120" s="23" t="s">
        <v>354</v>
      </c>
      <c r="J120" s="23" t="s">
        <v>354</v>
      </c>
      <c r="K120" s="23" t="s">
        <v>354</v>
      </c>
      <c r="L120" s="23">
        <v>0.0</v>
      </c>
      <c r="M120" s="22" t="s">
        <v>354</v>
      </c>
      <c r="N120" s="101" t="s">
        <v>17</v>
      </c>
      <c r="O120" s="24" t="s">
        <v>72</v>
      </c>
      <c r="P120" s="24" t="s">
        <v>73</v>
      </c>
      <c r="Q120" s="24" t="s">
        <v>74</v>
      </c>
      <c r="R120" s="24" t="s">
        <v>74</v>
      </c>
      <c r="S120" s="24" t="s">
        <v>74</v>
      </c>
      <c r="T120" s="19"/>
      <c r="U120" s="19"/>
      <c r="V120" s="19"/>
      <c r="W120" s="19"/>
      <c r="X120" s="19"/>
      <c r="Y120" s="19"/>
      <c r="Z120" s="19"/>
      <c r="AA120" s="19"/>
      <c r="AB120" s="23" t="s">
        <v>354</v>
      </c>
      <c r="AC120" s="19"/>
      <c r="AD120" s="19"/>
      <c r="AE120" s="19"/>
      <c r="AF120" s="33">
        <v>0.0</v>
      </c>
      <c r="AG120" s="33" t="s">
        <v>354</v>
      </c>
      <c r="AH120" s="33" t="s">
        <v>354</v>
      </c>
      <c r="AI120" s="33" t="s">
        <v>354</v>
      </c>
      <c r="AJ120" s="19"/>
      <c r="AK120" s="19"/>
      <c r="AL120" s="59" t="s">
        <v>357</v>
      </c>
      <c r="AM120" s="82" t="s">
        <v>361</v>
      </c>
      <c r="AN120" s="64" t="s">
        <v>363</v>
      </c>
    </row>
    <row r="121">
      <c r="A121" s="17" t="s">
        <v>71</v>
      </c>
      <c r="B121" s="18" t="s">
        <v>459</v>
      </c>
      <c r="C121" s="19" t="s">
        <v>70</v>
      </c>
      <c r="D121" s="20" t="s">
        <v>439</v>
      </c>
      <c r="E121" s="21" t="s">
        <v>7</v>
      </c>
      <c r="F121" s="19" t="s">
        <v>8</v>
      </c>
      <c r="G121" s="23" t="s">
        <v>354</v>
      </c>
      <c r="H121" s="23">
        <v>265.0</v>
      </c>
      <c r="I121" s="23" t="s">
        <v>354</v>
      </c>
      <c r="J121" s="23" t="s">
        <v>354</v>
      </c>
      <c r="K121" s="23" t="s">
        <v>354</v>
      </c>
      <c r="L121" s="23">
        <v>0.0</v>
      </c>
      <c r="M121" s="22" t="s">
        <v>354</v>
      </c>
      <c r="N121" s="101" t="s">
        <v>17</v>
      </c>
      <c r="O121" s="24" t="s">
        <v>72</v>
      </c>
      <c r="P121" s="24" t="s">
        <v>73</v>
      </c>
      <c r="Q121" s="24" t="s">
        <v>74</v>
      </c>
      <c r="R121" s="24" t="s">
        <v>74</v>
      </c>
      <c r="S121" s="24" t="s">
        <v>74</v>
      </c>
      <c r="T121" s="24" t="s">
        <v>75</v>
      </c>
      <c r="U121" s="19"/>
      <c r="V121" s="19"/>
      <c r="W121" s="19"/>
      <c r="X121" s="19"/>
      <c r="Y121" s="19"/>
      <c r="Z121" s="19"/>
      <c r="AA121" s="19"/>
      <c r="AB121" s="23" t="s">
        <v>461</v>
      </c>
      <c r="AC121" s="19"/>
      <c r="AD121" s="19"/>
      <c r="AE121" s="19"/>
      <c r="AF121" s="23">
        <v>0.0</v>
      </c>
      <c r="AG121" s="23" t="s">
        <v>354</v>
      </c>
      <c r="AH121" s="19"/>
      <c r="AI121" s="23" t="s">
        <v>354</v>
      </c>
      <c r="AJ121" s="19"/>
      <c r="AK121" s="19"/>
      <c r="AL121" s="82" t="s">
        <v>407</v>
      </c>
      <c r="AM121" s="59" t="s">
        <v>357</v>
      </c>
      <c r="AN121" s="64" t="s">
        <v>363</v>
      </c>
    </row>
    <row r="122">
      <c r="A122" s="17" t="s">
        <v>71</v>
      </c>
      <c r="B122" s="18" t="s">
        <v>459</v>
      </c>
      <c r="C122" s="19" t="s">
        <v>70</v>
      </c>
      <c r="D122" s="20" t="s">
        <v>439</v>
      </c>
      <c r="E122" s="21" t="s">
        <v>7</v>
      </c>
      <c r="F122" s="19" t="s">
        <v>8</v>
      </c>
      <c r="G122" s="23" t="s">
        <v>354</v>
      </c>
      <c r="H122" s="23" t="s">
        <v>354</v>
      </c>
      <c r="I122" s="23" t="s">
        <v>354</v>
      </c>
      <c r="J122" s="23" t="s">
        <v>354</v>
      </c>
      <c r="K122" s="23" t="s">
        <v>354</v>
      </c>
      <c r="L122" s="23">
        <v>0.0</v>
      </c>
      <c r="M122" s="22" t="s">
        <v>354</v>
      </c>
      <c r="N122" s="101" t="s">
        <v>17</v>
      </c>
      <c r="O122" s="24" t="s">
        <v>72</v>
      </c>
      <c r="P122" s="24" t="s">
        <v>73</v>
      </c>
      <c r="Q122" s="24" t="s">
        <v>74</v>
      </c>
      <c r="R122" s="24" t="s">
        <v>74</v>
      </c>
      <c r="S122" s="24" t="s">
        <v>74</v>
      </c>
      <c r="T122" s="24" t="s">
        <v>75</v>
      </c>
      <c r="U122" s="24" t="s">
        <v>71</v>
      </c>
      <c r="V122" s="19"/>
      <c r="W122" s="19"/>
      <c r="X122" s="19"/>
      <c r="Y122" s="19"/>
      <c r="Z122" s="19"/>
      <c r="AA122" s="19"/>
      <c r="AB122" s="23" t="s">
        <v>354</v>
      </c>
      <c r="AC122" s="19"/>
      <c r="AD122" s="19"/>
      <c r="AE122" s="19"/>
      <c r="AF122" s="23">
        <v>0.0</v>
      </c>
      <c r="AG122" s="23" t="s">
        <v>354</v>
      </c>
      <c r="AH122" s="19"/>
      <c r="AI122" s="23" t="s">
        <v>354</v>
      </c>
      <c r="AJ122" s="19"/>
      <c r="AK122" s="19"/>
      <c r="AL122" s="59" t="s">
        <v>357</v>
      </c>
      <c r="AM122" s="89" t="s">
        <v>356</v>
      </c>
      <c r="AN122" s="59" t="s">
        <v>357</v>
      </c>
    </row>
    <row r="123">
      <c r="A123" s="17" t="s">
        <v>71</v>
      </c>
      <c r="B123" s="18" t="s">
        <v>459</v>
      </c>
      <c r="C123" s="19" t="s">
        <v>70</v>
      </c>
      <c r="D123" s="20" t="s">
        <v>439</v>
      </c>
      <c r="E123" s="21" t="s">
        <v>7</v>
      </c>
      <c r="F123" s="19" t="s">
        <v>8</v>
      </c>
      <c r="G123" s="23" t="s">
        <v>354</v>
      </c>
      <c r="H123" s="23">
        <v>245.0</v>
      </c>
      <c r="I123" s="23" t="s">
        <v>354</v>
      </c>
      <c r="J123" s="23" t="s">
        <v>354</v>
      </c>
      <c r="K123" s="23" t="s">
        <v>354</v>
      </c>
      <c r="L123" s="23">
        <v>0.0</v>
      </c>
      <c r="M123" s="22" t="s">
        <v>354</v>
      </c>
      <c r="N123" s="101" t="s">
        <v>17</v>
      </c>
      <c r="O123" s="24" t="s">
        <v>72</v>
      </c>
      <c r="P123" s="24" t="s">
        <v>73</v>
      </c>
      <c r="Q123" s="24" t="s">
        <v>74</v>
      </c>
      <c r="R123" s="24" t="s">
        <v>74</v>
      </c>
      <c r="S123" s="24" t="s">
        <v>74</v>
      </c>
      <c r="T123" s="24" t="s">
        <v>75</v>
      </c>
      <c r="U123" s="24" t="s">
        <v>71</v>
      </c>
      <c r="V123" s="24" t="s">
        <v>75</v>
      </c>
      <c r="W123" s="19"/>
      <c r="X123" s="19"/>
      <c r="Y123" s="19"/>
      <c r="Z123" s="19"/>
      <c r="AA123" s="19"/>
      <c r="AB123" s="23" t="s">
        <v>354</v>
      </c>
      <c r="AC123" s="19"/>
      <c r="AD123" s="19"/>
      <c r="AE123" s="19"/>
      <c r="AF123" s="23">
        <v>0.0</v>
      </c>
      <c r="AG123" s="23" t="s">
        <v>354</v>
      </c>
      <c r="AH123" s="19"/>
      <c r="AI123" s="23" t="s">
        <v>354</v>
      </c>
      <c r="AJ123" s="19"/>
      <c r="AK123" s="19"/>
      <c r="AL123" s="89" t="s">
        <v>356</v>
      </c>
      <c r="AM123" s="89" t="s">
        <v>356</v>
      </c>
      <c r="AN123" s="89" t="s">
        <v>356</v>
      </c>
    </row>
    <row r="124">
      <c r="A124" s="17" t="s">
        <v>71</v>
      </c>
      <c r="B124" s="18" t="s">
        <v>459</v>
      </c>
      <c r="C124" s="19" t="s">
        <v>70</v>
      </c>
      <c r="D124" s="20" t="s">
        <v>439</v>
      </c>
      <c r="E124" s="21" t="s">
        <v>7</v>
      </c>
      <c r="F124" s="19" t="s">
        <v>8</v>
      </c>
      <c r="G124" s="23" t="s">
        <v>354</v>
      </c>
      <c r="H124" s="23">
        <v>275.0</v>
      </c>
      <c r="I124" s="23" t="s">
        <v>354</v>
      </c>
      <c r="J124" s="23" t="s">
        <v>354</v>
      </c>
      <c r="K124" s="23" t="s">
        <v>354</v>
      </c>
      <c r="L124" s="23">
        <v>0.0</v>
      </c>
      <c r="M124" s="22" t="s">
        <v>354</v>
      </c>
      <c r="N124" s="101" t="s">
        <v>17</v>
      </c>
      <c r="O124" s="24" t="s">
        <v>72</v>
      </c>
      <c r="P124" s="24" t="s">
        <v>73</v>
      </c>
      <c r="Q124" s="24" t="s">
        <v>74</v>
      </c>
      <c r="R124" s="24" t="s">
        <v>74</v>
      </c>
      <c r="S124" s="24" t="s">
        <v>74</v>
      </c>
      <c r="T124" s="24" t="s">
        <v>75</v>
      </c>
      <c r="U124" s="24" t="s">
        <v>71</v>
      </c>
      <c r="V124" s="24" t="s">
        <v>75</v>
      </c>
      <c r="W124" s="18" t="s">
        <v>462</v>
      </c>
      <c r="X124" s="19"/>
      <c r="Y124" s="19"/>
      <c r="Z124" s="19"/>
      <c r="AA124" s="19"/>
      <c r="AB124" s="41" t="s">
        <v>371</v>
      </c>
      <c r="AC124" s="19"/>
      <c r="AD124" s="19"/>
      <c r="AE124" s="19"/>
      <c r="AF124" s="23">
        <v>0.0</v>
      </c>
      <c r="AG124" s="23" t="s">
        <v>354</v>
      </c>
      <c r="AH124" s="19"/>
      <c r="AI124" s="23" t="s">
        <v>354</v>
      </c>
      <c r="AJ124" s="19"/>
      <c r="AK124" s="19"/>
      <c r="AL124" s="89" t="s">
        <v>356</v>
      </c>
      <c r="AM124" s="89" t="s">
        <v>356</v>
      </c>
      <c r="AN124" s="89" t="s">
        <v>356</v>
      </c>
    </row>
    <row r="125">
      <c r="A125" s="17" t="s">
        <v>71</v>
      </c>
      <c r="B125" s="18" t="s">
        <v>459</v>
      </c>
      <c r="C125" s="19" t="s">
        <v>70</v>
      </c>
      <c r="D125" s="20" t="s">
        <v>439</v>
      </c>
      <c r="E125" s="21" t="s">
        <v>7</v>
      </c>
      <c r="F125" s="19" t="s">
        <v>8</v>
      </c>
      <c r="G125" s="23" t="s">
        <v>354</v>
      </c>
      <c r="H125" s="23" t="s">
        <v>354</v>
      </c>
      <c r="I125" s="23" t="s">
        <v>354</v>
      </c>
      <c r="J125" s="23" t="s">
        <v>354</v>
      </c>
      <c r="K125" s="23" t="s">
        <v>354</v>
      </c>
      <c r="L125" s="41">
        <v>0.0</v>
      </c>
      <c r="M125" s="41" t="s">
        <v>354</v>
      </c>
      <c r="N125" s="101" t="s">
        <v>17</v>
      </c>
      <c r="O125" s="24" t="s">
        <v>72</v>
      </c>
      <c r="P125" s="24" t="s">
        <v>73</v>
      </c>
      <c r="Q125" s="24" t="s">
        <v>74</v>
      </c>
      <c r="R125" s="24" t="s">
        <v>74</v>
      </c>
      <c r="S125" s="24" t="s">
        <v>74</v>
      </c>
      <c r="T125" s="24" t="s">
        <v>75</v>
      </c>
      <c r="U125" s="24" t="s">
        <v>71</v>
      </c>
      <c r="V125" s="24" t="s">
        <v>75</v>
      </c>
      <c r="W125" s="18" t="s">
        <v>462</v>
      </c>
      <c r="X125" s="18" t="s">
        <v>463</v>
      </c>
      <c r="Y125" s="23"/>
      <c r="Z125" s="23"/>
      <c r="AA125" s="19"/>
      <c r="AB125" s="41" t="s">
        <v>371</v>
      </c>
      <c r="AC125" s="19"/>
      <c r="AD125" s="19"/>
      <c r="AE125" s="19"/>
      <c r="AF125" s="23">
        <v>0.0</v>
      </c>
      <c r="AG125" s="23" t="s">
        <v>354</v>
      </c>
      <c r="AH125" s="19"/>
      <c r="AI125" s="23" t="s">
        <v>354</v>
      </c>
      <c r="AJ125" s="19"/>
      <c r="AK125" s="19"/>
      <c r="AL125" s="89" t="s">
        <v>356</v>
      </c>
      <c r="AM125" s="89" t="s">
        <v>356</v>
      </c>
      <c r="AN125" s="89" t="s">
        <v>356</v>
      </c>
    </row>
    <row r="126">
      <c r="A126" s="17" t="s">
        <v>71</v>
      </c>
      <c r="B126" s="18" t="s">
        <v>459</v>
      </c>
      <c r="C126" s="19" t="s">
        <v>70</v>
      </c>
      <c r="D126" s="20" t="s">
        <v>439</v>
      </c>
      <c r="E126" s="21" t="s">
        <v>7</v>
      </c>
      <c r="F126" s="19" t="s">
        <v>8</v>
      </c>
      <c r="G126" s="23" t="s">
        <v>354</v>
      </c>
      <c r="H126" s="23" t="s">
        <v>354</v>
      </c>
      <c r="I126" s="23" t="s">
        <v>354</v>
      </c>
      <c r="J126" s="23" t="s">
        <v>354</v>
      </c>
      <c r="K126" s="23" t="s">
        <v>354</v>
      </c>
      <c r="L126" s="41">
        <v>0.0</v>
      </c>
      <c r="M126" s="41" t="s">
        <v>354</v>
      </c>
      <c r="N126" s="101" t="s">
        <v>17</v>
      </c>
      <c r="O126" s="24" t="s">
        <v>72</v>
      </c>
      <c r="P126" s="24" t="s">
        <v>73</v>
      </c>
      <c r="Q126" s="24" t="s">
        <v>74</v>
      </c>
      <c r="R126" s="24" t="s">
        <v>74</v>
      </c>
      <c r="S126" s="24" t="s">
        <v>74</v>
      </c>
      <c r="T126" s="24" t="s">
        <v>75</v>
      </c>
      <c r="U126" s="24" t="s">
        <v>71</v>
      </c>
      <c r="V126" s="24" t="s">
        <v>75</v>
      </c>
      <c r="W126" s="18" t="s">
        <v>462</v>
      </c>
      <c r="X126" s="18" t="s">
        <v>463</v>
      </c>
      <c r="Y126" s="18" t="s">
        <v>75</v>
      </c>
      <c r="Z126" s="23"/>
      <c r="AA126" s="19"/>
      <c r="AB126" s="41" t="s">
        <v>371</v>
      </c>
      <c r="AC126" s="19"/>
      <c r="AD126" s="19"/>
      <c r="AE126" s="19"/>
      <c r="AF126" s="23">
        <v>0.0</v>
      </c>
      <c r="AG126" s="23" t="s">
        <v>354</v>
      </c>
      <c r="AH126" s="19"/>
      <c r="AI126" s="23" t="s">
        <v>354</v>
      </c>
      <c r="AJ126" s="19"/>
      <c r="AK126" s="19"/>
      <c r="AL126" s="82" t="s">
        <v>361</v>
      </c>
      <c r="AM126" s="82" t="s">
        <v>361</v>
      </c>
      <c r="AN126" s="113" t="s">
        <v>356</v>
      </c>
    </row>
    <row r="127">
      <c r="A127" s="17" t="s">
        <v>71</v>
      </c>
      <c r="B127" s="18" t="s">
        <v>459</v>
      </c>
      <c r="C127" s="19" t="s">
        <v>70</v>
      </c>
      <c r="D127" s="20" t="s">
        <v>439</v>
      </c>
      <c r="E127" s="21" t="s">
        <v>7</v>
      </c>
      <c r="F127" s="19" t="s">
        <v>8</v>
      </c>
      <c r="G127" s="23" t="s">
        <v>354</v>
      </c>
      <c r="H127" s="23" t="s">
        <v>354</v>
      </c>
      <c r="I127" s="23" t="s">
        <v>354</v>
      </c>
      <c r="J127" s="23" t="s">
        <v>354</v>
      </c>
      <c r="K127" s="23" t="s">
        <v>354</v>
      </c>
      <c r="L127" s="41">
        <v>0.0</v>
      </c>
      <c r="M127" s="41" t="s">
        <v>354</v>
      </c>
      <c r="N127" s="101" t="s">
        <v>17</v>
      </c>
      <c r="O127" s="24" t="s">
        <v>72</v>
      </c>
      <c r="P127" s="24" t="s">
        <v>73</v>
      </c>
      <c r="Q127" s="24" t="s">
        <v>74</v>
      </c>
      <c r="R127" s="24" t="s">
        <v>74</v>
      </c>
      <c r="S127" s="24" t="s">
        <v>74</v>
      </c>
      <c r="T127" s="24" t="s">
        <v>75</v>
      </c>
      <c r="U127" s="24" t="s">
        <v>71</v>
      </c>
      <c r="V127" s="24" t="s">
        <v>75</v>
      </c>
      <c r="W127" s="18" t="s">
        <v>462</v>
      </c>
      <c r="X127" s="18" t="s">
        <v>463</v>
      </c>
      <c r="Y127" s="18" t="s">
        <v>75</v>
      </c>
      <c r="Z127" s="18" t="s">
        <v>464</v>
      </c>
      <c r="AA127" s="19"/>
      <c r="AB127" s="41" t="s">
        <v>371</v>
      </c>
      <c r="AC127" s="19"/>
      <c r="AD127" s="19"/>
      <c r="AE127" s="19"/>
      <c r="AF127" s="30">
        <v>45.4678737858883</v>
      </c>
      <c r="AG127" s="23" t="s">
        <v>356</v>
      </c>
      <c r="AH127" s="19"/>
      <c r="AI127" s="23" t="s">
        <v>356</v>
      </c>
      <c r="AJ127" s="99" t="s">
        <v>363</v>
      </c>
      <c r="AK127" s="23" t="s">
        <v>356</v>
      </c>
      <c r="AL127" s="82" t="s">
        <v>361</v>
      </c>
      <c r="AM127" s="82" t="s">
        <v>361</v>
      </c>
      <c r="AN127" s="99" t="s">
        <v>363</v>
      </c>
    </row>
    <row r="128">
      <c r="A128" s="17" t="s">
        <v>71</v>
      </c>
      <c r="B128" s="18" t="s">
        <v>459</v>
      </c>
      <c r="C128" s="19" t="s">
        <v>70</v>
      </c>
      <c r="D128" s="20" t="s">
        <v>439</v>
      </c>
      <c r="E128" s="21" t="s">
        <v>7</v>
      </c>
      <c r="F128" s="19" t="s">
        <v>8</v>
      </c>
      <c r="G128" s="23" t="s">
        <v>354</v>
      </c>
      <c r="H128" s="23" t="s">
        <v>354</v>
      </c>
      <c r="I128" s="23" t="s">
        <v>354</v>
      </c>
      <c r="J128" s="23" t="s">
        <v>354</v>
      </c>
      <c r="K128" s="23" t="s">
        <v>354</v>
      </c>
      <c r="L128" s="78">
        <v>1.0</v>
      </c>
      <c r="M128" s="78" t="s">
        <v>354</v>
      </c>
      <c r="N128" s="101" t="s">
        <v>17</v>
      </c>
      <c r="O128" s="24" t="s">
        <v>72</v>
      </c>
      <c r="P128" s="24" t="s">
        <v>73</v>
      </c>
      <c r="Q128" s="24" t="s">
        <v>74</v>
      </c>
      <c r="R128" s="24" t="s">
        <v>74</v>
      </c>
      <c r="S128" s="24" t="s">
        <v>74</v>
      </c>
      <c r="T128" s="24" t="s">
        <v>75</v>
      </c>
      <c r="U128" s="24" t="s">
        <v>71</v>
      </c>
      <c r="V128" s="24" t="s">
        <v>75</v>
      </c>
      <c r="W128" s="18" t="s">
        <v>462</v>
      </c>
      <c r="X128" s="18" t="s">
        <v>463</v>
      </c>
      <c r="Y128" s="18" t="s">
        <v>75</v>
      </c>
      <c r="Z128" s="18" t="s">
        <v>464</v>
      </c>
      <c r="AA128" s="18" t="s">
        <v>75</v>
      </c>
      <c r="AB128" s="78" t="s">
        <v>465</v>
      </c>
      <c r="AC128" s="19"/>
      <c r="AD128" s="19"/>
      <c r="AE128" s="19"/>
      <c r="AF128" s="23">
        <v>0.0</v>
      </c>
      <c r="AG128" s="23" t="s">
        <v>354</v>
      </c>
      <c r="AH128" s="19"/>
      <c r="AI128" s="23" t="s">
        <v>354</v>
      </c>
      <c r="AJ128" s="19"/>
      <c r="AK128" s="19"/>
      <c r="AL128" s="89" t="s">
        <v>356</v>
      </c>
      <c r="AM128" s="89" t="s">
        <v>356</v>
      </c>
      <c r="AN128" s="89" t="s">
        <v>356</v>
      </c>
    </row>
    <row r="129">
      <c r="A129" s="45" t="s">
        <v>77</v>
      </c>
      <c r="B129" s="18" t="s">
        <v>17</v>
      </c>
      <c r="C129" s="46" t="s">
        <v>76</v>
      </c>
      <c r="D129" s="47" t="s">
        <v>439</v>
      </c>
      <c r="E129" s="48" t="s">
        <v>37</v>
      </c>
      <c r="F129" s="46" t="s">
        <v>67</v>
      </c>
      <c r="G129" s="49">
        <v>123.0</v>
      </c>
      <c r="H129" s="49">
        <v>250.0</v>
      </c>
      <c r="I129" s="49" t="s">
        <v>354</v>
      </c>
      <c r="J129" s="46">
        <v>18.0</v>
      </c>
      <c r="K129" s="49" t="s">
        <v>354</v>
      </c>
      <c r="L129" s="49">
        <v>0.0</v>
      </c>
      <c r="M129" s="49" t="s">
        <v>354</v>
      </c>
      <c r="N129" s="101" t="s">
        <v>17</v>
      </c>
      <c r="O129" s="24" t="s">
        <v>78</v>
      </c>
      <c r="P129" s="44" t="s">
        <v>373</v>
      </c>
      <c r="Q129" s="61" t="s">
        <v>373</v>
      </c>
      <c r="R129" s="62" t="s">
        <v>381</v>
      </c>
      <c r="S129" s="62" t="s">
        <v>381</v>
      </c>
      <c r="T129" s="62" t="s">
        <v>381</v>
      </c>
      <c r="U129" s="62" t="s">
        <v>381</v>
      </c>
      <c r="V129" s="62" t="s">
        <v>381</v>
      </c>
      <c r="W129" s="62" t="s">
        <v>381</v>
      </c>
      <c r="X129" s="62" t="s">
        <v>381</v>
      </c>
      <c r="Y129" s="62" t="s">
        <v>381</v>
      </c>
      <c r="Z129" s="62" t="s">
        <v>381</v>
      </c>
      <c r="AA129" s="62" t="s">
        <v>381</v>
      </c>
      <c r="AB129" s="62" t="s">
        <v>466</v>
      </c>
      <c r="AC129" s="46">
        <v>36294.0</v>
      </c>
      <c r="AD129" s="46"/>
      <c r="AE129" s="46"/>
      <c r="AF129" s="56">
        <v>39.325</v>
      </c>
      <c r="AG129" s="56" t="s">
        <v>365</v>
      </c>
      <c r="AH129" s="46"/>
      <c r="AI129" s="56" t="s">
        <v>365</v>
      </c>
      <c r="AJ129" s="46"/>
      <c r="AK129" s="46"/>
      <c r="AL129" s="114" t="s">
        <v>413</v>
      </c>
      <c r="AM129" s="64" t="s">
        <v>363</v>
      </c>
      <c r="AN129" s="64" t="s">
        <v>363</v>
      </c>
    </row>
    <row r="130">
      <c r="A130" s="17" t="s">
        <v>80</v>
      </c>
      <c r="B130" s="18" t="s">
        <v>467</v>
      </c>
      <c r="C130" s="19" t="s">
        <v>79</v>
      </c>
      <c r="D130" s="20" t="s">
        <v>439</v>
      </c>
      <c r="E130" s="21" t="s">
        <v>7</v>
      </c>
      <c r="F130" s="19" t="s">
        <v>8</v>
      </c>
      <c r="G130" s="23">
        <v>129.0</v>
      </c>
      <c r="H130" s="23">
        <v>305.0</v>
      </c>
      <c r="I130" s="22" t="s">
        <v>354</v>
      </c>
      <c r="J130" s="22" t="s">
        <v>354</v>
      </c>
      <c r="K130" s="22" t="s">
        <v>354</v>
      </c>
      <c r="L130" s="23">
        <v>0.0</v>
      </c>
      <c r="M130" s="22" t="s">
        <v>354</v>
      </c>
      <c r="N130" s="101" t="s">
        <v>17</v>
      </c>
      <c r="O130" s="24" t="s">
        <v>81</v>
      </c>
      <c r="P130" s="19"/>
      <c r="Q130" s="19"/>
      <c r="R130" s="19"/>
      <c r="S130" s="19"/>
      <c r="T130" s="19"/>
      <c r="U130" s="19"/>
      <c r="V130" s="19"/>
      <c r="W130" s="19"/>
      <c r="X130" s="19"/>
      <c r="Y130" s="19"/>
      <c r="Z130" s="19"/>
      <c r="AA130" s="19"/>
      <c r="AB130" s="22" t="s">
        <v>354</v>
      </c>
      <c r="AC130" s="19">
        <v>36295.0</v>
      </c>
      <c r="AD130" s="19"/>
      <c r="AE130" s="19"/>
      <c r="AF130" s="23">
        <v>0.0</v>
      </c>
      <c r="AG130" s="23" t="s">
        <v>356</v>
      </c>
      <c r="AH130" s="19"/>
      <c r="AI130" s="23" t="s">
        <v>356</v>
      </c>
      <c r="AJ130" s="19"/>
      <c r="AK130" s="19"/>
      <c r="AL130" s="70" t="s">
        <v>361</v>
      </c>
      <c r="AM130" s="31" t="s">
        <v>356</v>
      </c>
      <c r="AN130" s="31" t="s">
        <v>356</v>
      </c>
    </row>
    <row r="131">
      <c r="A131" s="17" t="s">
        <v>80</v>
      </c>
      <c r="B131" s="18" t="s">
        <v>467</v>
      </c>
      <c r="C131" s="19" t="s">
        <v>79</v>
      </c>
      <c r="D131" s="20" t="s">
        <v>439</v>
      </c>
      <c r="E131" s="21" t="s">
        <v>7</v>
      </c>
      <c r="F131" s="19" t="s">
        <v>8</v>
      </c>
      <c r="G131" s="23">
        <v>129.0</v>
      </c>
      <c r="H131" s="23">
        <v>325.0</v>
      </c>
      <c r="I131" s="22" t="s">
        <v>354</v>
      </c>
      <c r="J131" s="22" t="s">
        <v>354</v>
      </c>
      <c r="K131" s="22" t="s">
        <v>354</v>
      </c>
      <c r="L131" s="23">
        <v>0.0</v>
      </c>
      <c r="M131" s="22" t="s">
        <v>354</v>
      </c>
      <c r="N131" s="101" t="s">
        <v>17</v>
      </c>
      <c r="O131" s="24" t="s">
        <v>81</v>
      </c>
      <c r="P131" s="24" t="s">
        <v>82</v>
      </c>
      <c r="Q131" s="19"/>
      <c r="R131" s="19"/>
      <c r="S131" s="19"/>
      <c r="T131" s="19"/>
      <c r="U131" s="19"/>
      <c r="V131" s="19"/>
      <c r="W131" s="19"/>
      <c r="X131" s="19"/>
      <c r="Y131" s="19"/>
      <c r="Z131" s="19"/>
      <c r="AA131" s="19"/>
      <c r="AB131" s="23" t="s">
        <v>468</v>
      </c>
      <c r="AC131" s="19">
        <v>36323.0</v>
      </c>
      <c r="AD131" s="19"/>
      <c r="AE131" s="19"/>
      <c r="AF131" s="66">
        <v>28.64</v>
      </c>
      <c r="AG131" s="23" t="s">
        <v>356</v>
      </c>
      <c r="AH131" s="19"/>
      <c r="AI131" s="23" t="s">
        <v>356</v>
      </c>
      <c r="AJ131" s="19"/>
      <c r="AK131" s="19"/>
      <c r="AL131" s="27" t="s">
        <v>358</v>
      </c>
      <c r="AM131" s="27" t="s">
        <v>358</v>
      </c>
      <c r="AN131" s="27" t="s">
        <v>358</v>
      </c>
    </row>
    <row r="132">
      <c r="A132" s="17" t="s">
        <v>80</v>
      </c>
      <c r="B132" s="18" t="s">
        <v>467</v>
      </c>
      <c r="C132" s="19" t="s">
        <v>79</v>
      </c>
      <c r="D132" s="20" t="s">
        <v>439</v>
      </c>
      <c r="E132" s="21" t="s">
        <v>7</v>
      </c>
      <c r="F132" s="19" t="s">
        <v>8</v>
      </c>
      <c r="G132" s="22" t="s">
        <v>354</v>
      </c>
      <c r="H132" s="23">
        <v>290.0</v>
      </c>
      <c r="I132" s="22" t="s">
        <v>354</v>
      </c>
      <c r="J132" s="22" t="s">
        <v>354</v>
      </c>
      <c r="K132" s="22" t="s">
        <v>354</v>
      </c>
      <c r="L132" s="23">
        <v>1.0</v>
      </c>
      <c r="M132" s="22" t="s">
        <v>354</v>
      </c>
      <c r="N132" s="101" t="s">
        <v>17</v>
      </c>
      <c r="O132" s="24" t="s">
        <v>81</v>
      </c>
      <c r="P132" s="24" t="s">
        <v>82</v>
      </c>
      <c r="Q132" s="24" t="s">
        <v>80</v>
      </c>
      <c r="R132" s="19"/>
      <c r="S132" s="19"/>
      <c r="T132" s="19"/>
      <c r="U132" s="19"/>
      <c r="V132" s="19"/>
      <c r="W132" s="19"/>
      <c r="X132" s="19"/>
      <c r="Y132" s="19"/>
      <c r="Z132" s="19"/>
      <c r="AA132" s="19"/>
      <c r="AB132" s="22" t="s">
        <v>354</v>
      </c>
      <c r="AC132" s="19">
        <v>36597.0</v>
      </c>
      <c r="AD132" s="19"/>
      <c r="AE132" s="19"/>
      <c r="AF132" s="66">
        <v>29.29</v>
      </c>
      <c r="AG132" s="23" t="s">
        <v>356</v>
      </c>
      <c r="AH132" s="19"/>
      <c r="AI132" s="23" t="s">
        <v>356</v>
      </c>
      <c r="AJ132" s="19"/>
      <c r="AK132" s="19"/>
      <c r="AL132" s="28" t="s">
        <v>358</v>
      </c>
      <c r="AM132" s="27" t="s">
        <v>358</v>
      </c>
      <c r="AN132" s="115" t="s">
        <v>358</v>
      </c>
    </row>
    <row r="133">
      <c r="A133" s="17" t="s">
        <v>80</v>
      </c>
      <c r="B133" s="18" t="s">
        <v>467</v>
      </c>
      <c r="C133" s="19" t="s">
        <v>79</v>
      </c>
      <c r="D133" s="20" t="s">
        <v>439</v>
      </c>
      <c r="E133" s="21" t="s">
        <v>7</v>
      </c>
      <c r="F133" s="19" t="s">
        <v>8</v>
      </c>
      <c r="G133" s="22" t="s">
        <v>354</v>
      </c>
      <c r="H133" s="23">
        <v>285.0</v>
      </c>
      <c r="I133" s="22" t="s">
        <v>354</v>
      </c>
      <c r="J133" s="22" t="s">
        <v>354</v>
      </c>
      <c r="K133" s="22" t="s">
        <v>354</v>
      </c>
      <c r="L133" s="23">
        <v>0.0</v>
      </c>
      <c r="M133" s="22" t="s">
        <v>354</v>
      </c>
      <c r="N133" s="101" t="s">
        <v>17</v>
      </c>
      <c r="O133" s="24" t="s">
        <v>81</v>
      </c>
      <c r="P133" s="24" t="s">
        <v>82</v>
      </c>
      <c r="Q133" s="24" t="s">
        <v>80</v>
      </c>
      <c r="R133" s="24" t="s">
        <v>80</v>
      </c>
      <c r="S133" s="19"/>
      <c r="T133" s="19"/>
      <c r="U133" s="19"/>
      <c r="V133" s="19"/>
      <c r="W133" s="19"/>
      <c r="X133" s="19"/>
      <c r="Y133" s="19"/>
      <c r="Z133" s="19"/>
      <c r="AA133" s="19"/>
      <c r="AB133" s="23" t="s">
        <v>469</v>
      </c>
      <c r="AC133" s="19"/>
      <c r="AD133" s="19"/>
      <c r="AE133" s="19"/>
      <c r="AF133" s="23">
        <v>0.0</v>
      </c>
      <c r="AG133" s="23" t="s">
        <v>356</v>
      </c>
      <c r="AH133" s="19"/>
      <c r="AI133" s="23" t="s">
        <v>356</v>
      </c>
      <c r="AJ133" s="19"/>
      <c r="AK133" s="19"/>
      <c r="AL133" s="23" t="s">
        <v>356</v>
      </c>
      <c r="AM133" s="23" t="s">
        <v>356</v>
      </c>
      <c r="AN133" s="23" t="s">
        <v>356</v>
      </c>
    </row>
    <row r="134">
      <c r="A134" s="17" t="s">
        <v>80</v>
      </c>
      <c r="B134" s="18" t="s">
        <v>467</v>
      </c>
      <c r="C134" s="19" t="s">
        <v>79</v>
      </c>
      <c r="D134" s="20" t="s">
        <v>439</v>
      </c>
      <c r="E134" s="21" t="s">
        <v>7</v>
      </c>
      <c r="F134" s="19" t="s">
        <v>8</v>
      </c>
      <c r="G134" s="22" t="s">
        <v>354</v>
      </c>
      <c r="H134" s="23">
        <v>285.0</v>
      </c>
      <c r="I134" s="22" t="s">
        <v>354</v>
      </c>
      <c r="J134" s="22" t="s">
        <v>354</v>
      </c>
      <c r="K134" s="22" t="s">
        <v>354</v>
      </c>
      <c r="L134" s="23">
        <v>0.0</v>
      </c>
      <c r="M134" s="22" t="s">
        <v>354</v>
      </c>
      <c r="N134" s="101" t="s">
        <v>17</v>
      </c>
      <c r="O134" s="24" t="s">
        <v>81</v>
      </c>
      <c r="P134" s="24" t="s">
        <v>82</v>
      </c>
      <c r="Q134" s="24" t="s">
        <v>80</v>
      </c>
      <c r="R134" s="24" t="s">
        <v>80</v>
      </c>
      <c r="S134" s="24" t="s">
        <v>80</v>
      </c>
      <c r="T134" s="19"/>
      <c r="U134" s="19"/>
      <c r="V134" s="19"/>
      <c r="W134" s="19"/>
      <c r="X134" s="19"/>
      <c r="Y134" s="19"/>
      <c r="Z134" s="19"/>
      <c r="AA134" s="19"/>
      <c r="AB134" s="23" t="s">
        <v>470</v>
      </c>
      <c r="AC134" s="19"/>
      <c r="AD134" s="19"/>
      <c r="AE134" s="19"/>
      <c r="AF134" s="23">
        <v>0.0</v>
      </c>
      <c r="AG134" s="23" t="s">
        <v>354</v>
      </c>
      <c r="AH134" s="19"/>
      <c r="AI134" s="23" t="s">
        <v>354</v>
      </c>
      <c r="AJ134" s="19"/>
      <c r="AK134" s="19"/>
      <c r="AL134" s="23" t="s">
        <v>356</v>
      </c>
      <c r="AM134" s="23" t="s">
        <v>356</v>
      </c>
      <c r="AN134" s="23" t="s">
        <v>356</v>
      </c>
    </row>
    <row r="135">
      <c r="A135" s="17" t="s">
        <v>80</v>
      </c>
      <c r="B135" s="18" t="s">
        <v>467</v>
      </c>
      <c r="C135" s="19" t="s">
        <v>79</v>
      </c>
      <c r="D135" s="20" t="s">
        <v>439</v>
      </c>
      <c r="E135" s="21" t="s">
        <v>7</v>
      </c>
      <c r="F135" s="19" t="s">
        <v>8</v>
      </c>
      <c r="G135" s="22" t="s">
        <v>354</v>
      </c>
      <c r="H135" s="23">
        <v>245.0</v>
      </c>
      <c r="I135" s="22" t="s">
        <v>354</v>
      </c>
      <c r="J135" s="22" t="s">
        <v>354</v>
      </c>
      <c r="K135" s="22" t="s">
        <v>354</v>
      </c>
      <c r="L135" s="23">
        <v>0.0</v>
      </c>
      <c r="M135" s="22" t="s">
        <v>354</v>
      </c>
      <c r="N135" s="101" t="s">
        <v>17</v>
      </c>
      <c r="O135" s="24" t="s">
        <v>81</v>
      </c>
      <c r="P135" s="24" t="s">
        <v>82</v>
      </c>
      <c r="Q135" s="24" t="s">
        <v>80</v>
      </c>
      <c r="R135" s="24" t="s">
        <v>80</v>
      </c>
      <c r="S135" s="24" t="s">
        <v>80</v>
      </c>
      <c r="T135" s="24" t="s">
        <v>80</v>
      </c>
      <c r="U135" s="19"/>
      <c r="V135" s="19"/>
      <c r="W135" s="19"/>
      <c r="X135" s="19"/>
      <c r="Y135" s="19"/>
      <c r="Z135" s="19"/>
      <c r="AA135" s="19"/>
      <c r="AB135" s="22" t="s">
        <v>354</v>
      </c>
      <c r="AC135" s="19"/>
      <c r="AD135" s="19"/>
      <c r="AE135" s="19"/>
      <c r="AF135" s="23">
        <v>0.0</v>
      </c>
      <c r="AG135" s="23" t="s">
        <v>354</v>
      </c>
      <c r="AH135" s="19"/>
      <c r="AI135" s="23" t="s">
        <v>354</v>
      </c>
      <c r="AJ135" s="19"/>
      <c r="AK135" s="19"/>
      <c r="AL135" s="82" t="s">
        <v>361</v>
      </c>
      <c r="AM135" s="89" t="s">
        <v>356</v>
      </c>
      <c r="AN135" s="89" t="s">
        <v>356</v>
      </c>
    </row>
    <row r="136">
      <c r="A136" s="17" t="s">
        <v>80</v>
      </c>
      <c r="B136" s="18" t="s">
        <v>467</v>
      </c>
      <c r="C136" s="19" t="s">
        <v>79</v>
      </c>
      <c r="D136" s="20" t="s">
        <v>439</v>
      </c>
      <c r="E136" s="21" t="s">
        <v>7</v>
      </c>
      <c r="F136" s="19" t="s">
        <v>8</v>
      </c>
      <c r="G136" s="22" t="s">
        <v>354</v>
      </c>
      <c r="H136" s="23">
        <v>260.0</v>
      </c>
      <c r="I136" s="22" t="s">
        <v>354</v>
      </c>
      <c r="J136" s="22" t="s">
        <v>354</v>
      </c>
      <c r="K136" s="22" t="s">
        <v>354</v>
      </c>
      <c r="L136" s="23">
        <v>0.0</v>
      </c>
      <c r="M136" s="22" t="s">
        <v>354</v>
      </c>
      <c r="N136" s="101" t="s">
        <v>17</v>
      </c>
      <c r="O136" s="24" t="s">
        <v>81</v>
      </c>
      <c r="P136" s="24" t="s">
        <v>82</v>
      </c>
      <c r="Q136" s="24" t="s">
        <v>80</v>
      </c>
      <c r="R136" s="24" t="s">
        <v>80</v>
      </c>
      <c r="S136" s="24" t="s">
        <v>80</v>
      </c>
      <c r="T136" s="24" t="s">
        <v>80</v>
      </c>
      <c r="U136" s="24" t="s">
        <v>80</v>
      </c>
      <c r="V136" s="19"/>
      <c r="W136" s="19"/>
      <c r="X136" s="19"/>
      <c r="Y136" s="19"/>
      <c r="Z136" s="19"/>
      <c r="AA136" s="19"/>
      <c r="AB136" s="23" t="s">
        <v>471</v>
      </c>
      <c r="AC136" s="19"/>
      <c r="AD136" s="19"/>
      <c r="AE136" s="19"/>
      <c r="AF136" s="23">
        <v>0.0</v>
      </c>
      <c r="AG136" s="23" t="s">
        <v>354</v>
      </c>
      <c r="AH136" s="19"/>
      <c r="AI136" s="23" t="s">
        <v>354</v>
      </c>
      <c r="AJ136" s="19"/>
      <c r="AK136" s="19"/>
      <c r="AL136" s="23" t="s">
        <v>356</v>
      </c>
      <c r="AM136" s="23" t="s">
        <v>356</v>
      </c>
      <c r="AN136" s="23" t="s">
        <v>356</v>
      </c>
    </row>
    <row r="137">
      <c r="A137" s="17" t="s">
        <v>80</v>
      </c>
      <c r="B137" s="18" t="s">
        <v>467</v>
      </c>
      <c r="C137" s="19" t="s">
        <v>79</v>
      </c>
      <c r="D137" s="20" t="s">
        <v>439</v>
      </c>
      <c r="E137" s="21" t="s">
        <v>7</v>
      </c>
      <c r="F137" s="19" t="s">
        <v>8</v>
      </c>
      <c r="G137" s="22" t="s">
        <v>354</v>
      </c>
      <c r="H137" s="23">
        <v>295.0</v>
      </c>
      <c r="I137" s="22" t="s">
        <v>354</v>
      </c>
      <c r="J137" s="22" t="s">
        <v>354</v>
      </c>
      <c r="K137" s="22" t="s">
        <v>354</v>
      </c>
      <c r="L137" s="23">
        <v>0.0</v>
      </c>
      <c r="M137" s="22" t="s">
        <v>354</v>
      </c>
      <c r="N137" s="101" t="s">
        <v>17</v>
      </c>
      <c r="O137" s="24" t="s">
        <v>81</v>
      </c>
      <c r="P137" s="24" t="s">
        <v>82</v>
      </c>
      <c r="Q137" s="24" t="s">
        <v>80</v>
      </c>
      <c r="R137" s="24" t="s">
        <v>80</v>
      </c>
      <c r="S137" s="24" t="s">
        <v>80</v>
      </c>
      <c r="T137" s="24" t="s">
        <v>80</v>
      </c>
      <c r="U137" s="24" t="s">
        <v>80</v>
      </c>
      <c r="V137" s="24" t="s">
        <v>80</v>
      </c>
      <c r="W137" s="19"/>
      <c r="X137" s="19"/>
      <c r="Y137" s="19"/>
      <c r="Z137" s="19"/>
      <c r="AA137" s="19"/>
      <c r="AB137" s="22" t="s">
        <v>354</v>
      </c>
      <c r="AC137" s="19"/>
      <c r="AD137" s="19"/>
      <c r="AE137" s="19"/>
      <c r="AF137" s="23">
        <v>0.0</v>
      </c>
      <c r="AG137" s="23" t="s">
        <v>354</v>
      </c>
      <c r="AH137" s="19"/>
      <c r="AI137" s="23" t="s">
        <v>354</v>
      </c>
      <c r="AJ137" s="19"/>
      <c r="AK137" s="19"/>
      <c r="AL137" s="23" t="s">
        <v>356</v>
      </c>
      <c r="AM137" s="23" t="s">
        <v>356</v>
      </c>
      <c r="AN137" s="23" t="s">
        <v>356</v>
      </c>
    </row>
    <row r="138">
      <c r="A138" s="17" t="s">
        <v>80</v>
      </c>
      <c r="B138" s="18" t="s">
        <v>467</v>
      </c>
      <c r="C138" s="19" t="s">
        <v>79</v>
      </c>
      <c r="D138" s="20" t="s">
        <v>439</v>
      </c>
      <c r="E138" s="21" t="s">
        <v>7</v>
      </c>
      <c r="F138" s="19" t="s">
        <v>8</v>
      </c>
      <c r="G138" s="23">
        <v>129.0</v>
      </c>
      <c r="H138" s="23">
        <v>330.0</v>
      </c>
      <c r="I138" s="22" t="s">
        <v>354</v>
      </c>
      <c r="J138" s="22" t="s">
        <v>354</v>
      </c>
      <c r="K138" s="22" t="s">
        <v>354</v>
      </c>
      <c r="L138" s="23">
        <v>0.0</v>
      </c>
      <c r="M138" s="22" t="s">
        <v>354</v>
      </c>
      <c r="N138" s="101" t="s">
        <v>17</v>
      </c>
      <c r="O138" s="24" t="s">
        <v>81</v>
      </c>
      <c r="P138" s="24" t="s">
        <v>82</v>
      </c>
      <c r="Q138" s="24" t="s">
        <v>80</v>
      </c>
      <c r="R138" s="24" t="s">
        <v>80</v>
      </c>
      <c r="S138" s="24" t="s">
        <v>80</v>
      </c>
      <c r="T138" s="24" t="s">
        <v>80</v>
      </c>
      <c r="U138" s="24" t="s">
        <v>80</v>
      </c>
      <c r="V138" s="24" t="s">
        <v>80</v>
      </c>
      <c r="W138" s="18" t="s">
        <v>472</v>
      </c>
      <c r="X138" s="19"/>
      <c r="Y138" s="19"/>
      <c r="Z138" s="19"/>
      <c r="AA138" s="19"/>
      <c r="AB138" s="41" t="s">
        <v>371</v>
      </c>
      <c r="AC138" s="19"/>
      <c r="AD138" s="19"/>
      <c r="AE138" s="19"/>
      <c r="AF138" s="23">
        <v>0.0</v>
      </c>
      <c r="AG138" s="23" t="s">
        <v>354</v>
      </c>
      <c r="AH138" s="19"/>
      <c r="AI138" s="23" t="s">
        <v>354</v>
      </c>
      <c r="AJ138" s="19"/>
      <c r="AK138" s="19"/>
      <c r="AL138" s="23" t="s">
        <v>356</v>
      </c>
      <c r="AM138" s="23" t="s">
        <v>356</v>
      </c>
      <c r="AN138" s="23" t="s">
        <v>356</v>
      </c>
    </row>
    <row r="139">
      <c r="A139" s="17" t="s">
        <v>80</v>
      </c>
      <c r="B139" s="18" t="s">
        <v>467</v>
      </c>
      <c r="C139" s="19" t="s">
        <v>79</v>
      </c>
      <c r="D139" s="20" t="s">
        <v>439</v>
      </c>
      <c r="E139" s="21" t="s">
        <v>7</v>
      </c>
      <c r="F139" s="19" t="s">
        <v>8</v>
      </c>
      <c r="G139" s="22" t="s">
        <v>354</v>
      </c>
      <c r="H139" s="22" t="s">
        <v>354</v>
      </c>
      <c r="I139" s="22" t="s">
        <v>354</v>
      </c>
      <c r="J139" s="22" t="s">
        <v>354</v>
      </c>
      <c r="K139" s="22" t="s">
        <v>354</v>
      </c>
      <c r="L139" s="41">
        <v>0.0</v>
      </c>
      <c r="M139" s="41" t="s">
        <v>354</v>
      </c>
      <c r="N139" s="101" t="s">
        <v>17</v>
      </c>
      <c r="O139" s="24" t="s">
        <v>81</v>
      </c>
      <c r="P139" s="24" t="s">
        <v>82</v>
      </c>
      <c r="Q139" s="24" t="s">
        <v>80</v>
      </c>
      <c r="R139" s="24" t="s">
        <v>80</v>
      </c>
      <c r="S139" s="24" t="s">
        <v>80</v>
      </c>
      <c r="T139" s="24" t="s">
        <v>80</v>
      </c>
      <c r="U139" s="24" t="s">
        <v>80</v>
      </c>
      <c r="V139" s="24" t="s">
        <v>80</v>
      </c>
      <c r="W139" s="18" t="s">
        <v>472</v>
      </c>
      <c r="X139" s="24" t="s">
        <v>80</v>
      </c>
      <c r="Y139" s="19"/>
      <c r="Z139" s="19"/>
      <c r="AA139" s="19"/>
      <c r="AB139" s="41" t="s">
        <v>371</v>
      </c>
      <c r="AC139" s="19"/>
      <c r="AD139" s="19"/>
      <c r="AE139" s="19"/>
      <c r="AF139" s="23">
        <v>0.0</v>
      </c>
      <c r="AG139" s="23" t="s">
        <v>354</v>
      </c>
      <c r="AH139" s="19"/>
      <c r="AI139" s="23" t="s">
        <v>354</v>
      </c>
      <c r="AJ139" s="23"/>
      <c r="AK139" s="23"/>
      <c r="AL139" s="115" t="s">
        <v>358</v>
      </c>
      <c r="AM139" s="23" t="s">
        <v>356</v>
      </c>
      <c r="AN139" s="28" t="s">
        <v>358</v>
      </c>
    </row>
    <row r="140">
      <c r="A140" s="17" t="s">
        <v>80</v>
      </c>
      <c r="B140" s="18" t="s">
        <v>467</v>
      </c>
      <c r="C140" s="19" t="s">
        <v>79</v>
      </c>
      <c r="D140" s="20" t="s">
        <v>439</v>
      </c>
      <c r="E140" s="21" t="s">
        <v>7</v>
      </c>
      <c r="F140" s="19" t="s">
        <v>8</v>
      </c>
      <c r="G140" s="22" t="s">
        <v>354</v>
      </c>
      <c r="H140" s="22" t="s">
        <v>354</v>
      </c>
      <c r="I140" s="22" t="s">
        <v>354</v>
      </c>
      <c r="J140" s="22" t="s">
        <v>354</v>
      </c>
      <c r="K140" s="22" t="s">
        <v>354</v>
      </c>
      <c r="L140" s="41">
        <v>0.0</v>
      </c>
      <c r="M140" s="41" t="s">
        <v>354</v>
      </c>
      <c r="N140" s="101" t="s">
        <v>17</v>
      </c>
      <c r="O140" s="24" t="s">
        <v>81</v>
      </c>
      <c r="P140" s="24" t="s">
        <v>82</v>
      </c>
      <c r="Q140" s="24" t="s">
        <v>80</v>
      </c>
      <c r="R140" s="24" t="s">
        <v>80</v>
      </c>
      <c r="S140" s="24" t="s">
        <v>80</v>
      </c>
      <c r="T140" s="24" t="s">
        <v>80</v>
      </c>
      <c r="U140" s="24" t="s">
        <v>80</v>
      </c>
      <c r="V140" s="24" t="s">
        <v>80</v>
      </c>
      <c r="W140" s="18" t="s">
        <v>472</v>
      </c>
      <c r="X140" s="24" t="s">
        <v>80</v>
      </c>
      <c r="Y140" s="24" t="s">
        <v>80</v>
      </c>
      <c r="Z140" s="19"/>
      <c r="AA140" s="19"/>
      <c r="AB140" s="41" t="s">
        <v>371</v>
      </c>
      <c r="AC140" s="19"/>
      <c r="AD140" s="19"/>
      <c r="AE140" s="19"/>
      <c r="AF140" s="23">
        <v>0.0</v>
      </c>
      <c r="AG140" s="23" t="s">
        <v>354</v>
      </c>
      <c r="AH140" s="19"/>
      <c r="AI140" s="23" t="s">
        <v>354</v>
      </c>
      <c r="AJ140" s="23"/>
      <c r="AK140" s="23"/>
      <c r="AL140" s="116" t="s">
        <v>361</v>
      </c>
      <c r="AM140" s="82" t="s">
        <v>361</v>
      </c>
      <c r="AN140" s="117" t="s">
        <v>358</v>
      </c>
    </row>
    <row r="141">
      <c r="A141" s="17" t="s">
        <v>80</v>
      </c>
      <c r="B141" s="18" t="s">
        <v>467</v>
      </c>
      <c r="C141" s="19" t="s">
        <v>79</v>
      </c>
      <c r="D141" s="20" t="s">
        <v>439</v>
      </c>
      <c r="E141" s="21" t="s">
        <v>7</v>
      </c>
      <c r="F141" s="19" t="s">
        <v>8</v>
      </c>
      <c r="G141" s="22" t="s">
        <v>354</v>
      </c>
      <c r="H141" s="22" t="s">
        <v>354</v>
      </c>
      <c r="I141" s="22" t="s">
        <v>354</v>
      </c>
      <c r="J141" s="22" t="s">
        <v>354</v>
      </c>
      <c r="K141" s="22" t="s">
        <v>354</v>
      </c>
      <c r="L141" s="78">
        <v>1.0</v>
      </c>
      <c r="M141" s="78" t="s">
        <v>354</v>
      </c>
      <c r="N141" s="101" t="s">
        <v>17</v>
      </c>
      <c r="O141" s="24" t="s">
        <v>81</v>
      </c>
      <c r="P141" s="24" t="s">
        <v>82</v>
      </c>
      <c r="Q141" s="24" t="s">
        <v>80</v>
      </c>
      <c r="R141" s="24" t="s">
        <v>80</v>
      </c>
      <c r="S141" s="24" t="s">
        <v>80</v>
      </c>
      <c r="T141" s="24" t="s">
        <v>80</v>
      </c>
      <c r="U141" s="24" t="s">
        <v>80</v>
      </c>
      <c r="V141" s="24" t="s">
        <v>80</v>
      </c>
      <c r="W141" s="18" t="s">
        <v>472</v>
      </c>
      <c r="X141" s="24" t="s">
        <v>80</v>
      </c>
      <c r="Y141" s="24" t="s">
        <v>80</v>
      </c>
      <c r="Z141" s="24" t="s">
        <v>80</v>
      </c>
      <c r="AA141" s="19"/>
      <c r="AB141" s="78" t="s">
        <v>473</v>
      </c>
      <c r="AC141" s="19"/>
      <c r="AD141" s="19"/>
      <c r="AE141" s="19"/>
      <c r="AF141" s="23">
        <v>0.0</v>
      </c>
      <c r="AG141" s="23" t="s">
        <v>356</v>
      </c>
      <c r="AH141" s="19"/>
      <c r="AI141" s="23" t="s">
        <v>356</v>
      </c>
      <c r="AJ141" s="23" t="s">
        <v>356</v>
      </c>
      <c r="AK141" s="23" t="s">
        <v>356</v>
      </c>
      <c r="AL141" s="31" t="s">
        <v>356</v>
      </c>
      <c r="AM141" s="82" t="s">
        <v>361</v>
      </c>
      <c r="AN141" s="117" t="s">
        <v>358</v>
      </c>
    </row>
    <row r="142">
      <c r="A142" s="17" t="s">
        <v>80</v>
      </c>
      <c r="B142" s="18" t="s">
        <v>467</v>
      </c>
      <c r="C142" s="19" t="s">
        <v>79</v>
      </c>
      <c r="D142" s="20" t="s">
        <v>439</v>
      </c>
      <c r="E142" s="21" t="s">
        <v>7</v>
      </c>
      <c r="F142" s="19" t="s">
        <v>8</v>
      </c>
      <c r="G142" s="22" t="s">
        <v>354</v>
      </c>
      <c r="H142" s="22" t="s">
        <v>354</v>
      </c>
      <c r="I142" s="22" t="s">
        <v>354</v>
      </c>
      <c r="J142" s="22" t="s">
        <v>354</v>
      </c>
      <c r="K142" s="22" t="s">
        <v>354</v>
      </c>
      <c r="L142" s="41">
        <v>0.0</v>
      </c>
      <c r="M142" s="41" t="s">
        <v>354</v>
      </c>
      <c r="N142" s="101" t="s">
        <v>17</v>
      </c>
      <c r="O142" s="24" t="s">
        <v>81</v>
      </c>
      <c r="P142" s="24" t="s">
        <v>82</v>
      </c>
      <c r="Q142" s="24" t="s">
        <v>80</v>
      </c>
      <c r="R142" s="24" t="s">
        <v>80</v>
      </c>
      <c r="S142" s="24" t="s">
        <v>80</v>
      </c>
      <c r="T142" s="24" t="s">
        <v>80</v>
      </c>
      <c r="U142" s="24" t="s">
        <v>80</v>
      </c>
      <c r="V142" s="24" t="s">
        <v>80</v>
      </c>
      <c r="W142" s="18" t="s">
        <v>472</v>
      </c>
      <c r="X142" s="24" t="s">
        <v>80</v>
      </c>
      <c r="Y142" s="24" t="s">
        <v>80</v>
      </c>
      <c r="Z142" s="24" t="s">
        <v>80</v>
      </c>
      <c r="AA142" s="24" t="s">
        <v>80</v>
      </c>
      <c r="AB142" s="41" t="s">
        <v>371</v>
      </c>
      <c r="AC142" s="19"/>
      <c r="AD142" s="19"/>
      <c r="AE142" s="19"/>
      <c r="AF142" s="23">
        <v>0.0</v>
      </c>
      <c r="AG142" s="23" t="s">
        <v>354</v>
      </c>
      <c r="AH142" s="19"/>
      <c r="AI142" s="23" t="s">
        <v>354</v>
      </c>
      <c r="AJ142" s="19"/>
      <c r="AK142" s="19"/>
      <c r="AL142" s="23" t="s">
        <v>356</v>
      </c>
      <c r="AM142" s="23" t="s">
        <v>356</v>
      </c>
      <c r="AN142" s="23" t="s">
        <v>356</v>
      </c>
    </row>
    <row r="143">
      <c r="A143" s="45" t="s">
        <v>84</v>
      </c>
      <c r="B143" s="18" t="s">
        <v>474</v>
      </c>
      <c r="C143" s="46" t="s">
        <v>83</v>
      </c>
      <c r="D143" s="47" t="s">
        <v>439</v>
      </c>
      <c r="E143" s="48" t="s">
        <v>7</v>
      </c>
      <c r="F143" s="46" t="s">
        <v>67</v>
      </c>
      <c r="G143" s="49">
        <v>120.0</v>
      </c>
      <c r="H143" s="49">
        <v>270.0</v>
      </c>
      <c r="I143" s="49" t="s">
        <v>475</v>
      </c>
      <c r="J143" s="46">
        <v>20.0</v>
      </c>
      <c r="K143" s="49">
        <v>0.0</v>
      </c>
      <c r="L143" s="49">
        <v>0.0</v>
      </c>
      <c r="M143" s="49" t="s">
        <v>354</v>
      </c>
      <c r="N143" s="101" t="s">
        <v>17</v>
      </c>
      <c r="O143" s="24" t="s">
        <v>85</v>
      </c>
      <c r="P143" s="46"/>
      <c r="Q143" s="46"/>
      <c r="R143" s="46"/>
      <c r="S143" s="46"/>
      <c r="T143" s="46"/>
      <c r="U143" s="46"/>
      <c r="V143" s="46"/>
      <c r="W143" s="46"/>
      <c r="X143" s="46"/>
      <c r="Y143" s="46"/>
      <c r="Z143" s="46"/>
      <c r="AA143" s="46"/>
      <c r="AB143" s="57" t="s">
        <v>354</v>
      </c>
      <c r="AC143" s="46">
        <v>36296.0</v>
      </c>
      <c r="AD143" s="46"/>
      <c r="AE143" s="46"/>
      <c r="AF143" s="55">
        <v>39.325</v>
      </c>
      <c r="AG143" s="56" t="s">
        <v>365</v>
      </c>
      <c r="AH143" s="49" t="s">
        <v>7</v>
      </c>
      <c r="AI143" s="58" t="s">
        <v>380</v>
      </c>
      <c r="AJ143" s="46"/>
      <c r="AK143" s="46"/>
      <c r="AL143" s="58" t="s">
        <v>380</v>
      </c>
      <c r="AM143" s="58" t="s">
        <v>380</v>
      </c>
      <c r="AN143" s="58" t="s">
        <v>380</v>
      </c>
    </row>
    <row r="144">
      <c r="A144" s="45" t="s">
        <v>84</v>
      </c>
      <c r="B144" s="18" t="s">
        <v>474</v>
      </c>
      <c r="C144" s="46" t="s">
        <v>83</v>
      </c>
      <c r="D144" s="47" t="s">
        <v>439</v>
      </c>
      <c r="E144" s="48" t="s">
        <v>7</v>
      </c>
      <c r="F144" s="46" t="s">
        <v>67</v>
      </c>
      <c r="G144" s="49">
        <v>121.0</v>
      </c>
      <c r="H144" s="49">
        <v>285.0</v>
      </c>
      <c r="I144" s="49" t="s">
        <v>475</v>
      </c>
      <c r="J144" s="46">
        <v>12.0</v>
      </c>
      <c r="K144" s="49">
        <v>0.0</v>
      </c>
      <c r="L144" s="49">
        <v>0.0</v>
      </c>
      <c r="M144" s="49" t="s">
        <v>354</v>
      </c>
      <c r="N144" s="101" t="s">
        <v>17</v>
      </c>
      <c r="O144" s="24" t="s">
        <v>85</v>
      </c>
      <c r="P144" s="24" t="s">
        <v>86</v>
      </c>
      <c r="Q144" s="46"/>
      <c r="R144" s="46"/>
      <c r="S144" s="46"/>
      <c r="T144" s="46"/>
      <c r="U144" s="46"/>
      <c r="V144" s="46"/>
      <c r="W144" s="46"/>
      <c r="X144" s="46"/>
      <c r="Y144" s="46"/>
      <c r="Z144" s="46"/>
      <c r="AA144" s="46"/>
      <c r="AB144" s="49" t="s">
        <v>476</v>
      </c>
      <c r="AC144" s="46">
        <v>36315.0</v>
      </c>
      <c r="AD144" s="46"/>
      <c r="AE144" s="46"/>
      <c r="AF144" s="52">
        <v>40.43</v>
      </c>
      <c r="AG144" s="49" t="s">
        <v>356</v>
      </c>
      <c r="AH144" s="46"/>
      <c r="AI144" s="49" t="s">
        <v>356</v>
      </c>
      <c r="AJ144" s="46"/>
      <c r="AK144" s="46"/>
      <c r="AL144" s="58" t="s">
        <v>380</v>
      </c>
      <c r="AM144" s="54" t="s">
        <v>356</v>
      </c>
      <c r="AN144" s="58" t="s">
        <v>380</v>
      </c>
    </row>
    <row r="145">
      <c r="A145" s="45" t="s">
        <v>84</v>
      </c>
      <c r="B145" s="18" t="s">
        <v>474</v>
      </c>
      <c r="C145" s="46" t="s">
        <v>83</v>
      </c>
      <c r="D145" s="47" t="s">
        <v>439</v>
      </c>
      <c r="E145" s="48" t="s">
        <v>7</v>
      </c>
      <c r="F145" s="46" t="s">
        <v>67</v>
      </c>
      <c r="G145" s="49" t="s">
        <v>354</v>
      </c>
      <c r="H145" s="49">
        <v>280.0</v>
      </c>
      <c r="I145" s="49" t="s">
        <v>475</v>
      </c>
      <c r="J145" s="46">
        <v>8.0</v>
      </c>
      <c r="K145" s="49">
        <v>1.0</v>
      </c>
      <c r="L145" s="49">
        <v>1.0</v>
      </c>
      <c r="M145" s="49" t="s">
        <v>354</v>
      </c>
      <c r="N145" s="101" t="s">
        <v>17</v>
      </c>
      <c r="O145" s="24" t="s">
        <v>85</v>
      </c>
      <c r="P145" s="24" t="s">
        <v>86</v>
      </c>
      <c r="Q145" s="24" t="s">
        <v>84</v>
      </c>
      <c r="R145" s="46"/>
      <c r="S145" s="46"/>
      <c r="T145" s="46"/>
      <c r="U145" s="46"/>
      <c r="V145" s="46"/>
      <c r="W145" s="46"/>
      <c r="X145" s="46"/>
      <c r="Y145" s="46"/>
      <c r="Z145" s="46"/>
      <c r="AA145" s="46"/>
      <c r="AB145" s="57" t="s">
        <v>354</v>
      </c>
      <c r="AC145" s="46">
        <v>36598.0</v>
      </c>
      <c r="AD145" s="118" t="s">
        <v>477</v>
      </c>
      <c r="AE145" s="46" t="s">
        <v>478</v>
      </c>
      <c r="AF145" s="55">
        <v>33.22</v>
      </c>
      <c r="AG145" s="49" t="s">
        <v>356</v>
      </c>
      <c r="AH145" s="46"/>
      <c r="AI145" s="49" t="s">
        <v>356</v>
      </c>
      <c r="AJ145" s="46"/>
      <c r="AK145" s="46"/>
      <c r="AL145" s="119" t="s">
        <v>413</v>
      </c>
      <c r="AM145" s="114" t="s">
        <v>413</v>
      </c>
      <c r="AN145" s="37" t="s">
        <v>363</v>
      </c>
    </row>
    <row r="146">
      <c r="A146" s="45" t="s">
        <v>84</v>
      </c>
      <c r="B146" s="18" t="s">
        <v>474</v>
      </c>
      <c r="C146" s="46" t="s">
        <v>83</v>
      </c>
      <c r="D146" s="47" t="s">
        <v>439</v>
      </c>
      <c r="E146" s="48" t="s">
        <v>7</v>
      </c>
      <c r="F146" s="46" t="s">
        <v>67</v>
      </c>
      <c r="G146" s="49" t="s">
        <v>354</v>
      </c>
      <c r="H146" s="49">
        <v>330.0</v>
      </c>
      <c r="I146" s="49" t="s">
        <v>475</v>
      </c>
      <c r="J146" s="46">
        <v>8.0</v>
      </c>
      <c r="K146" s="49">
        <v>0.0</v>
      </c>
      <c r="L146" s="49">
        <v>0.0</v>
      </c>
      <c r="M146" s="49" t="s">
        <v>354</v>
      </c>
      <c r="N146" s="101" t="s">
        <v>17</v>
      </c>
      <c r="O146" s="24" t="s">
        <v>85</v>
      </c>
      <c r="P146" s="24" t="s">
        <v>86</v>
      </c>
      <c r="Q146" s="24" t="s">
        <v>84</v>
      </c>
      <c r="R146" s="24" t="s">
        <v>84</v>
      </c>
      <c r="S146" s="46"/>
      <c r="T146" s="46"/>
      <c r="U146" s="46"/>
      <c r="V146" s="46"/>
      <c r="W146" s="46"/>
      <c r="X146" s="46"/>
      <c r="Y146" s="46"/>
      <c r="Z146" s="46"/>
      <c r="AA146" s="46"/>
      <c r="AB146" s="49" t="s">
        <v>479</v>
      </c>
      <c r="AC146" s="46"/>
      <c r="AD146" s="46"/>
      <c r="AE146" s="46"/>
      <c r="AF146" s="55">
        <v>28.37</v>
      </c>
      <c r="AG146" s="56" t="s">
        <v>365</v>
      </c>
      <c r="AH146" s="49" t="s">
        <v>480</v>
      </c>
      <c r="AI146" s="58" t="s">
        <v>380</v>
      </c>
      <c r="AJ146" s="46"/>
      <c r="AK146" s="46"/>
      <c r="AL146" s="58" t="s">
        <v>380</v>
      </c>
      <c r="AM146" s="58" t="s">
        <v>380</v>
      </c>
      <c r="AN146" s="76" t="s">
        <v>356</v>
      </c>
    </row>
    <row r="147">
      <c r="A147" s="45" t="s">
        <v>84</v>
      </c>
      <c r="B147" s="18" t="s">
        <v>474</v>
      </c>
      <c r="C147" s="46" t="s">
        <v>83</v>
      </c>
      <c r="D147" s="47" t="s">
        <v>439</v>
      </c>
      <c r="E147" s="48" t="s">
        <v>7</v>
      </c>
      <c r="F147" s="46" t="s">
        <v>67</v>
      </c>
      <c r="G147" s="49" t="s">
        <v>354</v>
      </c>
      <c r="H147" s="49">
        <v>265.0</v>
      </c>
      <c r="I147" s="49" t="s">
        <v>475</v>
      </c>
      <c r="J147" s="46">
        <v>8.0</v>
      </c>
      <c r="K147" s="49">
        <v>0.0</v>
      </c>
      <c r="L147" s="49">
        <v>0.0</v>
      </c>
      <c r="M147" s="49" t="s">
        <v>354</v>
      </c>
      <c r="N147" s="101" t="s">
        <v>17</v>
      </c>
      <c r="O147" s="24" t="s">
        <v>85</v>
      </c>
      <c r="P147" s="24" t="s">
        <v>86</v>
      </c>
      <c r="Q147" s="24" t="s">
        <v>84</v>
      </c>
      <c r="R147" s="24" t="s">
        <v>84</v>
      </c>
      <c r="S147" s="24" t="s">
        <v>84</v>
      </c>
      <c r="T147" s="46"/>
      <c r="U147" s="46"/>
      <c r="V147" s="46"/>
      <c r="W147" s="46"/>
      <c r="X147" s="46"/>
      <c r="Y147" s="46"/>
      <c r="Z147" s="46"/>
      <c r="AA147" s="46"/>
      <c r="AB147" s="49" t="s">
        <v>481</v>
      </c>
      <c r="AC147" s="46"/>
      <c r="AD147" s="46"/>
      <c r="AE147" s="46"/>
      <c r="AF147" s="63">
        <v>0.0</v>
      </c>
      <c r="AG147" s="49" t="s">
        <v>354</v>
      </c>
      <c r="AH147" s="46"/>
      <c r="AI147" s="49" t="s">
        <v>354</v>
      </c>
      <c r="AJ147" s="46"/>
      <c r="AK147" s="46"/>
      <c r="AL147" s="80" t="s">
        <v>356</v>
      </c>
      <c r="AM147" s="80" t="s">
        <v>356</v>
      </c>
      <c r="AN147" s="58" t="s">
        <v>380</v>
      </c>
    </row>
    <row r="148">
      <c r="A148" s="45" t="s">
        <v>84</v>
      </c>
      <c r="B148" s="18" t="s">
        <v>474</v>
      </c>
      <c r="C148" s="46" t="s">
        <v>83</v>
      </c>
      <c r="D148" s="47" t="s">
        <v>439</v>
      </c>
      <c r="E148" s="48" t="s">
        <v>7</v>
      </c>
      <c r="F148" s="46" t="s">
        <v>67</v>
      </c>
      <c r="G148" s="49" t="s">
        <v>354</v>
      </c>
      <c r="H148" s="49">
        <v>330.0</v>
      </c>
      <c r="I148" s="49" t="s">
        <v>475</v>
      </c>
      <c r="J148" s="46">
        <v>12.0</v>
      </c>
      <c r="K148" s="49">
        <v>1.0</v>
      </c>
      <c r="L148" s="49">
        <v>0.0</v>
      </c>
      <c r="M148" s="49" t="s">
        <v>354</v>
      </c>
      <c r="N148" s="101" t="s">
        <v>17</v>
      </c>
      <c r="O148" s="24" t="s">
        <v>85</v>
      </c>
      <c r="P148" s="24" t="s">
        <v>86</v>
      </c>
      <c r="Q148" s="24" t="s">
        <v>84</v>
      </c>
      <c r="R148" s="24" t="s">
        <v>84</v>
      </c>
      <c r="S148" s="24" t="s">
        <v>84</v>
      </c>
      <c r="T148" s="24" t="s">
        <v>84</v>
      </c>
      <c r="U148" s="46"/>
      <c r="V148" s="46"/>
      <c r="W148" s="46"/>
      <c r="X148" s="46"/>
      <c r="Y148" s="46"/>
      <c r="Z148" s="46"/>
      <c r="AA148" s="46"/>
      <c r="AB148" s="49" t="s">
        <v>482</v>
      </c>
      <c r="AC148" s="46"/>
      <c r="AD148" s="46"/>
      <c r="AE148" s="46"/>
      <c r="AF148" s="63">
        <v>0.0</v>
      </c>
      <c r="AG148" s="49" t="s">
        <v>354</v>
      </c>
      <c r="AH148" s="46"/>
      <c r="AI148" s="49" t="s">
        <v>354</v>
      </c>
      <c r="AJ148" s="46"/>
      <c r="AK148" s="46"/>
      <c r="AL148" s="80" t="s">
        <v>356</v>
      </c>
      <c r="AM148" s="80" t="s">
        <v>356</v>
      </c>
      <c r="AN148" s="58" t="s">
        <v>380</v>
      </c>
    </row>
    <row r="149">
      <c r="A149" s="45" t="s">
        <v>84</v>
      </c>
      <c r="B149" s="18" t="s">
        <v>474</v>
      </c>
      <c r="C149" s="46" t="s">
        <v>83</v>
      </c>
      <c r="D149" s="47" t="s">
        <v>439</v>
      </c>
      <c r="E149" s="48" t="s">
        <v>7</v>
      </c>
      <c r="F149" s="46" t="s">
        <v>67</v>
      </c>
      <c r="G149" s="49" t="s">
        <v>354</v>
      </c>
      <c r="H149" s="49">
        <v>300.0</v>
      </c>
      <c r="I149" s="49" t="s">
        <v>475</v>
      </c>
      <c r="J149" s="46">
        <v>11.0</v>
      </c>
      <c r="K149" s="49">
        <v>1.0</v>
      </c>
      <c r="L149" s="49">
        <v>0.0</v>
      </c>
      <c r="M149" s="49" t="s">
        <v>354</v>
      </c>
      <c r="N149" s="101" t="s">
        <v>17</v>
      </c>
      <c r="O149" s="24" t="s">
        <v>85</v>
      </c>
      <c r="P149" s="24" t="s">
        <v>86</v>
      </c>
      <c r="Q149" s="24" t="s">
        <v>84</v>
      </c>
      <c r="R149" s="24" t="s">
        <v>84</v>
      </c>
      <c r="S149" s="24" t="s">
        <v>84</v>
      </c>
      <c r="T149" s="24" t="s">
        <v>84</v>
      </c>
      <c r="U149" s="24" t="s">
        <v>84</v>
      </c>
      <c r="V149" s="46"/>
      <c r="W149" s="46"/>
      <c r="X149" s="46"/>
      <c r="Y149" s="46"/>
      <c r="Z149" s="46"/>
      <c r="AA149" s="46"/>
      <c r="AB149" s="49" t="s">
        <v>483</v>
      </c>
      <c r="AC149" s="46"/>
      <c r="AD149" s="46"/>
      <c r="AE149" s="46"/>
      <c r="AF149" s="63">
        <v>0.0</v>
      </c>
      <c r="AG149" s="49" t="s">
        <v>354</v>
      </c>
      <c r="AH149" s="46"/>
      <c r="AI149" s="49" t="s">
        <v>354</v>
      </c>
      <c r="AJ149" s="46"/>
      <c r="AK149" s="46"/>
      <c r="AL149" s="79" t="s">
        <v>361</v>
      </c>
      <c r="AM149" s="80" t="s">
        <v>356</v>
      </c>
      <c r="AN149" s="58" t="s">
        <v>380</v>
      </c>
    </row>
    <row r="150">
      <c r="A150" s="45" t="s">
        <v>84</v>
      </c>
      <c r="B150" s="18" t="s">
        <v>474</v>
      </c>
      <c r="C150" s="46" t="s">
        <v>83</v>
      </c>
      <c r="D150" s="47" t="s">
        <v>439</v>
      </c>
      <c r="E150" s="48" t="s">
        <v>7</v>
      </c>
      <c r="F150" s="46" t="s">
        <v>67</v>
      </c>
      <c r="G150" s="49" t="s">
        <v>354</v>
      </c>
      <c r="H150" s="49">
        <v>325.0</v>
      </c>
      <c r="I150" s="49" t="s">
        <v>475</v>
      </c>
      <c r="J150" s="46">
        <v>11.0</v>
      </c>
      <c r="K150" s="49">
        <v>1.0</v>
      </c>
      <c r="L150" s="49">
        <v>0.0</v>
      </c>
      <c r="M150" s="49" t="s">
        <v>354</v>
      </c>
      <c r="N150" s="101" t="s">
        <v>17</v>
      </c>
      <c r="O150" s="24" t="s">
        <v>85</v>
      </c>
      <c r="P150" s="24" t="s">
        <v>86</v>
      </c>
      <c r="Q150" s="24" t="s">
        <v>84</v>
      </c>
      <c r="R150" s="24" t="s">
        <v>84</v>
      </c>
      <c r="S150" s="24" t="s">
        <v>84</v>
      </c>
      <c r="T150" s="24" t="s">
        <v>84</v>
      </c>
      <c r="U150" s="24" t="s">
        <v>84</v>
      </c>
      <c r="V150" s="24" t="s">
        <v>84</v>
      </c>
      <c r="W150" s="46"/>
      <c r="X150" s="46"/>
      <c r="Y150" s="46"/>
      <c r="Z150" s="46"/>
      <c r="AA150" s="46"/>
      <c r="AB150" s="57" t="s">
        <v>354</v>
      </c>
      <c r="AC150" s="46"/>
      <c r="AD150" s="46"/>
      <c r="AE150" s="46"/>
      <c r="AF150" s="63">
        <v>0.0</v>
      </c>
      <c r="AG150" s="49" t="s">
        <v>354</v>
      </c>
      <c r="AH150" s="46"/>
      <c r="AI150" s="49" t="s">
        <v>354</v>
      </c>
      <c r="AJ150" s="46"/>
      <c r="AK150" s="46"/>
      <c r="AL150" s="80" t="s">
        <v>356</v>
      </c>
      <c r="AM150" s="80" t="s">
        <v>356</v>
      </c>
      <c r="AN150" s="80" t="s">
        <v>356</v>
      </c>
    </row>
    <row r="151">
      <c r="A151" s="45" t="s">
        <v>84</v>
      </c>
      <c r="B151" s="18" t="s">
        <v>474</v>
      </c>
      <c r="C151" s="46" t="s">
        <v>83</v>
      </c>
      <c r="D151" s="47" t="s">
        <v>439</v>
      </c>
      <c r="E151" s="48" t="s">
        <v>7</v>
      </c>
      <c r="F151" s="46" t="s">
        <v>67</v>
      </c>
      <c r="G151" s="49">
        <v>119.0</v>
      </c>
      <c r="H151" s="49">
        <v>240.0</v>
      </c>
      <c r="I151" s="49" t="s">
        <v>475</v>
      </c>
      <c r="J151" s="46">
        <v>11.0</v>
      </c>
      <c r="K151" s="49">
        <v>0.0</v>
      </c>
      <c r="L151" s="61">
        <v>1.0</v>
      </c>
      <c r="M151" s="61" t="s">
        <v>354</v>
      </c>
      <c r="N151" s="101" t="s">
        <v>17</v>
      </c>
      <c r="O151" s="24" t="s">
        <v>85</v>
      </c>
      <c r="P151" s="24" t="s">
        <v>86</v>
      </c>
      <c r="Q151" s="24" t="s">
        <v>84</v>
      </c>
      <c r="R151" s="24" t="s">
        <v>84</v>
      </c>
      <c r="S151" s="24" t="s">
        <v>84</v>
      </c>
      <c r="T151" s="24" t="s">
        <v>84</v>
      </c>
      <c r="U151" s="24" t="s">
        <v>84</v>
      </c>
      <c r="V151" s="24" t="s">
        <v>84</v>
      </c>
      <c r="W151" s="18" t="s">
        <v>484</v>
      </c>
      <c r="X151" s="46"/>
      <c r="Y151" s="46"/>
      <c r="Z151" s="46"/>
      <c r="AA151" s="46"/>
      <c r="AB151" s="61" t="s">
        <v>485</v>
      </c>
      <c r="AC151" s="46"/>
      <c r="AD151" s="46"/>
      <c r="AE151" s="46"/>
      <c r="AF151" s="63">
        <v>0.0</v>
      </c>
      <c r="AG151" s="49" t="s">
        <v>354</v>
      </c>
      <c r="AH151" s="46"/>
      <c r="AI151" s="49" t="s">
        <v>354</v>
      </c>
      <c r="AJ151" s="46"/>
      <c r="AK151" s="46"/>
      <c r="AL151" s="80" t="s">
        <v>356</v>
      </c>
      <c r="AM151" s="80" t="s">
        <v>356</v>
      </c>
      <c r="AN151" s="80" t="s">
        <v>356</v>
      </c>
    </row>
    <row r="152">
      <c r="A152" s="45" t="s">
        <v>84</v>
      </c>
      <c r="B152" s="18" t="s">
        <v>474</v>
      </c>
      <c r="C152" s="46" t="s">
        <v>83</v>
      </c>
      <c r="D152" s="47" t="s">
        <v>439</v>
      </c>
      <c r="E152" s="48" t="s">
        <v>7</v>
      </c>
      <c r="F152" s="46" t="s">
        <v>67</v>
      </c>
      <c r="G152" s="49" t="s">
        <v>354</v>
      </c>
      <c r="H152" s="49" t="s">
        <v>354</v>
      </c>
      <c r="I152" s="49" t="s">
        <v>475</v>
      </c>
      <c r="J152" s="46">
        <v>11.0</v>
      </c>
      <c r="K152" s="49">
        <v>0.0</v>
      </c>
      <c r="L152" s="61">
        <v>1.0</v>
      </c>
      <c r="M152" s="61" t="s">
        <v>354</v>
      </c>
      <c r="N152" s="101" t="s">
        <v>17</v>
      </c>
      <c r="O152" s="24" t="s">
        <v>85</v>
      </c>
      <c r="P152" s="24" t="s">
        <v>86</v>
      </c>
      <c r="Q152" s="24" t="s">
        <v>84</v>
      </c>
      <c r="R152" s="24" t="s">
        <v>84</v>
      </c>
      <c r="S152" s="24" t="s">
        <v>84</v>
      </c>
      <c r="T152" s="24" t="s">
        <v>84</v>
      </c>
      <c r="U152" s="24" t="s">
        <v>84</v>
      </c>
      <c r="V152" s="24" t="s">
        <v>84</v>
      </c>
      <c r="W152" s="18" t="s">
        <v>484</v>
      </c>
      <c r="X152" s="83" t="s">
        <v>84</v>
      </c>
      <c r="Y152" s="49"/>
      <c r="Z152" s="49"/>
      <c r="AA152" s="46"/>
      <c r="AB152" s="61" t="s">
        <v>486</v>
      </c>
      <c r="AC152" s="46"/>
      <c r="AD152" s="46"/>
      <c r="AE152" s="46"/>
      <c r="AF152" s="63">
        <v>0.0</v>
      </c>
      <c r="AG152" s="49" t="s">
        <v>354</v>
      </c>
      <c r="AH152" s="46"/>
      <c r="AI152" s="49" t="s">
        <v>354</v>
      </c>
      <c r="AJ152" s="46"/>
      <c r="AK152" s="46"/>
      <c r="AL152" s="80" t="s">
        <v>356</v>
      </c>
      <c r="AM152" s="80" t="s">
        <v>356</v>
      </c>
      <c r="AN152" s="80" t="s">
        <v>356</v>
      </c>
    </row>
    <row r="153">
      <c r="A153" s="45" t="s">
        <v>84</v>
      </c>
      <c r="B153" s="18" t="s">
        <v>474</v>
      </c>
      <c r="C153" s="46" t="s">
        <v>83</v>
      </c>
      <c r="D153" s="47" t="s">
        <v>439</v>
      </c>
      <c r="E153" s="48" t="s">
        <v>7</v>
      </c>
      <c r="F153" s="46" t="s">
        <v>67</v>
      </c>
      <c r="G153" s="49" t="s">
        <v>354</v>
      </c>
      <c r="H153" s="49" t="s">
        <v>354</v>
      </c>
      <c r="I153" s="49" t="s">
        <v>475</v>
      </c>
      <c r="J153" s="46">
        <v>11.0</v>
      </c>
      <c r="K153" s="49">
        <v>0.0</v>
      </c>
      <c r="L153" s="61">
        <v>1.0</v>
      </c>
      <c r="M153" s="61" t="s">
        <v>354</v>
      </c>
      <c r="N153" s="101" t="s">
        <v>17</v>
      </c>
      <c r="O153" s="24" t="s">
        <v>85</v>
      </c>
      <c r="P153" s="24" t="s">
        <v>86</v>
      </c>
      <c r="Q153" s="24" t="s">
        <v>84</v>
      </c>
      <c r="R153" s="24" t="s">
        <v>84</v>
      </c>
      <c r="S153" s="24" t="s">
        <v>84</v>
      </c>
      <c r="T153" s="24" t="s">
        <v>84</v>
      </c>
      <c r="U153" s="24" t="s">
        <v>84</v>
      </c>
      <c r="V153" s="24" t="s">
        <v>84</v>
      </c>
      <c r="W153" s="18" t="s">
        <v>484</v>
      </c>
      <c r="X153" s="83" t="s">
        <v>84</v>
      </c>
      <c r="Y153" s="83" t="s">
        <v>84</v>
      </c>
      <c r="Z153" s="49"/>
      <c r="AA153" s="46"/>
      <c r="AB153" s="61" t="s">
        <v>485</v>
      </c>
      <c r="AC153" s="46"/>
      <c r="AD153" s="46"/>
      <c r="AE153" s="46"/>
      <c r="AF153" s="63">
        <v>0.0</v>
      </c>
      <c r="AG153" s="49" t="s">
        <v>354</v>
      </c>
      <c r="AH153" s="46"/>
      <c r="AI153" s="49" t="s">
        <v>354</v>
      </c>
      <c r="AJ153" s="46"/>
      <c r="AK153" s="46"/>
      <c r="AL153" s="80" t="s">
        <v>356</v>
      </c>
      <c r="AM153" s="80" t="s">
        <v>356</v>
      </c>
      <c r="AN153" s="80" t="s">
        <v>356</v>
      </c>
    </row>
    <row r="154">
      <c r="A154" s="45" t="s">
        <v>84</v>
      </c>
      <c r="B154" s="18" t="s">
        <v>474</v>
      </c>
      <c r="C154" s="46" t="s">
        <v>83</v>
      </c>
      <c r="D154" s="47" t="s">
        <v>439</v>
      </c>
      <c r="E154" s="48" t="s">
        <v>7</v>
      </c>
      <c r="F154" s="46" t="s">
        <v>67</v>
      </c>
      <c r="G154" s="49" t="s">
        <v>354</v>
      </c>
      <c r="H154" s="49" t="s">
        <v>354</v>
      </c>
      <c r="I154" s="49" t="s">
        <v>475</v>
      </c>
      <c r="J154" s="46">
        <v>11.0</v>
      </c>
      <c r="K154" s="49">
        <v>1.0</v>
      </c>
      <c r="L154" s="61">
        <v>1.0</v>
      </c>
      <c r="M154" s="61" t="s">
        <v>354</v>
      </c>
      <c r="N154" s="101" t="s">
        <v>17</v>
      </c>
      <c r="O154" s="24" t="s">
        <v>85</v>
      </c>
      <c r="P154" s="24" t="s">
        <v>86</v>
      </c>
      <c r="Q154" s="24" t="s">
        <v>84</v>
      </c>
      <c r="R154" s="24" t="s">
        <v>84</v>
      </c>
      <c r="S154" s="24" t="s">
        <v>84</v>
      </c>
      <c r="T154" s="24" t="s">
        <v>84</v>
      </c>
      <c r="U154" s="24" t="s">
        <v>84</v>
      </c>
      <c r="V154" s="24" t="s">
        <v>84</v>
      </c>
      <c r="W154" s="18" t="s">
        <v>484</v>
      </c>
      <c r="X154" s="83" t="s">
        <v>84</v>
      </c>
      <c r="Y154" s="83" t="s">
        <v>84</v>
      </c>
      <c r="Z154" s="18" t="s">
        <v>487</v>
      </c>
      <c r="AA154" s="46"/>
      <c r="AB154" s="61" t="s">
        <v>485</v>
      </c>
      <c r="AC154" s="46"/>
      <c r="AD154" s="46"/>
      <c r="AE154" s="46"/>
      <c r="AF154" s="63">
        <v>0.0</v>
      </c>
      <c r="AG154" s="80" t="s">
        <v>356</v>
      </c>
      <c r="AH154" s="46"/>
      <c r="AI154" s="80" t="s">
        <v>356</v>
      </c>
      <c r="AJ154" s="80" t="s">
        <v>356</v>
      </c>
      <c r="AK154" s="80" t="s">
        <v>356</v>
      </c>
      <c r="AL154" s="79" t="s">
        <v>361</v>
      </c>
      <c r="AM154" s="79" t="s">
        <v>361</v>
      </c>
      <c r="AN154" s="120" t="s">
        <v>356</v>
      </c>
    </row>
    <row r="155">
      <c r="A155" s="45" t="s">
        <v>84</v>
      </c>
      <c r="B155" s="18" t="s">
        <v>474</v>
      </c>
      <c r="C155" s="46" t="s">
        <v>83</v>
      </c>
      <c r="D155" s="47" t="s">
        <v>439</v>
      </c>
      <c r="E155" s="48" t="s">
        <v>7</v>
      </c>
      <c r="F155" s="46" t="s">
        <v>67</v>
      </c>
      <c r="G155" s="49" t="s">
        <v>354</v>
      </c>
      <c r="H155" s="49" t="s">
        <v>354</v>
      </c>
      <c r="I155" s="49" t="s">
        <v>475</v>
      </c>
      <c r="J155" s="46">
        <v>11.0</v>
      </c>
      <c r="K155" s="49">
        <v>1.0</v>
      </c>
      <c r="L155" s="61">
        <v>1.0</v>
      </c>
      <c r="M155" s="61" t="s">
        <v>354</v>
      </c>
      <c r="N155" s="101" t="s">
        <v>17</v>
      </c>
      <c r="O155" s="24" t="s">
        <v>85</v>
      </c>
      <c r="P155" s="24" t="s">
        <v>86</v>
      </c>
      <c r="Q155" s="24" t="s">
        <v>84</v>
      </c>
      <c r="R155" s="24" t="s">
        <v>84</v>
      </c>
      <c r="S155" s="24" t="s">
        <v>84</v>
      </c>
      <c r="T155" s="24" t="s">
        <v>84</v>
      </c>
      <c r="U155" s="24" t="s">
        <v>84</v>
      </c>
      <c r="V155" s="24" t="s">
        <v>84</v>
      </c>
      <c r="W155" s="18" t="s">
        <v>484</v>
      </c>
      <c r="X155" s="83" t="s">
        <v>84</v>
      </c>
      <c r="Y155" s="83" t="s">
        <v>84</v>
      </c>
      <c r="Z155" s="18" t="s">
        <v>487</v>
      </c>
      <c r="AA155" s="83" t="s">
        <v>84</v>
      </c>
      <c r="AB155" s="61" t="s">
        <v>485</v>
      </c>
      <c r="AC155" s="46"/>
      <c r="AD155" s="46"/>
      <c r="AE155" s="46"/>
      <c r="AF155" s="63">
        <v>0.0</v>
      </c>
      <c r="AG155" s="49" t="s">
        <v>354</v>
      </c>
      <c r="AH155" s="46"/>
      <c r="AI155" s="49" t="s">
        <v>354</v>
      </c>
      <c r="AJ155" s="46"/>
      <c r="AK155" s="46"/>
      <c r="AL155" s="80" t="s">
        <v>356</v>
      </c>
      <c r="AM155" s="80" t="s">
        <v>356</v>
      </c>
      <c r="AN155" s="80" t="s">
        <v>356</v>
      </c>
    </row>
    <row r="156">
      <c r="A156" s="121" t="s">
        <v>488</v>
      </c>
      <c r="B156" s="18" t="s">
        <v>489</v>
      </c>
      <c r="C156" s="122" t="s">
        <v>294</v>
      </c>
      <c r="D156" s="123" t="s">
        <v>490</v>
      </c>
      <c r="E156" s="124" t="s">
        <v>491</v>
      </c>
      <c r="F156" s="122" t="s">
        <v>67</v>
      </c>
      <c r="G156" s="125" t="s">
        <v>354</v>
      </c>
      <c r="H156" s="125" t="s">
        <v>354</v>
      </c>
      <c r="I156" s="125" t="s">
        <v>475</v>
      </c>
      <c r="J156" s="122">
        <v>63.0</v>
      </c>
      <c r="K156" s="125">
        <v>0.0</v>
      </c>
      <c r="L156" s="125">
        <v>0.0</v>
      </c>
      <c r="M156" s="125" t="s">
        <v>354</v>
      </c>
      <c r="N156" s="101" t="s">
        <v>17</v>
      </c>
      <c r="O156" s="101" t="s">
        <v>17</v>
      </c>
      <c r="P156" s="101" t="s">
        <v>17</v>
      </c>
      <c r="Q156" s="101" t="s">
        <v>17</v>
      </c>
      <c r="R156" s="24" t="s">
        <v>295</v>
      </c>
      <c r="S156" s="125"/>
      <c r="T156" s="125"/>
      <c r="U156" s="125"/>
      <c r="V156" s="125"/>
      <c r="W156" s="125"/>
      <c r="X156" s="125"/>
      <c r="Y156" s="125"/>
      <c r="Z156" s="125"/>
      <c r="AA156" s="122"/>
      <c r="AB156" s="125" t="s">
        <v>354</v>
      </c>
      <c r="AC156" s="122"/>
      <c r="AD156" s="122"/>
      <c r="AE156" s="122"/>
      <c r="AF156" s="125">
        <v>0.0</v>
      </c>
      <c r="AG156" s="125" t="s">
        <v>356</v>
      </c>
      <c r="AH156" s="122"/>
      <c r="AI156" s="125" t="s">
        <v>356</v>
      </c>
      <c r="AJ156" s="122"/>
      <c r="AK156" s="122"/>
      <c r="AL156" s="126" t="s">
        <v>361</v>
      </c>
      <c r="AM156" s="127" t="s">
        <v>356</v>
      </c>
      <c r="AN156" s="128" t="s">
        <v>356</v>
      </c>
    </row>
    <row r="157">
      <c r="A157" s="121" t="s">
        <v>488</v>
      </c>
      <c r="B157" s="18" t="s">
        <v>489</v>
      </c>
      <c r="C157" s="122" t="s">
        <v>322</v>
      </c>
      <c r="D157" s="123" t="s">
        <v>490</v>
      </c>
      <c r="E157" s="124" t="s">
        <v>62</v>
      </c>
      <c r="F157" s="122" t="s">
        <v>67</v>
      </c>
      <c r="G157" s="125">
        <v>95.0</v>
      </c>
      <c r="H157" s="125">
        <v>115.0</v>
      </c>
      <c r="I157" s="125" t="s">
        <v>475</v>
      </c>
      <c r="J157" s="122">
        <v>63.0</v>
      </c>
      <c r="K157" s="125">
        <v>0.0</v>
      </c>
      <c r="L157" s="125">
        <v>0.0</v>
      </c>
      <c r="M157" s="125" t="s">
        <v>354</v>
      </c>
      <c r="N157" s="101" t="s">
        <v>17</v>
      </c>
      <c r="O157" s="101" t="s">
        <v>17</v>
      </c>
      <c r="P157" s="101" t="s">
        <v>17</v>
      </c>
      <c r="Q157" s="101" t="s">
        <v>17</v>
      </c>
      <c r="R157" s="24" t="s">
        <v>295</v>
      </c>
      <c r="S157" s="24" t="s">
        <v>323</v>
      </c>
      <c r="T157" s="44" t="s">
        <v>373</v>
      </c>
      <c r="U157" s="122"/>
      <c r="V157" s="122"/>
      <c r="W157" s="122"/>
      <c r="X157" s="122"/>
      <c r="Y157" s="122"/>
      <c r="Z157" s="122"/>
      <c r="AA157" s="122"/>
      <c r="AB157" s="125" t="s">
        <v>492</v>
      </c>
      <c r="AC157" s="122"/>
      <c r="AD157" s="122"/>
      <c r="AE157" s="122"/>
      <c r="AF157" s="129">
        <v>30.99</v>
      </c>
      <c r="AG157" s="125" t="s">
        <v>354</v>
      </c>
      <c r="AH157" s="122"/>
      <c r="AI157" s="125" t="s">
        <v>354</v>
      </c>
      <c r="AJ157" s="122"/>
      <c r="AK157" s="122"/>
      <c r="AL157" s="126" t="s">
        <v>407</v>
      </c>
      <c r="AM157" s="127" t="s">
        <v>356</v>
      </c>
      <c r="AN157" s="127" t="s">
        <v>356</v>
      </c>
    </row>
    <row r="158">
      <c r="A158" s="121" t="s">
        <v>488</v>
      </c>
      <c r="B158" s="18" t="s">
        <v>489</v>
      </c>
      <c r="C158" s="122" t="s">
        <v>322</v>
      </c>
      <c r="D158" s="123" t="s">
        <v>490</v>
      </c>
      <c r="E158" s="124" t="s">
        <v>62</v>
      </c>
      <c r="F158" s="122" t="s">
        <v>67</v>
      </c>
      <c r="G158" s="125">
        <v>105.0</v>
      </c>
      <c r="H158" s="125">
        <v>155.0</v>
      </c>
      <c r="I158" s="125" t="s">
        <v>475</v>
      </c>
      <c r="J158" s="122"/>
      <c r="K158" s="125">
        <v>0.0</v>
      </c>
      <c r="L158" s="125">
        <v>0.0</v>
      </c>
      <c r="M158" s="125" t="s">
        <v>354</v>
      </c>
      <c r="N158" s="101" t="s">
        <v>17</v>
      </c>
      <c r="O158" s="101" t="s">
        <v>17</v>
      </c>
      <c r="P158" s="101" t="s">
        <v>17</v>
      </c>
      <c r="Q158" s="101" t="s">
        <v>17</v>
      </c>
      <c r="R158" s="24" t="s">
        <v>295</v>
      </c>
      <c r="S158" s="24" t="s">
        <v>323</v>
      </c>
      <c r="T158" s="44" t="s">
        <v>373</v>
      </c>
      <c r="U158" s="18" t="s">
        <v>493</v>
      </c>
      <c r="V158" s="44" t="s">
        <v>373</v>
      </c>
      <c r="W158" s="61" t="s">
        <v>373</v>
      </c>
      <c r="X158" s="122"/>
      <c r="Y158" s="122"/>
      <c r="Z158" s="122"/>
      <c r="AA158" s="122"/>
      <c r="AB158" s="125" t="s">
        <v>494</v>
      </c>
      <c r="AC158" s="122"/>
      <c r="AD158" s="122"/>
      <c r="AE158" s="122"/>
      <c r="AF158" s="125">
        <v>0.0</v>
      </c>
      <c r="AG158" s="125" t="s">
        <v>354</v>
      </c>
      <c r="AH158" s="122"/>
      <c r="AI158" s="125" t="s">
        <v>354</v>
      </c>
      <c r="AJ158" s="122"/>
      <c r="AK158" s="122"/>
      <c r="AL158" s="127" t="s">
        <v>356</v>
      </c>
      <c r="AM158" s="127" t="s">
        <v>356</v>
      </c>
      <c r="AN158" s="127" t="s">
        <v>356</v>
      </c>
    </row>
    <row r="159">
      <c r="A159" s="121" t="s">
        <v>488</v>
      </c>
      <c r="B159" s="18" t="s">
        <v>489</v>
      </c>
      <c r="C159" s="122" t="s">
        <v>322</v>
      </c>
      <c r="D159" s="123" t="s">
        <v>490</v>
      </c>
      <c r="E159" s="124" t="s">
        <v>37</v>
      </c>
      <c r="F159" s="122" t="s">
        <v>67</v>
      </c>
      <c r="G159" s="125" t="s">
        <v>354</v>
      </c>
      <c r="H159" s="125" t="s">
        <v>354</v>
      </c>
      <c r="I159" s="125" t="s">
        <v>475</v>
      </c>
      <c r="J159" s="122"/>
      <c r="K159" s="125">
        <v>0.0</v>
      </c>
      <c r="L159" s="125">
        <v>0.0</v>
      </c>
      <c r="M159" s="125" t="s">
        <v>354</v>
      </c>
      <c r="N159" s="101" t="s">
        <v>17</v>
      </c>
      <c r="O159" s="101" t="s">
        <v>17</v>
      </c>
      <c r="P159" s="101" t="s">
        <v>17</v>
      </c>
      <c r="Q159" s="101" t="s">
        <v>17</v>
      </c>
      <c r="R159" s="24" t="s">
        <v>295</v>
      </c>
      <c r="S159" s="24" t="s">
        <v>323</v>
      </c>
      <c r="T159" s="44" t="s">
        <v>373</v>
      </c>
      <c r="U159" s="18" t="s">
        <v>493</v>
      </c>
      <c r="V159" s="44" t="s">
        <v>373</v>
      </c>
      <c r="W159" s="61" t="s">
        <v>373</v>
      </c>
      <c r="X159" s="130" t="s">
        <v>495</v>
      </c>
      <c r="Y159" s="122"/>
      <c r="Z159" s="122"/>
      <c r="AA159" s="122"/>
      <c r="AB159" s="41" t="s">
        <v>371</v>
      </c>
      <c r="AC159" s="122"/>
      <c r="AD159" s="122"/>
      <c r="AE159" s="122"/>
      <c r="AF159" s="125">
        <v>0.0</v>
      </c>
      <c r="AG159" s="125" t="s">
        <v>354</v>
      </c>
      <c r="AH159" s="122"/>
      <c r="AI159" s="125" t="s">
        <v>354</v>
      </c>
      <c r="AJ159" s="122"/>
      <c r="AK159" s="122"/>
      <c r="AL159" s="109" t="s">
        <v>420</v>
      </c>
      <c r="AM159" s="103" t="s">
        <v>389</v>
      </c>
      <c r="AN159" s="119" t="s">
        <v>413</v>
      </c>
    </row>
    <row r="160">
      <c r="A160" s="121" t="s">
        <v>488</v>
      </c>
      <c r="B160" s="18" t="s">
        <v>489</v>
      </c>
      <c r="C160" s="122" t="s">
        <v>322</v>
      </c>
      <c r="D160" s="123" t="s">
        <v>490</v>
      </c>
      <c r="E160" s="124" t="s">
        <v>37</v>
      </c>
      <c r="F160" s="122" t="s">
        <v>67</v>
      </c>
      <c r="G160" s="125" t="s">
        <v>354</v>
      </c>
      <c r="H160" s="125" t="s">
        <v>354</v>
      </c>
      <c r="I160" s="125" t="s">
        <v>475</v>
      </c>
      <c r="J160" s="122"/>
      <c r="K160" s="125">
        <v>1.0</v>
      </c>
      <c r="L160" s="41">
        <v>0.0</v>
      </c>
      <c r="M160" s="41" t="s">
        <v>354</v>
      </c>
      <c r="N160" s="101" t="s">
        <v>17</v>
      </c>
      <c r="O160" s="101" t="s">
        <v>17</v>
      </c>
      <c r="P160" s="101" t="s">
        <v>17</v>
      </c>
      <c r="Q160" s="101" t="s">
        <v>17</v>
      </c>
      <c r="R160" s="24" t="s">
        <v>295</v>
      </c>
      <c r="S160" s="24" t="s">
        <v>323</v>
      </c>
      <c r="T160" s="44" t="s">
        <v>373</v>
      </c>
      <c r="U160" s="18" t="s">
        <v>493</v>
      </c>
      <c r="V160" s="44" t="s">
        <v>373</v>
      </c>
      <c r="W160" s="61" t="s">
        <v>373</v>
      </c>
      <c r="X160" s="130" t="s">
        <v>495</v>
      </c>
      <c r="Y160" s="18" t="s">
        <v>496</v>
      </c>
      <c r="Z160" s="125"/>
      <c r="AA160" s="122"/>
      <c r="AB160" s="41" t="s">
        <v>371</v>
      </c>
      <c r="AC160" s="122"/>
      <c r="AD160" s="122"/>
      <c r="AE160" s="122"/>
      <c r="AF160" s="131">
        <v>34.5377524754829</v>
      </c>
      <c r="AG160" s="125" t="s">
        <v>354</v>
      </c>
      <c r="AH160" s="122"/>
      <c r="AI160" s="125" t="s">
        <v>354</v>
      </c>
      <c r="AJ160" s="125"/>
      <c r="AK160" s="125"/>
      <c r="AL160" s="126" t="s">
        <v>361</v>
      </c>
      <c r="AM160" s="132" t="s">
        <v>420</v>
      </c>
      <c r="AN160" s="133" t="s">
        <v>420</v>
      </c>
    </row>
    <row r="161">
      <c r="A161" s="121" t="s">
        <v>488</v>
      </c>
      <c r="B161" s="18" t="s">
        <v>489</v>
      </c>
      <c r="C161" s="122" t="s">
        <v>322</v>
      </c>
      <c r="D161" s="123" t="s">
        <v>490</v>
      </c>
      <c r="E161" s="124" t="s">
        <v>37</v>
      </c>
      <c r="F161" s="122" t="s">
        <v>67</v>
      </c>
      <c r="G161" s="125" t="s">
        <v>354</v>
      </c>
      <c r="H161" s="125" t="s">
        <v>354</v>
      </c>
      <c r="I161" s="125" t="s">
        <v>475</v>
      </c>
      <c r="J161" s="122"/>
      <c r="K161" s="125">
        <v>1.0</v>
      </c>
      <c r="L161" s="41">
        <v>0.0</v>
      </c>
      <c r="M161" s="41" t="s">
        <v>354</v>
      </c>
      <c r="N161" s="101" t="s">
        <v>17</v>
      </c>
      <c r="O161" s="101" t="s">
        <v>17</v>
      </c>
      <c r="P161" s="101" t="s">
        <v>17</v>
      </c>
      <c r="Q161" s="101" t="s">
        <v>17</v>
      </c>
      <c r="R161" s="24" t="s">
        <v>295</v>
      </c>
      <c r="S161" s="24" t="s">
        <v>323</v>
      </c>
      <c r="T161" s="44" t="s">
        <v>373</v>
      </c>
      <c r="U161" s="18" t="s">
        <v>493</v>
      </c>
      <c r="V161" s="44" t="s">
        <v>373</v>
      </c>
      <c r="W161" s="61" t="s">
        <v>373</v>
      </c>
      <c r="X161" s="18" t="s">
        <v>495</v>
      </c>
      <c r="Y161" s="18" t="s">
        <v>496</v>
      </c>
      <c r="Z161" s="18" t="s">
        <v>497</v>
      </c>
      <c r="AA161" s="122"/>
      <c r="AB161" s="41" t="s">
        <v>371</v>
      </c>
      <c r="AC161" s="122"/>
      <c r="AD161" s="122"/>
      <c r="AE161" s="122"/>
      <c r="AF161" s="134">
        <v>34.411393275955</v>
      </c>
      <c r="AG161" s="125" t="s">
        <v>356</v>
      </c>
      <c r="AH161" s="122"/>
      <c r="AI161" s="125" t="s">
        <v>356</v>
      </c>
      <c r="AJ161" s="135" t="s">
        <v>361</v>
      </c>
      <c r="AK161" s="119" t="s">
        <v>413</v>
      </c>
      <c r="AL161" s="119" t="s">
        <v>413</v>
      </c>
      <c r="AM161" s="104" t="s">
        <v>389</v>
      </c>
      <c r="AN161" s="119" t="s">
        <v>413</v>
      </c>
    </row>
    <row r="162">
      <c r="A162" s="121" t="s">
        <v>488</v>
      </c>
      <c r="B162" s="18" t="s">
        <v>489</v>
      </c>
      <c r="C162" s="122" t="s">
        <v>322</v>
      </c>
      <c r="D162" s="123" t="s">
        <v>490</v>
      </c>
      <c r="E162" s="124" t="s">
        <v>37</v>
      </c>
      <c r="F162" s="122" t="s">
        <v>67</v>
      </c>
      <c r="G162" s="125" t="s">
        <v>354</v>
      </c>
      <c r="H162" s="125" t="s">
        <v>354</v>
      </c>
      <c r="I162" s="125" t="s">
        <v>475</v>
      </c>
      <c r="J162" s="122"/>
      <c r="K162" s="125">
        <v>1.0</v>
      </c>
      <c r="L162" s="41">
        <v>0.0</v>
      </c>
      <c r="M162" s="41" t="s">
        <v>354</v>
      </c>
      <c r="N162" s="101" t="s">
        <v>17</v>
      </c>
      <c r="O162" s="101" t="s">
        <v>17</v>
      </c>
      <c r="P162" s="101" t="s">
        <v>17</v>
      </c>
      <c r="Q162" s="101" t="s">
        <v>17</v>
      </c>
      <c r="R162" s="24" t="s">
        <v>295</v>
      </c>
      <c r="S162" s="24" t="s">
        <v>323</v>
      </c>
      <c r="T162" s="44" t="s">
        <v>373</v>
      </c>
      <c r="U162" s="18" t="s">
        <v>493</v>
      </c>
      <c r="V162" s="44" t="s">
        <v>373</v>
      </c>
      <c r="W162" s="61" t="s">
        <v>373</v>
      </c>
      <c r="X162" s="18" t="s">
        <v>495</v>
      </c>
      <c r="Y162" s="18" t="s">
        <v>496</v>
      </c>
      <c r="Z162" s="18" t="s">
        <v>497</v>
      </c>
      <c r="AA162" s="18" t="s">
        <v>496</v>
      </c>
      <c r="AB162" s="41" t="s">
        <v>371</v>
      </c>
      <c r="AC162" s="122"/>
      <c r="AD162" s="122"/>
      <c r="AE162" s="122"/>
      <c r="AF162" s="131">
        <v>22.2364942628902</v>
      </c>
      <c r="AG162" s="125" t="s">
        <v>354</v>
      </c>
      <c r="AH162" s="122"/>
      <c r="AI162" s="125" t="s">
        <v>354</v>
      </c>
      <c r="AJ162" s="125"/>
      <c r="AK162" s="125"/>
      <c r="AL162" s="28" t="s">
        <v>358</v>
      </c>
      <c r="AM162" s="115" t="s">
        <v>358</v>
      </c>
      <c r="AN162" s="28" t="s">
        <v>358</v>
      </c>
    </row>
    <row r="163">
      <c r="A163" s="95" t="s">
        <v>498</v>
      </c>
      <c r="B163" s="98" t="s">
        <v>499</v>
      </c>
      <c r="C163" s="19" t="s">
        <v>87</v>
      </c>
      <c r="D163" s="20" t="s">
        <v>439</v>
      </c>
      <c r="E163" s="21" t="s">
        <v>7</v>
      </c>
      <c r="F163" s="19" t="s">
        <v>8</v>
      </c>
      <c r="G163" s="23">
        <v>124.0</v>
      </c>
      <c r="H163" s="23">
        <v>300.0</v>
      </c>
      <c r="I163" s="23" t="s">
        <v>354</v>
      </c>
      <c r="J163" s="22" t="s">
        <v>354</v>
      </c>
      <c r="K163" s="22" t="s">
        <v>354</v>
      </c>
      <c r="L163" s="23">
        <v>1.0</v>
      </c>
      <c r="M163" s="22" t="s">
        <v>354</v>
      </c>
      <c r="N163" s="101" t="s">
        <v>17</v>
      </c>
      <c r="O163" s="24" t="s">
        <v>89</v>
      </c>
      <c r="P163" s="19"/>
      <c r="Q163" s="19"/>
      <c r="R163" s="19"/>
      <c r="S163" s="19"/>
      <c r="T163" s="19"/>
      <c r="U163" s="19"/>
      <c r="V163" s="19"/>
      <c r="W163" s="19"/>
      <c r="X163" s="19"/>
      <c r="Y163" s="19"/>
      <c r="Z163" s="19"/>
      <c r="AA163" s="19"/>
      <c r="AB163" s="22" t="s">
        <v>354</v>
      </c>
      <c r="AC163" s="19">
        <v>36297.0</v>
      </c>
      <c r="AD163" s="19"/>
      <c r="AE163" s="19"/>
      <c r="AF163" s="36">
        <v>38.480000000000004</v>
      </c>
      <c r="AG163" s="36" t="s">
        <v>365</v>
      </c>
      <c r="AH163" s="23" t="s">
        <v>366</v>
      </c>
      <c r="AI163" s="26" t="s">
        <v>357</v>
      </c>
      <c r="AJ163" s="19"/>
      <c r="AK163" s="19"/>
      <c r="AL163" s="73" t="s">
        <v>357</v>
      </c>
      <c r="AM163" s="73" t="s">
        <v>357</v>
      </c>
      <c r="AN163" s="73" t="s">
        <v>357</v>
      </c>
    </row>
    <row r="164">
      <c r="A164" s="95" t="s">
        <v>498</v>
      </c>
      <c r="B164" s="98" t="s">
        <v>499</v>
      </c>
      <c r="C164" s="19" t="s">
        <v>87</v>
      </c>
      <c r="D164" s="20" t="s">
        <v>439</v>
      </c>
      <c r="E164" s="21" t="s">
        <v>7</v>
      </c>
      <c r="F164" s="19" t="s">
        <v>8</v>
      </c>
      <c r="G164" s="23">
        <v>120.0</v>
      </c>
      <c r="H164" s="23">
        <v>230.0</v>
      </c>
      <c r="I164" s="22" t="s">
        <v>354</v>
      </c>
      <c r="J164" s="22" t="s">
        <v>354</v>
      </c>
      <c r="K164" s="22" t="s">
        <v>354</v>
      </c>
      <c r="L164" s="23">
        <v>0.0</v>
      </c>
      <c r="M164" s="22" t="s">
        <v>354</v>
      </c>
      <c r="N164" s="101" t="s">
        <v>17</v>
      </c>
      <c r="O164" s="24" t="s">
        <v>89</v>
      </c>
      <c r="P164" s="24" t="s">
        <v>90</v>
      </c>
      <c r="Q164" s="19"/>
      <c r="R164" s="19"/>
      <c r="S164" s="19"/>
      <c r="T164" s="19"/>
      <c r="U164" s="19"/>
      <c r="V164" s="19"/>
      <c r="W164" s="19"/>
      <c r="X164" s="19"/>
      <c r="Y164" s="19"/>
      <c r="Z164" s="19"/>
      <c r="AA164" s="19"/>
      <c r="AB164" s="23" t="s">
        <v>500</v>
      </c>
      <c r="AC164" s="19">
        <v>36304.0</v>
      </c>
      <c r="AD164" s="19"/>
      <c r="AE164" s="19"/>
      <c r="AF164" s="36">
        <v>33.72</v>
      </c>
      <c r="AG164" s="36" t="s">
        <v>365</v>
      </c>
      <c r="AH164" s="23" t="s">
        <v>366</v>
      </c>
      <c r="AI164" s="26" t="s">
        <v>357</v>
      </c>
      <c r="AJ164" s="19"/>
      <c r="AK164" s="19"/>
      <c r="AL164" s="34" t="s">
        <v>357</v>
      </c>
      <c r="AM164" s="34" t="s">
        <v>357</v>
      </c>
      <c r="AN164" s="73" t="s">
        <v>357</v>
      </c>
    </row>
    <row r="165">
      <c r="A165" s="95" t="s">
        <v>498</v>
      </c>
      <c r="B165" s="98" t="s">
        <v>499</v>
      </c>
      <c r="C165" s="19" t="s">
        <v>87</v>
      </c>
      <c r="D165" s="20" t="s">
        <v>439</v>
      </c>
      <c r="E165" s="21" t="s">
        <v>7</v>
      </c>
      <c r="F165" s="19" t="s">
        <v>8</v>
      </c>
      <c r="G165" s="23">
        <v>122.0</v>
      </c>
      <c r="H165" s="23">
        <v>210.0</v>
      </c>
      <c r="I165" s="22" t="s">
        <v>354</v>
      </c>
      <c r="J165" s="22" t="s">
        <v>354</v>
      </c>
      <c r="K165" s="22" t="s">
        <v>354</v>
      </c>
      <c r="L165" s="23">
        <v>1.0</v>
      </c>
      <c r="M165" s="22" t="s">
        <v>354</v>
      </c>
      <c r="N165" s="101" t="s">
        <v>17</v>
      </c>
      <c r="O165" s="24" t="s">
        <v>89</v>
      </c>
      <c r="P165" s="24" t="s">
        <v>90</v>
      </c>
      <c r="Q165" s="24" t="s">
        <v>91</v>
      </c>
      <c r="R165" s="44" t="s">
        <v>373</v>
      </c>
      <c r="S165" s="19"/>
      <c r="T165" s="19"/>
      <c r="U165" s="19"/>
      <c r="V165" s="19"/>
      <c r="W165" s="19"/>
      <c r="X165" s="19"/>
      <c r="Y165" s="19"/>
      <c r="Z165" s="19"/>
      <c r="AA165" s="19"/>
      <c r="AB165" s="23" t="s">
        <v>501</v>
      </c>
      <c r="AC165" s="19">
        <v>36599.0</v>
      </c>
      <c r="AD165" s="19"/>
      <c r="AE165" s="19"/>
      <c r="AF165" s="33">
        <v>0.0</v>
      </c>
      <c r="AG165" s="36" t="s">
        <v>365</v>
      </c>
      <c r="AH165" s="23" t="s">
        <v>366</v>
      </c>
      <c r="AI165" s="26" t="s">
        <v>357</v>
      </c>
      <c r="AJ165" s="19"/>
      <c r="AK165" s="19"/>
      <c r="AL165" s="59" t="s">
        <v>357</v>
      </c>
      <c r="AM165" s="38" t="s">
        <v>357</v>
      </c>
      <c r="AN165" s="75" t="s">
        <v>357</v>
      </c>
    </row>
    <row r="166">
      <c r="A166" s="95" t="s">
        <v>498</v>
      </c>
      <c r="B166" s="98" t="s">
        <v>499</v>
      </c>
      <c r="C166" s="19" t="s">
        <v>87</v>
      </c>
      <c r="D166" s="20" t="s">
        <v>439</v>
      </c>
      <c r="E166" s="21" t="s">
        <v>7</v>
      </c>
      <c r="F166" s="19" t="s">
        <v>8</v>
      </c>
      <c r="G166" s="22" t="s">
        <v>354</v>
      </c>
      <c r="H166" s="23">
        <v>240.0</v>
      </c>
      <c r="I166" s="22" t="s">
        <v>354</v>
      </c>
      <c r="J166" s="22" t="s">
        <v>354</v>
      </c>
      <c r="K166" s="22" t="s">
        <v>354</v>
      </c>
      <c r="L166" s="23">
        <v>0.0</v>
      </c>
      <c r="M166" s="22" t="s">
        <v>354</v>
      </c>
      <c r="N166" s="101" t="s">
        <v>17</v>
      </c>
      <c r="O166" s="24" t="s">
        <v>89</v>
      </c>
      <c r="P166" s="24" t="s">
        <v>90</v>
      </c>
      <c r="Q166" s="24" t="s">
        <v>91</v>
      </c>
      <c r="R166" s="44" t="s">
        <v>373</v>
      </c>
      <c r="S166" s="24" t="s">
        <v>91</v>
      </c>
      <c r="T166" s="19"/>
      <c r="U166" s="19"/>
      <c r="V166" s="19"/>
      <c r="W166" s="19"/>
      <c r="X166" s="19"/>
      <c r="Y166" s="19"/>
      <c r="Z166" s="19"/>
      <c r="AA166" s="19"/>
      <c r="AB166" s="22" t="s">
        <v>354</v>
      </c>
      <c r="AC166" s="19"/>
      <c r="AD166" s="19"/>
      <c r="AE166" s="19"/>
      <c r="AF166" s="33">
        <v>0.0</v>
      </c>
      <c r="AG166" s="23" t="s">
        <v>354</v>
      </c>
      <c r="AH166" s="19"/>
      <c r="AI166" s="23" t="s">
        <v>354</v>
      </c>
      <c r="AJ166" s="19"/>
      <c r="AK166" s="19"/>
      <c r="AL166" s="59" t="s">
        <v>357</v>
      </c>
      <c r="AM166" s="59" t="s">
        <v>357</v>
      </c>
      <c r="AN166" s="59" t="s">
        <v>357</v>
      </c>
    </row>
    <row r="167">
      <c r="A167" s="95" t="s">
        <v>498</v>
      </c>
      <c r="B167" s="98" t="s">
        <v>499</v>
      </c>
      <c r="C167" s="19" t="s">
        <v>87</v>
      </c>
      <c r="D167" s="20" t="s">
        <v>439</v>
      </c>
      <c r="E167" s="21" t="s">
        <v>7</v>
      </c>
      <c r="F167" s="19" t="s">
        <v>8</v>
      </c>
      <c r="G167" s="22" t="s">
        <v>354</v>
      </c>
      <c r="H167" s="23">
        <v>240.0</v>
      </c>
      <c r="I167" s="22" t="s">
        <v>354</v>
      </c>
      <c r="J167" s="22" t="s">
        <v>354</v>
      </c>
      <c r="K167" s="22" t="s">
        <v>354</v>
      </c>
      <c r="L167" s="23">
        <v>0.0</v>
      </c>
      <c r="M167" s="22" t="s">
        <v>354</v>
      </c>
      <c r="N167" s="101" t="s">
        <v>17</v>
      </c>
      <c r="O167" s="24" t="s">
        <v>89</v>
      </c>
      <c r="P167" s="24" t="s">
        <v>90</v>
      </c>
      <c r="Q167" s="24" t="s">
        <v>91</v>
      </c>
      <c r="R167" s="44" t="s">
        <v>373</v>
      </c>
      <c r="S167" s="24" t="s">
        <v>91</v>
      </c>
      <c r="T167" s="24" t="s">
        <v>92</v>
      </c>
      <c r="U167" s="23"/>
      <c r="V167" s="19"/>
      <c r="W167" s="19"/>
      <c r="X167" s="19"/>
      <c r="Y167" s="19"/>
      <c r="Z167" s="19"/>
      <c r="AA167" s="19"/>
      <c r="AB167" s="23" t="s">
        <v>502</v>
      </c>
      <c r="AC167" s="19"/>
      <c r="AD167" s="19"/>
      <c r="AE167" s="19"/>
      <c r="AF167" s="33">
        <v>0.0</v>
      </c>
      <c r="AG167" s="23" t="s">
        <v>354</v>
      </c>
      <c r="AH167" s="19"/>
      <c r="AI167" s="23" t="s">
        <v>354</v>
      </c>
      <c r="AJ167" s="19"/>
      <c r="AK167" s="19"/>
      <c r="AL167" s="59" t="s">
        <v>357</v>
      </c>
      <c r="AM167" s="58" t="s">
        <v>380</v>
      </c>
      <c r="AN167" s="59" t="s">
        <v>357</v>
      </c>
    </row>
    <row r="168">
      <c r="A168" s="95" t="s">
        <v>498</v>
      </c>
      <c r="B168" s="98" t="s">
        <v>499</v>
      </c>
      <c r="C168" s="19" t="s">
        <v>87</v>
      </c>
      <c r="D168" s="20" t="s">
        <v>439</v>
      </c>
      <c r="E168" s="21" t="s">
        <v>7</v>
      </c>
      <c r="F168" s="19" t="s">
        <v>8</v>
      </c>
      <c r="G168" s="22" t="s">
        <v>354</v>
      </c>
      <c r="H168" s="23">
        <v>250.0</v>
      </c>
      <c r="I168" s="22" t="s">
        <v>354</v>
      </c>
      <c r="J168" s="22" t="s">
        <v>354</v>
      </c>
      <c r="K168" s="22" t="s">
        <v>354</v>
      </c>
      <c r="L168" s="23">
        <v>0.0</v>
      </c>
      <c r="M168" s="22" t="s">
        <v>354</v>
      </c>
      <c r="N168" s="101" t="s">
        <v>17</v>
      </c>
      <c r="O168" s="24" t="s">
        <v>89</v>
      </c>
      <c r="P168" s="24" t="s">
        <v>90</v>
      </c>
      <c r="Q168" s="24" t="s">
        <v>91</v>
      </c>
      <c r="R168" s="44" t="s">
        <v>373</v>
      </c>
      <c r="S168" s="24" t="s">
        <v>91</v>
      </c>
      <c r="T168" s="24" t="s">
        <v>92</v>
      </c>
      <c r="U168" s="18" t="s">
        <v>92</v>
      </c>
      <c r="V168" s="19"/>
      <c r="W168" s="19"/>
      <c r="X168" s="23"/>
      <c r="Y168" s="23"/>
      <c r="Z168" s="23"/>
      <c r="AA168" s="19"/>
      <c r="AB168" s="23" t="s">
        <v>503</v>
      </c>
      <c r="AC168" s="19"/>
      <c r="AD168" s="19"/>
      <c r="AE168" s="19"/>
      <c r="AF168" s="33">
        <v>0.0</v>
      </c>
      <c r="AG168" s="23" t="s">
        <v>354</v>
      </c>
      <c r="AH168" s="19"/>
      <c r="AI168" s="23" t="s">
        <v>354</v>
      </c>
      <c r="AJ168" s="19"/>
      <c r="AK168" s="19"/>
      <c r="AL168" s="40" t="s">
        <v>357</v>
      </c>
      <c r="AM168" s="40" t="s">
        <v>357</v>
      </c>
      <c r="AN168" s="40" t="s">
        <v>357</v>
      </c>
    </row>
    <row r="169">
      <c r="A169" s="95" t="s">
        <v>498</v>
      </c>
      <c r="B169" s="98" t="s">
        <v>499</v>
      </c>
      <c r="C169" s="19" t="s">
        <v>87</v>
      </c>
      <c r="D169" s="20" t="s">
        <v>439</v>
      </c>
      <c r="E169" s="21" t="s">
        <v>7</v>
      </c>
      <c r="F169" s="19" t="s">
        <v>8</v>
      </c>
      <c r="G169" s="22" t="s">
        <v>354</v>
      </c>
      <c r="H169" s="23">
        <v>295.0</v>
      </c>
      <c r="I169" s="22" t="s">
        <v>354</v>
      </c>
      <c r="J169" s="22" t="s">
        <v>354</v>
      </c>
      <c r="K169" s="22" t="s">
        <v>354</v>
      </c>
      <c r="L169" s="23">
        <v>0.0</v>
      </c>
      <c r="M169" s="22" t="s">
        <v>354</v>
      </c>
      <c r="N169" s="101" t="s">
        <v>17</v>
      </c>
      <c r="O169" s="24" t="s">
        <v>89</v>
      </c>
      <c r="P169" s="24" t="s">
        <v>90</v>
      </c>
      <c r="Q169" s="24" t="s">
        <v>91</v>
      </c>
      <c r="R169" s="44" t="s">
        <v>373</v>
      </c>
      <c r="S169" s="24" t="s">
        <v>91</v>
      </c>
      <c r="T169" s="24" t="s">
        <v>92</v>
      </c>
      <c r="U169" s="18" t="s">
        <v>92</v>
      </c>
      <c r="V169" s="18" t="s">
        <v>92</v>
      </c>
      <c r="W169" s="19"/>
      <c r="X169" s="23"/>
      <c r="Y169" s="23"/>
      <c r="Z169" s="23"/>
      <c r="AA169" s="19"/>
      <c r="AB169" s="22" t="s">
        <v>354</v>
      </c>
      <c r="AC169" s="19"/>
      <c r="AD169" s="19"/>
      <c r="AE169" s="19"/>
      <c r="AF169" s="33">
        <v>0.0</v>
      </c>
      <c r="AG169" s="23" t="s">
        <v>354</v>
      </c>
      <c r="AH169" s="19"/>
      <c r="AI169" s="23" t="s">
        <v>354</v>
      </c>
      <c r="AJ169" s="19"/>
      <c r="AK169" s="19"/>
      <c r="AL169" s="23" t="s">
        <v>356</v>
      </c>
      <c r="AM169" s="23" t="s">
        <v>356</v>
      </c>
      <c r="AN169" s="23" t="s">
        <v>356</v>
      </c>
    </row>
    <row r="170">
      <c r="A170" s="95" t="s">
        <v>498</v>
      </c>
      <c r="B170" s="98" t="s">
        <v>499</v>
      </c>
      <c r="C170" s="19" t="s">
        <v>87</v>
      </c>
      <c r="D170" s="20" t="s">
        <v>439</v>
      </c>
      <c r="E170" s="21" t="s">
        <v>7</v>
      </c>
      <c r="F170" s="19" t="s">
        <v>8</v>
      </c>
      <c r="G170" s="23">
        <v>122.0</v>
      </c>
      <c r="H170" s="23">
        <v>275.0</v>
      </c>
      <c r="I170" s="22" t="s">
        <v>354</v>
      </c>
      <c r="J170" s="22" t="s">
        <v>354</v>
      </c>
      <c r="K170" s="22" t="s">
        <v>354</v>
      </c>
      <c r="L170" s="23">
        <v>0.0</v>
      </c>
      <c r="M170" s="23" t="s">
        <v>354</v>
      </c>
      <c r="N170" s="101" t="s">
        <v>17</v>
      </c>
      <c r="O170" s="24" t="s">
        <v>89</v>
      </c>
      <c r="P170" s="24" t="s">
        <v>90</v>
      </c>
      <c r="Q170" s="24" t="s">
        <v>91</v>
      </c>
      <c r="R170" s="44" t="s">
        <v>373</v>
      </c>
      <c r="S170" s="24" t="s">
        <v>91</v>
      </c>
      <c r="T170" s="24" t="s">
        <v>92</v>
      </c>
      <c r="U170" s="18" t="s">
        <v>92</v>
      </c>
      <c r="V170" s="18" t="s">
        <v>92</v>
      </c>
      <c r="W170" s="18" t="s">
        <v>504</v>
      </c>
      <c r="X170" s="23"/>
      <c r="Y170" s="23"/>
      <c r="Z170" s="23"/>
      <c r="AA170" s="19"/>
      <c r="AB170" s="23" t="s">
        <v>354</v>
      </c>
      <c r="AC170" s="19"/>
      <c r="AD170" s="19"/>
      <c r="AE170" s="19"/>
      <c r="AF170" s="66">
        <v>37.9505786598981</v>
      </c>
      <c r="AG170" s="23" t="s">
        <v>354</v>
      </c>
      <c r="AH170" s="19"/>
      <c r="AI170" s="23" t="s">
        <v>354</v>
      </c>
      <c r="AJ170" s="19"/>
      <c r="AK170" s="19"/>
      <c r="AL170" s="19" t="s">
        <v>356</v>
      </c>
      <c r="AM170" s="19" t="s">
        <v>356</v>
      </c>
      <c r="AN170" s="40" t="s">
        <v>357</v>
      </c>
    </row>
    <row r="171">
      <c r="A171" s="95" t="s">
        <v>498</v>
      </c>
      <c r="B171" s="98" t="s">
        <v>499</v>
      </c>
      <c r="C171" s="136"/>
      <c r="D171" s="20" t="s">
        <v>439</v>
      </c>
      <c r="E171" s="97" t="s">
        <v>7</v>
      </c>
      <c r="F171" s="31" t="s">
        <v>8</v>
      </c>
      <c r="G171" s="22" t="s">
        <v>354</v>
      </c>
      <c r="H171" s="22" t="s">
        <v>354</v>
      </c>
      <c r="I171" s="22" t="s">
        <v>354</v>
      </c>
      <c r="J171" s="22" t="s">
        <v>354</v>
      </c>
      <c r="K171" s="22" t="s">
        <v>354</v>
      </c>
      <c r="L171" s="71">
        <v>0.0</v>
      </c>
      <c r="M171" s="71" t="s">
        <v>354</v>
      </c>
      <c r="N171" s="101" t="s">
        <v>17</v>
      </c>
      <c r="O171" s="24" t="s">
        <v>89</v>
      </c>
      <c r="P171" s="24" t="s">
        <v>90</v>
      </c>
      <c r="Q171" s="24" t="s">
        <v>91</v>
      </c>
      <c r="R171" s="44" t="s">
        <v>373</v>
      </c>
      <c r="S171" s="24" t="s">
        <v>91</v>
      </c>
      <c r="T171" s="24" t="s">
        <v>92</v>
      </c>
      <c r="U171" s="18" t="s">
        <v>92</v>
      </c>
      <c r="V171" s="18" t="s">
        <v>92</v>
      </c>
      <c r="W171" s="18" t="s">
        <v>504</v>
      </c>
      <c r="X171" s="18" t="s">
        <v>505</v>
      </c>
      <c r="Y171" s="23"/>
      <c r="Z171" s="23"/>
      <c r="AA171" s="23"/>
      <c r="AB171" s="41" t="s">
        <v>371</v>
      </c>
      <c r="AC171" s="19"/>
      <c r="AD171" s="19"/>
      <c r="AE171" s="19"/>
      <c r="AF171" s="22">
        <v>0.0</v>
      </c>
      <c r="AG171" s="22" t="s">
        <v>354</v>
      </c>
      <c r="AH171" s="19"/>
      <c r="AI171" s="22" t="s">
        <v>354</v>
      </c>
      <c r="AJ171" s="19"/>
      <c r="AK171" s="19"/>
      <c r="AL171" s="22" t="s">
        <v>356</v>
      </c>
      <c r="AM171" s="22" t="s">
        <v>356</v>
      </c>
      <c r="AN171" s="22" t="s">
        <v>356</v>
      </c>
    </row>
    <row r="172">
      <c r="A172" s="95" t="s">
        <v>498</v>
      </c>
      <c r="B172" s="98" t="s">
        <v>499</v>
      </c>
      <c r="C172" s="19" t="s">
        <v>87</v>
      </c>
      <c r="D172" s="20" t="s">
        <v>439</v>
      </c>
      <c r="E172" s="21" t="s">
        <v>7</v>
      </c>
      <c r="F172" s="19" t="s">
        <v>8</v>
      </c>
      <c r="G172" s="22" t="s">
        <v>354</v>
      </c>
      <c r="H172" s="22" t="s">
        <v>354</v>
      </c>
      <c r="I172" s="22" t="s">
        <v>354</v>
      </c>
      <c r="J172" s="22" t="s">
        <v>354</v>
      </c>
      <c r="K172" s="22" t="s">
        <v>354</v>
      </c>
      <c r="L172" s="41">
        <v>0.0</v>
      </c>
      <c r="M172" s="41" t="s">
        <v>354</v>
      </c>
      <c r="N172" s="101" t="s">
        <v>17</v>
      </c>
      <c r="O172" s="24" t="s">
        <v>89</v>
      </c>
      <c r="P172" s="24" t="s">
        <v>90</v>
      </c>
      <c r="Q172" s="24" t="s">
        <v>91</v>
      </c>
      <c r="R172" s="44" t="s">
        <v>373</v>
      </c>
      <c r="S172" s="24" t="s">
        <v>91</v>
      </c>
      <c r="T172" s="24" t="s">
        <v>92</v>
      </c>
      <c r="U172" s="18" t="s">
        <v>92</v>
      </c>
      <c r="V172" s="18" t="s">
        <v>92</v>
      </c>
      <c r="W172" s="18" t="s">
        <v>504</v>
      </c>
      <c r="X172" s="18" t="s">
        <v>505</v>
      </c>
      <c r="Y172" s="18" t="s">
        <v>92</v>
      </c>
      <c r="Z172" s="44" t="s">
        <v>373</v>
      </c>
      <c r="AA172" s="61" t="s">
        <v>373</v>
      </c>
      <c r="AB172" s="41" t="s">
        <v>371</v>
      </c>
      <c r="AC172" s="19"/>
      <c r="AD172" s="19"/>
      <c r="AE172" s="19"/>
      <c r="AF172" s="33">
        <v>0.0</v>
      </c>
      <c r="AG172" s="23" t="s">
        <v>354</v>
      </c>
      <c r="AH172" s="19"/>
      <c r="AI172" s="23" t="s">
        <v>354</v>
      </c>
      <c r="AJ172" s="19"/>
      <c r="AK172" s="19"/>
      <c r="AL172" s="23" t="s">
        <v>356</v>
      </c>
      <c r="AM172" s="23" t="s">
        <v>356</v>
      </c>
      <c r="AN172" s="23" t="s">
        <v>356</v>
      </c>
    </row>
    <row r="173">
      <c r="A173" s="45" t="s">
        <v>94</v>
      </c>
      <c r="B173" s="98" t="s">
        <v>506</v>
      </c>
      <c r="C173" s="46" t="s">
        <v>93</v>
      </c>
      <c r="D173" s="47" t="s">
        <v>439</v>
      </c>
      <c r="E173" s="48" t="s">
        <v>37</v>
      </c>
      <c r="F173" s="46" t="s">
        <v>67</v>
      </c>
      <c r="G173" s="49">
        <v>121.0</v>
      </c>
      <c r="H173" s="49">
        <v>265.0</v>
      </c>
      <c r="I173" s="49" t="s">
        <v>354</v>
      </c>
      <c r="J173" s="46">
        <v>22.0</v>
      </c>
      <c r="K173" s="49">
        <v>0.0</v>
      </c>
      <c r="L173" s="49">
        <v>0.0</v>
      </c>
      <c r="M173" s="57" t="s">
        <v>354</v>
      </c>
      <c r="N173" s="101" t="s">
        <v>17</v>
      </c>
      <c r="O173" s="24" t="s">
        <v>95</v>
      </c>
      <c r="P173" s="46"/>
      <c r="Q173" s="46"/>
      <c r="R173" s="46"/>
      <c r="S173" s="46"/>
      <c r="T173" s="46"/>
      <c r="U173" s="46"/>
      <c r="V173" s="46"/>
      <c r="W173" s="46"/>
      <c r="X173" s="46"/>
      <c r="Y173" s="46"/>
      <c r="Z173" s="46"/>
      <c r="AA173" s="46"/>
      <c r="AB173" s="49" t="s">
        <v>354</v>
      </c>
      <c r="AC173" s="46">
        <v>36298.0</v>
      </c>
      <c r="AD173" s="46"/>
      <c r="AE173" s="46"/>
      <c r="AF173" s="63">
        <v>0.0</v>
      </c>
      <c r="AG173" s="49" t="s">
        <v>356</v>
      </c>
      <c r="AH173" s="46"/>
      <c r="AI173" s="49" t="s">
        <v>356</v>
      </c>
      <c r="AJ173" s="46"/>
      <c r="AK173" s="46"/>
      <c r="AL173" s="50" t="s">
        <v>361</v>
      </c>
      <c r="AM173" s="49" t="s">
        <v>356</v>
      </c>
      <c r="AN173" s="88" t="s">
        <v>358</v>
      </c>
    </row>
    <row r="174">
      <c r="A174" s="45" t="s">
        <v>94</v>
      </c>
      <c r="B174" s="98" t="s">
        <v>506</v>
      </c>
      <c r="C174" s="46" t="s">
        <v>93</v>
      </c>
      <c r="D174" s="47" t="s">
        <v>439</v>
      </c>
      <c r="E174" s="48" t="s">
        <v>37</v>
      </c>
      <c r="F174" s="46" t="s">
        <v>67</v>
      </c>
      <c r="G174" s="49">
        <v>120.0</v>
      </c>
      <c r="H174" s="49">
        <v>245.0</v>
      </c>
      <c r="I174" s="57" t="s">
        <v>354</v>
      </c>
      <c r="J174" s="46">
        <v>9.0</v>
      </c>
      <c r="K174" s="49">
        <v>0.0</v>
      </c>
      <c r="L174" s="49">
        <v>0.0</v>
      </c>
      <c r="M174" s="57" t="s">
        <v>354</v>
      </c>
      <c r="N174" s="101" t="s">
        <v>17</v>
      </c>
      <c r="O174" s="24" t="s">
        <v>95</v>
      </c>
      <c r="P174" s="24" t="s">
        <v>96</v>
      </c>
      <c r="Q174" s="46"/>
      <c r="R174" s="46"/>
      <c r="S174" s="46"/>
      <c r="T174" s="46"/>
      <c r="U174" s="46"/>
      <c r="V174" s="46"/>
      <c r="W174" s="46"/>
      <c r="X174" s="46"/>
      <c r="Y174" s="46"/>
      <c r="Z174" s="46"/>
      <c r="AA174" s="46"/>
      <c r="AB174" s="49" t="s">
        <v>354</v>
      </c>
      <c r="AC174" s="46">
        <v>36312.0</v>
      </c>
      <c r="AD174" s="46"/>
      <c r="AE174" s="46"/>
      <c r="AF174" s="55">
        <v>39.69</v>
      </c>
      <c r="AG174" s="56" t="s">
        <v>365</v>
      </c>
      <c r="AH174" s="49" t="s">
        <v>366</v>
      </c>
      <c r="AI174" s="34" t="s">
        <v>357</v>
      </c>
      <c r="AJ174" s="46"/>
      <c r="AK174" s="46"/>
      <c r="AL174" s="34" t="s">
        <v>357</v>
      </c>
      <c r="AM174" s="34" t="s">
        <v>357</v>
      </c>
      <c r="AN174" s="73" t="s">
        <v>357</v>
      </c>
    </row>
    <row r="175">
      <c r="A175" s="45" t="s">
        <v>94</v>
      </c>
      <c r="B175" s="98" t="s">
        <v>506</v>
      </c>
      <c r="C175" s="46" t="s">
        <v>93</v>
      </c>
      <c r="D175" s="47" t="s">
        <v>439</v>
      </c>
      <c r="E175" s="48" t="s">
        <v>37</v>
      </c>
      <c r="F175" s="46" t="s">
        <v>67</v>
      </c>
      <c r="G175" s="49">
        <v>119.0</v>
      </c>
      <c r="H175" s="49">
        <v>225.0</v>
      </c>
      <c r="I175" s="57" t="s">
        <v>354</v>
      </c>
      <c r="J175" s="46">
        <v>10.0</v>
      </c>
      <c r="K175" s="49">
        <v>0.0</v>
      </c>
      <c r="L175" s="49">
        <v>0.0</v>
      </c>
      <c r="M175" s="57" t="s">
        <v>354</v>
      </c>
      <c r="N175" s="101" t="s">
        <v>17</v>
      </c>
      <c r="O175" s="24" t="s">
        <v>95</v>
      </c>
      <c r="P175" s="24" t="s">
        <v>96</v>
      </c>
      <c r="Q175" s="24" t="s">
        <v>94</v>
      </c>
      <c r="R175" s="46"/>
      <c r="S175" s="46"/>
      <c r="T175" s="46"/>
      <c r="U175" s="46"/>
      <c r="V175" s="46"/>
      <c r="W175" s="46"/>
      <c r="X175" s="46"/>
      <c r="Y175" s="46"/>
      <c r="Z175" s="46"/>
      <c r="AA175" s="46"/>
      <c r="AB175" s="49" t="s">
        <v>507</v>
      </c>
      <c r="AC175" s="46">
        <v>36600.0</v>
      </c>
      <c r="AD175" s="46"/>
      <c r="AE175" s="46"/>
      <c r="AF175" s="55">
        <v>32.46</v>
      </c>
      <c r="AG175" s="56" t="s">
        <v>365</v>
      </c>
      <c r="AH175" s="49" t="s">
        <v>366</v>
      </c>
      <c r="AI175" s="26" t="s">
        <v>357</v>
      </c>
      <c r="AJ175" s="46"/>
      <c r="AK175" s="46"/>
      <c r="AL175" s="59" t="s">
        <v>357</v>
      </c>
      <c r="AM175" s="38" t="s">
        <v>357</v>
      </c>
      <c r="AN175" s="75" t="s">
        <v>357</v>
      </c>
    </row>
    <row r="176">
      <c r="A176" s="45" t="s">
        <v>94</v>
      </c>
      <c r="B176" s="98" t="s">
        <v>506</v>
      </c>
      <c r="C176" s="46" t="s">
        <v>93</v>
      </c>
      <c r="D176" s="47" t="s">
        <v>439</v>
      </c>
      <c r="E176" s="63" t="s">
        <v>7</v>
      </c>
      <c r="F176" s="46" t="s">
        <v>67</v>
      </c>
      <c r="G176" s="57" t="s">
        <v>354</v>
      </c>
      <c r="H176" s="49">
        <v>230.0</v>
      </c>
      <c r="I176" s="57" t="s">
        <v>354</v>
      </c>
      <c r="J176" s="46">
        <v>9.0</v>
      </c>
      <c r="K176" s="49">
        <v>0.0</v>
      </c>
      <c r="L176" s="49">
        <v>0.0</v>
      </c>
      <c r="M176" s="57" t="s">
        <v>354</v>
      </c>
      <c r="N176" s="101" t="s">
        <v>17</v>
      </c>
      <c r="O176" s="24" t="s">
        <v>95</v>
      </c>
      <c r="P176" s="24" t="s">
        <v>96</v>
      </c>
      <c r="Q176" s="24" t="s">
        <v>94</v>
      </c>
      <c r="R176" s="24" t="s">
        <v>94</v>
      </c>
      <c r="S176" s="46"/>
      <c r="T176" s="46"/>
      <c r="U176" s="46"/>
      <c r="V176" s="46"/>
      <c r="W176" s="46"/>
      <c r="X176" s="46"/>
      <c r="Y176" s="46"/>
      <c r="Z176" s="46"/>
      <c r="AA176" s="46"/>
      <c r="AB176" s="49" t="s">
        <v>354</v>
      </c>
      <c r="AC176" s="46"/>
      <c r="AD176" s="46"/>
      <c r="AE176" s="46"/>
      <c r="AF176" s="63">
        <v>0.0</v>
      </c>
      <c r="AG176" s="49" t="s">
        <v>356</v>
      </c>
      <c r="AH176" s="46"/>
      <c r="AI176" s="49" t="s">
        <v>356</v>
      </c>
      <c r="AJ176" s="46"/>
      <c r="AK176" s="46"/>
      <c r="AL176" s="49" t="s">
        <v>356</v>
      </c>
      <c r="AM176" s="49" t="s">
        <v>356</v>
      </c>
      <c r="AN176" s="59" t="s">
        <v>357</v>
      </c>
    </row>
    <row r="177">
      <c r="A177" s="45" t="s">
        <v>94</v>
      </c>
      <c r="B177" s="98" t="s">
        <v>506</v>
      </c>
      <c r="C177" s="46" t="s">
        <v>93</v>
      </c>
      <c r="D177" s="47" t="s">
        <v>439</v>
      </c>
      <c r="E177" s="63" t="s">
        <v>7</v>
      </c>
      <c r="F177" s="46" t="s">
        <v>67</v>
      </c>
      <c r="G177" s="57" t="s">
        <v>354</v>
      </c>
      <c r="H177" s="49">
        <v>250.0</v>
      </c>
      <c r="I177" s="57" t="s">
        <v>354</v>
      </c>
      <c r="J177" s="46">
        <v>10.0</v>
      </c>
      <c r="K177" s="49">
        <v>0.0</v>
      </c>
      <c r="L177" s="49">
        <v>0.0</v>
      </c>
      <c r="M177" s="57" t="s">
        <v>354</v>
      </c>
      <c r="N177" s="101" t="s">
        <v>17</v>
      </c>
      <c r="O177" s="24" t="s">
        <v>95</v>
      </c>
      <c r="P177" s="24" t="s">
        <v>96</v>
      </c>
      <c r="Q177" s="24" t="s">
        <v>94</v>
      </c>
      <c r="R177" s="24" t="s">
        <v>94</v>
      </c>
      <c r="S177" s="24" t="s">
        <v>94</v>
      </c>
      <c r="T177" s="46"/>
      <c r="U177" s="46"/>
      <c r="V177" s="46"/>
      <c r="W177" s="46"/>
      <c r="X177" s="46"/>
      <c r="Y177" s="46"/>
      <c r="Z177" s="46"/>
      <c r="AA177" s="46"/>
      <c r="AB177" s="49" t="s">
        <v>354</v>
      </c>
      <c r="AC177" s="46"/>
      <c r="AD177" s="46"/>
      <c r="AE177" s="46"/>
      <c r="AF177" s="49">
        <v>0.0</v>
      </c>
      <c r="AG177" s="49" t="s">
        <v>354</v>
      </c>
      <c r="AH177" s="46"/>
      <c r="AI177" s="49" t="s">
        <v>354</v>
      </c>
      <c r="AJ177" s="46"/>
      <c r="AK177" s="46"/>
      <c r="AL177" s="80" t="s">
        <v>356</v>
      </c>
      <c r="AM177" s="59" t="s">
        <v>357</v>
      </c>
      <c r="AN177" s="80" t="s">
        <v>356</v>
      </c>
    </row>
    <row r="178">
      <c r="A178" s="45" t="s">
        <v>94</v>
      </c>
      <c r="B178" s="98" t="s">
        <v>506</v>
      </c>
      <c r="C178" s="46" t="s">
        <v>93</v>
      </c>
      <c r="D178" s="47" t="s">
        <v>439</v>
      </c>
      <c r="E178" s="63" t="s">
        <v>7</v>
      </c>
      <c r="F178" s="46" t="s">
        <v>67</v>
      </c>
      <c r="G178" s="57" t="s">
        <v>354</v>
      </c>
      <c r="H178" s="49">
        <v>235.0</v>
      </c>
      <c r="I178" s="57" t="s">
        <v>354</v>
      </c>
      <c r="J178" s="46">
        <v>13.0</v>
      </c>
      <c r="K178" s="49">
        <v>0.0</v>
      </c>
      <c r="L178" s="49">
        <v>0.0</v>
      </c>
      <c r="M178" s="57" t="s">
        <v>354</v>
      </c>
      <c r="N178" s="101" t="s">
        <v>17</v>
      </c>
      <c r="O178" s="24" t="s">
        <v>95</v>
      </c>
      <c r="P178" s="24" t="s">
        <v>96</v>
      </c>
      <c r="Q178" s="24" t="s">
        <v>94</v>
      </c>
      <c r="R178" s="24" t="s">
        <v>94</v>
      </c>
      <c r="S178" s="24" t="s">
        <v>94</v>
      </c>
      <c r="T178" s="24" t="s">
        <v>94</v>
      </c>
      <c r="U178" s="62" t="s">
        <v>381</v>
      </c>
      <c r="V178" s="62" t="s">
        <v>381</v>
      </c>
      <c r="W178" s="62" t="s">
        <v>381</v>
      </c>
      <c r="X178" s="62" t="s">
        <v>381</v>
      </c>
      <c r="Y178" s="62" t="s">
        <v>381</v>
      </c>
      <c r="Z178" s="62" t="s">
        <v>381</v>
      </c>
      <c r="AA178" s="62" t="s">
        <v>381</v>
      </c>
      <c r="AB178" s="62" t="s">
        <v>508</v>
      </c>
      <c r="AC178" s="46"/>
      <c r="AD178" s="46"/>
      <c r="AE178" s="46"/>
      <c r="AF178" s="49">
        <v>0.0</v>
      </c>
      <c r="AG178" s="49" t="s">
        <v>354</v>
      </c>
      <c r="AH178" s="46"/>
      <c r="AI178" s="49" t="s">
        <v>354</v>
      </c>
      <c r="AJ178" s="46"/>
      <c r="AK178" s="46"/>
      <c r="AL178" s="80" t="s">
        <v>356</v>
      </c>
      <c r="AM178" s="58" t="s">
        <v>380</v>
      </c>
      <c r="AN178" s="80" t="s">
        <v>356</v>
      </c>
    </row>
    <row r="179">
      <c r="A179" s="95" t="s">
        <v>509</v>
      </c>
      <c r="B179" s="98" t="s">
        <v>510</v>
      </c>
      <c r="C179" s="19" t="s">
        <v>97</v>
      </c>
      <c r="D179" s="20" t="s">
        <v>439</v>
      </c>
      <c r="E179" s="21" t="s">
        <v>37</v>
      </c>
      <c r="F179" s="19" t="s">
        <v>67</v>
      </c>
      <c r="G179" s="23">
        <v>123.0</v>
      </c>
      <c r="H179" s="23">
        <v>295.0</v>
      </c>
      <c r="I179" s="23" t="s">
        <v>354</v>
      </c>
      <c r="J179" s="19">
        <v>23.0</v>
      </c>
      <c r="K179" s="23">
        <v>0.0</v>
      </c>
      <c r="L179" s="23">
        <v>1.0</v>
      </c>
      <c r="M179" s="23" t="s">
        <v>354</v>
      </c>
      <c r="N179" s="101" t="s">
        <v>17</v>
      </c>
      <c r="O179" s="24" t="s">
        <v>99</v>
      </c>
      <c r="P179" s="44" t="s">
        <v>373</v>
      </c>
      <c r="Q179" s="19"/>
      <c r="R179" s="19"/>
      <c r="S179" s="19"/>
      <c r="T179" s="19"/>
      <c r="U179" s="19"/>
      <c r="V179" s="19"/>
      <c r="W179" s="19"/>
      <c r="X179" s="19"/>
      <c r="Y179" s="19"/>
      <c r="Z179" s="19"/>
      <c r="AA179" s="19"/>
      <c r="AB179" s="23" t="s">
        <v>354</v>
      </c>
      <c r="AC179" s="19">
        <v>36299.0</v>
      </c>
      <c r="AD179" s="19"/>
      <c r="AE179" s="19"/>
      <c r="AF179" s="30">
        <v>44.62</v>
      </c>
      <c r="AG179" s="23" t="s">
        <v>356</v>
      </c>
      <c r="AH179" s="19"/>
      <c r="AI179" s="23" t="s">
        <v>356</v>
      </c>
      <c r="AJ179" s="19"/>
      <c r="AK179" s="19"/>
      <c r="AL179" s="31" t="s">
        <v>356</v>
      </c>
      <c r="AM179" s="32" t="s">
        <v>361</v>
      </c>
      <c r="AN179" s="88" t="s">
        <v>358</v>
      </c>
    </row>
    <row r="180">
      <c r="A180" s="95" t="s">
        <v>509</v>
      </c>
      <c r="B180" s="98" t="s">
        <v>510</v>
      </c>
      <c r="C180" s="19" t="s">
        <v>97</v>
      </c>
      <c r="D180" s="20" t="s">
        <v>439</v>
      </c>
      <c r="E180" s="21" t="s">
        <v>37</v>
      </c>
      <c r="F180" s="19" t="s">
        <v>67</v>
      </c>
      <c r="G180" s="22" t="s">
        <v>354</v>
      </c>
      <c r="H180" s="23">
        <v>275.0</v>
      </c>
      <c r="I180" s="22" t="s">
        <v>354</v>
      </c>
      <c r="J180" s="19">
        <v>11.0</v>
      </c>
      <c r="K180" s="23">
        <v>1.0</v>
      </c>
      <c r="L180" s="23">
        <v>0.0</v>
      </c>
      <c r="M180" s="22" t="s">
        <v>354</v>
      </c>
      <c r="N180" s="101" t="s">
        <v>17</v>
      </c>
      <c r="O180" s="24" t="s">
        <v>99</v>
      </c>
      <c r="P180" s="44" t="s">
        <v>373</v>
      </c>
      <c r="Q180" s="24" t="s">
        <v>98</v>
      </c>
      <c r="R180" s="19"/>
      <c r="S180" s="19"/>
      <c r="T180" s="19"/>
      <c r="U180" s="19"/>
      <c r="V180" s="19"/>
      <c r="W180" s="19"/>
      <c r="X180" s="19"/>
      <c r="Y180" s="19"/>
      <c r="Z180" s="19"/>
      <c r="AA180" s="19"/>
      <c r="AB180" s="23" t="s">
        <v>511</v>
      </c>
      <c r="AC180" s="19">
        <v>36601.0</v>
      </c>
      <c r="AD180" s="19"/>
      <c r="AE180" s="19"/>
      <c r="AF180" s="33">
        <v>0.0</v>
      </c>
      <c r="AG180" s="36" t="s">
        <v>365</v>
      </c>
      <c r="AH180" s="23" t="s">
        <v>366</v>
      </c>
      <c r="AI180" s="26" t="s">
        <v>357</v>
      </c>
      <c r="AJ180" s="19"/>
      <c r="AK180" s="19"/>
      <c r="AL180" s="59" t="s">
        <v>357</v>
      </c>
      <c r="AM180" s="38" t="s">
        <v>357</v>
      </c>
      <c r="AN180" s="75" t="s">
        <v>357</v>
      </c>
    </row>
    <row r="181">
      <c r="A181" s="95" t="s">
        <v>509</v>
      </c>
      <c r="B181" s="98" t="s">
        <v>510</v>
      </c>
      <c r="C181" s="19" t="s">
        <v>97</v>
      </c>
      <c r="D181" s="20" t="s">
        <v>439</v>
      </c>
      <c r="E181" s="33" t="s">
        <v>7</v>
      </c>
      <c r="F181" s="19" t="s">
        <v>67</v>
      </c>
      <c r="G181" s="22" t="s">
        <v>354</v>
      </c>
      <c r="H181" s="23">
        <v>220.0</v>
      </c>
      <c r="I181" s="22" t="s">
        <v>354</v>
      </c>
      <c r="J181" s="19">
        <v>10.0</v>
      </c>
      <c r="K181" s="23">
        <v>0.0</v>
      </c>
      <c r="L181" s="22">
        <v>0.0</v>
      </c>
      <c r="M181" s="22" t="s">
        <v>354</v>
      </c>
      <c r="N181" s="101" t="s">
        <v>17</v>
      </c>
      <c r="O181" s="24" t="s">
        <v>99</v>
      </c>
      <c r="P181" s="44" t="s">
        <v>373</v>
      </c>
      <c r="Q181" s="24" t="s">
        <v>98</v>
      </c>
      <c r="R181" s="24" t="s">
        <v>98</v>
      </c>
      <c r="S181" s="19"/>
      <c r="T181" s="19"/>
      <c r="U181" s="19"/>
      <c r="V181" s="19"/>
      <c r="W181" s="19"/>
      <c r="X181" s="19"/>
      <c r="Y181" s="19"/>
      <c r="Z181" s="19"/>
      <c r="AA181" s="19"/>
      <c r="AB181" s="23" t="s">
        <v>512</v>
      </c>
      <c r="AC181" s="19"/>
      <c r="AD181" s="19"/>
      <c r="AE181" s="19"/>
      <c r="AF181" s="33">
        <v>0.0</v>
      </c>
      <c r="AG181" s="23" t="s">
        <v>356</v>
      </c>
      <c r="AH181" s="19"/>
      <c r="AI181" s="23" t="s">
        <v>356</v>
      </c>
      <c r="AJ181" s="19"/>
      <c r="AK181" s="19"/>
      <c r="AL181" s="23" t="s">
        <v>356</v>
      </c>
      <c r="AM181" s="23" t="s">
        <v>356</v>
      </c>
      <c r="AN181" s="23" t="s">
        <v>356</v>
      </c>
    </row>
    <row r="182">
      <c r="A182" s="95" t="s">
        <v>509</v>
      </c>
      <c r="B182" s="98" t="s">
        <v>510</v>
      </c>
      <c r="C182" s="19" t="s">
        <v>97</v>
      </c>
      <c r="D182" s="20" t="s">
        <v>439</v>
      </c>
      <c r="E182" s="33" t="s">
        <v>7</v>
      </c>
      <c r="F182" s="19" t="s">
        <v>67</v>
      </c>
      <c r="G182" s="22" t="s">
        <v>354</v>
      </c>
      <c r="H182" s="23">
        <v>250.0</v>
      </c>
      <c r="I182" s="22" t="s">
        <v>354</v>
      </c>
      <c r="J182" s="19">
        <v>11.0</v>
      </c>
      <c r="K182" s="23">
        <v>0.0</v>
      </c>
      <c r="L182" s="22">
        <v>0.0</v>
      </c>
      <c r="M182" s="22" t="s">
        <v>354</v>
      </c>
      <c r="N182" s="101" t="s">
        <v>17</v>
      </c>
      <c r="O182" s="24" t="s">
        <v>99</v>
      </c>
      <c r="P182" s="44" t="s">
        <v>373</v>
      </c>
      <c r="Q182" s="24" t="s">
        <v>98</v>
      </c>
      <c r="R182" s="24" t="s">
        <v>98</v>
      </c>
      <c r="S182" s="24" t="s">
        <v>98</v>
      </c>
      <c r="T182" s="19"/>
      <c r="U182" s="19"/>
      <c r="V182" s="19"/>
      <c r="W182" s="19"/>
      <c r="X182" s="19"/>
      <c r="Y182" s="19"/>
      <c r="Z182" s="19"/>
      <c r="AA182" s="19"/>
      <c r="AB182" s="23" t="s">
        <v>513</v>
      </c>
      <c r="AC182" s="19"/>
      <c r="AD182" s="19"/>
      <c r="AE182" s="19"/>
      <c r="AF182" s="33">
        <v>0.0</v>
      </c>
      <c r="AG182" s="23" t="s">
        <v>354</v>
      </c>
      <c r="AH182" s="19"/>
      <c r="AI182" s="23" t="s">
        <v>354</v>
      </c>
      <c r="AJ182" s="19"/>
      <c r="AK182" s="19"/>
      <c r="AL182" s="40" t="s">
        <v>357</v>
      </c>
      <c r="AM182" s="40" t="s">
        <v>357</v>
      </c>
      <c r="AN182" s="40" t="s">
        <v>357</v>
      </c>
    </row>
    <row r="183">
      <c r="A183" s="95" t="s">
        <v>509</v>
      </c>
      <c r="B183" s="98" t="s">
        <v>510</v>
      </c>
      <c r="C183" s="19" t="s">
        <v>97</v>
      </c>
      <c r="D183" s="20" t="s">
        <v>439</v>
      </c>
      <c r="E183" s="33" t="s">
        <v>7</v>
      </c>
      <c r="F183" s="19" t="s">
        <v>67</v>
      </c>
      <c r="G183" s="22" t="s">
        <v>354</v>
      </c>
      <c r="H183" s="23">
        <v>270.0</v>
      </c>
      <c r="I183" s="22" t="s">
        <v>354</v>
      </c>
      <c r="J183" s="19">
        <v>14.0</v>
      </c>
      <c r="K183" s="23">
        <v>0.0</v>
      </c>
      <c r="L183" s="22">
        <v>0.0</v>
      </c>
      <c r="M183" s="22" t="s">
        <v>354</v>
      </c>
      <c r="N183" s="101" t="s">
        <v>17</v>
      </c>
      <c r="O183" s="24" t="s">
        <v>99</v>
      </c>
      <c r="P183" s="44" t="s">
        <v>373</v>
      </c>
      <c r="Q183" s="24" t="s">
        <v>98</v>
      </c>
      <c r="R183" s="24" t="s">
        <v>98</v>
      </c>
      <c r="S183" s="24" t="s">
        <v>98</v>
      </c>
      <c r="T183" s="24" t="s">
        <v>98</v>
      </c>
      <c r="U183" s="19"/>
      <c r="V183" s="19"/>
      <c r="W183" s="19"/>
      <c r="X183" s="19"/>
      <c r="Y183" s="19"/>
      <c r="Z183" s="19"/>
      <c r="AA183" s="19"/>
      <c r="AB183" s="23" t="s">
        <v>514</v>
      </c>
      <c r="AC183" s="19"/>
      <c r="AD183" s="19"/>
      <c r="AE183" s="19"/>
      <c r="AF183" s="33">
        <v>0.0</v>
      </c>
      <c r="AG183" s="23" t="s">
        <v>354</v>
      </c>
      <c r="AH183" s="19"/>
      <c r="AI183" s="23" t="s">
        <v>354</v>
      </c>
      <c r="AJ183" s="19"/>
      <c r="AK183" s="19"/>
      <c r="AL183" s="23" t="s">
        <v>356</v>
      </c>
      <c r="AM183" s="23" t="s">
        <v>356</v>
      </c>
      <c r="AN183" s="23" t="s">
        <v>356</v>
      </c>
    </row>
    <row r="184">
      <c r="A184" s="95" t="s">
        <v>509</v>
      </c>
      <c r="B184" s="98" t="s">
        <v>510</v>
      </c>
      <c r="C184" s="19" t="s">
        <v>97</v>
      </c>
      <c r="D184" s="20" t="s">
        <v>439</v>
      </c>
      <c r="E184" s="33" t="s">
        <v>7</v>
      </c>
      <c r="F184" s="19" t="s">
        <v>67</v>
      </c>
      <c r="G184" s="22" t="s">
        <v>354</v>
      </c>
      <c r="H184" s="23">
        <v>275.0</v>
      </c>
      <c r="I184" s="22" t="s">
        <v>354</v>
      </c>
      <c r="J184" s="19">
        <v>12.0</v>
      </c>
      <c r="K184" s="23">
        <v>1.0</v>
      </c>
      <c r="L184" s="22">
        <v>0.0</v>
      </c>
      <c r="M184" s="22" t="s">
        <v>354</v>
      </c>
      <c r="N184" s="101" t="s">
        <v>17</v>
      </c>
      <c r="O184" s="24" t="s">
        <v>99</v>
      </c>
      <c r="P184" s="44" t="s">
        <v>373</v>
      </c>
      <c r="Q184" s="24" t="s">
        <v>98</v>
      </c>
      <c r="R184" s="24" t="s">
        <v>98</v>
      </c>
      <c r="S184" s="24" t="s">
        <v>98</v>
      </c>
      <c r="T184" s="24" t="s">
        <v>98</v>
      </c>
      <c r="U184" s="24" t="s">
        <v>98</v>
      </c>
      <c r="V184" s="19"/>
      <c r="W184" s="137"/>
      <c r="X184" s="137"/>
      <c r="Y184" s="137"/>
      <c r="Z184" s="137"/>
      <c r="AA184" s="137"/>
      <c r="AB184" s="138" t="s">
        <v>515</v>
      </c>
      <c r="AC184" s="137"/>
      <c r="AD184" s="19"/>
      <c r="AE184" s="19"/>
      <c r="AF184" s="33">
        <v>0.0</v>
      </c>
      <c r="AG184" s="23" t="s">
        <v>354</v>
      </c>
      <c r="AH184" s="19"/>
      <c r="AI184" s="23" t="s">
        <v>354</v>
      </c>
      <c r="AJ184" s="19"/>
      <c r="AK184" s="19"/>
      <c r="AL184" s="23" t="s">
        <v>356</v>
      </c>
      <c r="AM184" s="23" t="s">
        <v>356</v>
      </c>
      <c r="AN184" s="23" t="s">
        <v>356</v>
      </c>
    </row>
    <row r="185">
      <c r="A185" s="95" t="s">
        <v>509</v>
      </c>
      <c r="B185" s="98" t="s">
        <v>510</v>
      </c>
      <c r="C185" s="19" t="s">
        <v>97</v>
      </c>
      <c r="D185" s="20" t="s">
        <v>439</v>
      </c>
      <c r="E185" s="33" t="s">
        <v>7</v>
      </c>
      <c r="F185" s="19" t="s">
        <v>67</v>
      </c>
      <c r="G185" s="22" t="s">
        <v>354</v>
      </c>
      <c r="H185" s="23" t="s">
        <v>354</v>
      </c>
      <c r="I185" s="22" t="s">
        <v>354</v>
      </c>
      <c r="J185" s="19">
        <v>12.0</v>
      </c>
      <c r="K185" s="23">
        <v>1.0</v>
      </c>
      <c r="L185" s="22">
        <v>0.0</v>
      </c>
      <c r="M185" s="22" t="s">
        <v>354</v>
      </c>
      <c r="N185" s="101" t="s">
        <v>17</v>
      </c>
      <c r="O185" s="24" t="s">
        <v>99</v>
      </c>
      <c r="P185" s="44" t="s">
        <v>373</v>
      </c>
      <c r="Q185" s="24" t="s">
        <v>98</v>
      </c>
      <c r="R185" s="24" t="s">
        <v>98</v>
      </c>
      <c r="S185" s="24" t="s">
        <v>98</v>
      </c>
      <c r="T185" s="24" t="s">
        <v>98</v>
      </c>
      <c r="U185" s="24" t="s">
        <v>98</v>
      </c>
      <c r="V185" s="24" t="s">
        <v>98</v>
      </c>
      <c r="W185" s="44" t="s">
        <v>373</v>
      </c>
      <c r="X185" s="137"/>
      <c r="Y185" s="137"/>
      <c r="Z185" s="137"/>
      <c r="AA185" s="137"/>
      <c r="AB185" s="139" t="s">
        <v>354</v>
      </c>
      <c r="AC185" s="19"/>
      <c r="AD185" s="19"/>
      <c r="AE185" s="19"/>
      <c r="AF185" s="33">
        <v>0.0</v>
      </c>
      <c r="AG185" s="23" t="s">
        <v>354</v>
      </c>
      <c r="AH185" s="19"/>
      <c r="AI185" s="23" t="s">
        <v>354</v>
      </c>
      <c r="AJ185" s="19"/>
      <c r="AK185" s="19"/>
      <c r="AL185" s="23" t="s">
        <v>356</v>
      </c>
      <c r="AM185" s="23" t="s">
        <v>356</v>
      </c>
      <c r="AN185" s="23" t="s">
        <v>356</v>
      </c>
    </row>
    <row r="186">
      <c r="A186" s="95" t="s">
        <v>509</v>
      </c>
      <c r="B186" s="98" t="s">
        <v>510</v>
      </c>
      <c r="C186" s="19" t="s">
        <v>97</v>
      </c>
      <c r="D186" s="20" t="s">
        <v>439</v>
      </c>
      <c r="E186" s="33" t="s">
        <v>7</v>
      </c>
      <c r="F186" s="19" t="s">
        <v>67</v>
      </c>
      <c r="G186" s="22" t="s">
        <v>354</v>
      </c>
      <c r="H186" s="23" t="s">
        <v>354</v>
      </c>
      <c r="I186" s="22" t="s">
        <v>354</v>
      </c>
      <c r="J186" s="19">
        <v>12.0</v>
      </c>
      <c r="K186" s="23">
        <v>1.0</v>
      </c>
      <c r="L186" s="22">
        <v>0.0</v>
      </c>
      <c r="M186" s="22" t="s">
        <v>354</v>
      </c>
      <c r="N186" s="101" t="s">
        <v>17</v>
      </c>
      <c r="O186" s="24" t="s">
        <v>99</v>
      </c>
      <c r="P186" s="44" t="s">
        <v>373</v>
      </c>
      <c r="Q186" s="24" t="s">
        <v>98</v>
      </c>
      <c r="R186" s="24" t="s">
        <v>98</v>
      </c>
      <c r="S186" s="24" t="s">
        <v>98</v>
      </c>
      <c r="T186" s="24" t="s">
        <v>98</v>
      </c>
      <c r="U186" s="24" t="s">
        <v>98</v>
      </c>
      <c r="V186" s="24" t="s">
        <v>98</v>
      </c>
      <c r="W186" s="44" t="s">
        <v>373</v>
      </c>
      <c r="X186" s="18" t="s">
        <v>516</v>
      </c>
      <c r="Y186" s="44" t="s">
        <v>373</v>
      </c>
      <c r="Z186" s="61" t="s">
        <v>373</v>
      </c>
      <c r="AA186" s="62" t="s">
        <v>373</v>
      </c>
      <c r="AB186" s="62" t="s">
        <v>517</v>
      </c>
      <c r="AC186" s="19"/>
      <c r="AD186" s="19"/>
      <c r="AE186" s="19"/>
      <c r="AF186" s="33">
        <v>0.0</v>
      </c>
      <c r="AG186" s="23" t="s">
        <v>354</v>
      </c>
      <c r="AH186" s="19"/>
      <c r="AI186" s="23" t="s">
        <v>354</v>
      </c>
      <c r="AJ186" s="19"/>
      <c r="AK186" s="19"/>
      <c r="AL186" s="32" t="s">
        <v>361</v>
      </c>
      <c r="AM186" s="23" t="s">
        <v>356</v>
      </c>
      <c r="AN186" s="23" t="s">
        <v>356</v>
      </c>
    </row>
    <row r="187">
      <c r="A187" s="45" t="s">
        <v>101</v>
      </c>
      <c r="B187" s="18" t="s">
        <v>518</v>
      </c>
      <c r="C187" s="46" t="s">
        <v>100</v>
      </c>
      <c r="D187" s="47" t="s">
        <v>439</v>
      </c>
      <c r="E187" s="48" t="s">
        <v>7</v>
      </c>
      <c r="F187" s="46" t="s">
        <v>8</v>
      </c>
      <c r="G187" s="49">
        <v>117.0</v>
      </c>
      <c r="H187" s="49">
        <v>260.0</v>
      </c>
      <c r="I187" s="57" t="s">
        <v>354</v>
      </c>
      <c r="J187" s="57" t="s">
        <v>354</v>
      </c>
      <c r="K187" s="57" t="s">
        <v>354</v>
      </c>
      <c r="L187" s="49">
        <v>0.0</v>
      </c>
      <c r="M187" s="57" t="s">
        <v>354</v>
      </c>
      <c r="N187" s="101" t="s">
        <v>17</v>
      </c>
      <c r="O187" s="24" t="s">
        <v>102</v>
      </c>
      <c r="P187" s="46"/>
      <c r="Q187" s="46"/>
      <c r="R187" s="46"/>
      <c r="S187" s="46"/>
      <c r="T187" s="46"/>
      <c r="U187" s="46"/>
      <c r="V187" s="46"/>
      <c r="W187" s="46"/>
      <c r="X187" s="46"/>
      <c r="Y187" s="46"/>
      <c r="Z187" s="46"/>
      <c r="AA187" s="46"/>
      <c r="AB187" s="57" t="s">
        <v>354</v>
      </c>
      <c r="AC187" s="46">
        <v>36300.0</v>
      </c>
      <c r="AD187" s="46"/>
      <c r="AE187" s="46"/>
      <c r="AF187" s="55">
        <v>26.53</v>
      </c>
      <c r="AG187" s="56" t="s">
        <v>365</v>
      </c>
      <c r="AH187" s="49" t="s">
        <v>366</v>
      </c>
      <c r="AI187" s="73" t="s">
        <v>357</v>
      </c>
      <c r="AJ187" s="46"/>
      <c r="AK187" s="46"/>
      <c r="AL187" s="58" t="s">
        <v>380</v>
      </c>
      <c r="AM187" s="73" t="s">
        <v>357</v>
      </c>
      <c r="AN187" s="58" t="s">
        <v>380</v>
      </c>
    </row>
    <row r="188">
      <c r="A188" s="45" t="s">
        <v>101</v>
      </c>
      <c r="B188" s="18" t="s">
        <v>518</v>
      </c>
      <c r="C188" s="46" t="s">
        <v>100</v>
      </c>
      <c r="D188" s="47" t="s">
        <v>439</v>
      </c>
      <c r="E188" s="48" t="s">
        <v>7</v>
      </c>
      <c r="F188" s="46" t="s">
        <v>8</v>
      </c>
      <c r="G188" s="49">
        <v>120.0</v>
      </c>
      <c r="H188" s="49">
        <v>230.0</v>
      </c>
      <c r="I188" s="57" t="s">
        <v>354</v>
      </c>
      <c r="J188" s="57" t="s">
        <v>354</v>
      </c>
      <c r="K188" s="57" t="s">
        <v>354</v>
      </c>
      <c r="L188" s="49">
        <v>0.0</v>
      </c>
      <c r="M188" s="57" t="s">
        <v>354</v>
      </c>
      <c r="N188" s="101" t="s">
        <v>17</v>
      </c>
      <c r="O188" s="24" t="s">
        <v>102</v>
      </c>
      <c r="P188" s="24" t="s">
        <v>103</v>
      </c>
      <c r="Q188" s="46"/>
      <c r="R188" s="46"/>
      <c r="S188" s="46"/>
      <c r="T188" s="46"/>
      <c r="U188" s="46"/>
      <c r="V188" s="46"/>
      <c r="W188" s="46"/>
      <c r="X188" s="46"/>
      <c r="Y188" s="46"/>
      <c r="Z188" s="46"/>
      <c r="AA188" s="46"/>
      <c r="AB188" s="57" t="s">
        <v>354</v>
      </c>
      <c r="AC188" s="46">
        <v>36307.0</v>
      </c>
      <c r="AD188" s="46"/>
      <c r="AE188" s="46"/>
      <c r="AF188" s="55">
        <v>32.5</v>
      </c>
      <c r="AG188" s="56" t="s">
        <v>365</v>
      </c>
      <c r="AH188" s="49" t="s">
        <v>366</v>
      </c>
      <c r="AI188" s="26" t="s">
        <v>357</v>
      </c>
      <c r="AJ188" s="46"/>
      <c r="AK188" s="46"/>
      <c r="AL188" s="58" t="s">
        <v>380</v>
      </c>
      <c r="AM188" s="73" t="s">
        <v>357</v>
      </c>
      <c r="AN188" s="53" t="s">
        <v>361</v>
      </c>
    </row>
    <row r="189">
      <c r="A189" s="45" t="s">
        <v>101</v>
      </c>
      <c r="B189" s="18" t="s">
        <v>518</v>
      </c>
      <c r="C189" s="46" t="s">
        <v>100</v>
      </c>
      <c r="D189" s="47" t="s">
        <v>439</v>
      </c>
      <c r="E189" s="48" t="s">
        <v>7</v>
      </c>
      <c r="F189" s="46" t="s">
        <v>8</v>
      </c>
      <c r="G189" s="57" t="s">
        <v>354</v>
      </c>
      <c r="H189" s="49">
        <v>225.0</v>
      </c>
      <c r="I189" s="57" t="s">
        <v>354</v>
      </c>
      <c r="J189" s="57" t="s">
        <v>354</v>
      </c>
      <c r="K189" s="57" t="s">
        <v>354</v>
      </c>
      <c r="L189" s="49">
        <v>1.0</v>
      </c>
      <c r="M189" s="57" t="s">
        <v>354</v>
      </c>
      <c r="N189" s="101" t="s">
        <v>17</v>
      </c>
      <c r="O189" s="24" t="s">
        <v>102</v>
      </c>
      <c r="P189" s="24" t="s">
        <v>103</v>
      </c>
      <c r="Q189" s="24" t="s">
        <v>101</v>
      </c>
      <c r="R189" s="46"/>
      <c r="S189" s="46"/>
      <c r="T189" s="46"/>
      <c r="U189" s="46"/>
      <c r="V189" s="46"/>
      <c r="W189" s="46"/>
      <c r="X189" s="46"/>
      <c r="Y189" s="46"/>
      <c r="Z189" s="46"/>
      <c r="AA189" s="46"/>
      <c r="AB189" s="49" t="s">
        <v>507</v>
      </c>
      <c r="AC189" s="46">
        <v>36602.0</v>
      </c>
      <c r="AD189" s="46"/>
      <c r="AE189" s="46"/>
      <c r="AF189" s="55">
        <v>33.15</v>
      </c>
      <c r="AG189" s="56" t="s">
        <v>365</v>
      </c>
      <c r="AH189" s="49" t="s">
        <v>366</v>
      </c>
      <c r="AI189" s="73" t="s">
        <v>357</v>
      </c>
      <c r="AJ189" s="46"/>
      <c r="AK189" s="46"/>
      <c r="AL189" s="59" t="s">
        <v>357</v>
      </c>
      <c r="AM189" s="38" t="s">
        <v>357</v>
      </c>
      <c r="AN189" s="75" t="s">
        <v>357</v>
      </c>
    </row>
    <row r="190">
      <c r="A190" s="45" t="s">
        <v>101</v>
      </c>
      <c r="B190" s="18" t="s">
        <v>518</v>
      </c>
      <c r="C190" s="46" t="s">
        <v>100</v>
      </c>
      <c r="D190" s="47" t="s">
        <v>439</v>
      </c>
      <c r="E190" s="48" t="s">
        <v>7</v>
      </c>
      <c r="F190" s="46" t="s">
        <v>8</v>
      </c>
      <c r="G190" s="57" t="s">
        <v>354</v>
      </c>
      <c r="H190" s="49">
        <v>220.0</v>
      </c>
      <c r="I190" s="57" t="s">
        <v>354</v>
      </c>
      <c r="J190" s="57" t="s">
        <v>354</v>
      </c>
      <c r="K190" s="57" t="s">
        <v>354</v>
      </c>
      <c r="L190" s="49">
        <v>0.0</v>
      </c>
      <c r="M190" s="57" t="s">
        <v>354</v>
      </c>
      <c r="N190" s="101" t="s">
        <v>17</v>
      </c>
      <c r="O190" s="24" t="s">
        <v>102</v>
      </c>
      <c r="P190" s="24" t="s">
        <v>103</v>
      </c>
      <c r="Q190" s="24" t="s">
        <v>101</v>
      </c>
      <c r="R190" s="24" t="s">
        <v>101</v>
      </c>
      <c r="S190" s="46"/>
      <c r="T190" s="46"/>
      <c r="U190" s="46"/>
      <c r="V190" s="46"/>
      <c r="W190" s="46"/>
      <c r="X190" s="46"/>
      <c r="Y190" s="46"/>
      <c r="Z190" s="46"/>
      <c r="AA190" s="46"/>
      <c r="AB190" s="57" t="s">
        <v>354</v>
      </c>
      <c r="AC190" s="46"/>
      <c r="AD190" s="46"/>
      <c r="AE190" s="46"/>
      <c r="AF190" s="63">
        <v>0.0</v>
      </c>
      <c r="AG190" s="49" t="s">
        <v>356</v>
      </c>
      <c r="AH190" s="46"/>
      <c r="AI190" s="49" t="s">
        <v>356</v>
      </c>
      <c r="AJ190" s="46"/>
      <c r="AK190" s="46"/>
      <c r="AL190" s="58" t="s">
        <v>380</v>
      </c>
      <c r="AM190" s="80" t="s">
        <v>356</v>
      </c>
      <c r="AN190" s="76" t="s">
        <v>356</v>
      </c>
    </row>
    <row r="191">
      <c r="A191" s="45" t="s">
        <v>101</v>
      </c>
      <c r="B191" s="18" t="s">
        <v>518</v>
      </c>
      <c r="C191" s="46" t="s">
        <v>100</v>
      </c>
      <c r="D191" s="47" t="s">
        <v>439</v>
      </c>
      <c r="E191" s="48" t="s">
        <v>7</v>
      </c>
      <c r="F191" s="46" t="s">
        <v>8</v>
      </c>
      <c r="G191" s="57" t="s">
        <v>354</v>
      </c>
      <c r="H191" s="49">
        <v>245.0</v>
      </c>
      <c r="I191" s="57" t="s">
        <v>354</v>
      </c>
      <c r="J191" s="57" t="s">
        <v>354</v>
      </c>
      <c r="K191" s="57" t="s">
        <v>354</v>
      </c>
      <c r="L191" s="49">
        <v>0.0</v>
      </c>
      <c r="M191" s="57" t="s">
        <v>354</v>
      </c>
      <c r="N191" s="101" t="s">
        <v>17</v>
      </c>
      <c r="O191" s="24" t="s">
        <v>102</v>
      </c>
      <c r="P191" s="24" t="s">
        <v>103</v>
      </c>
      <c r="Q191" s="24" t="s">
        <v>101</v>
      </c>
      <c r="R191" s="24" t="s">
        <v>101</v>
      </c>
      <c r="S191" s="24" t="s">
        <v>101</v>
      </c>
      <c r="T191" s="46"/>
      <c r="U191" s="46"/>
      <c r="V191" s="46"/>
      <c r="W191" s="46"/>
      <c r="X191" s="46"/>
      <c r="Y191" s="46"/>
      <c r="Z191" s="46"/>
      <c r="AA191" s="46"/>
      <c r="AB191" s="57" t="s">
        <v>354</v>
      </c>
      <c r="AC191" s="46"/>
      <c r="AD191" s="46"/>
      <c r="AE191" s="46"/>
      <c r="AF191" s="140">
        <v>32.3</v>
      </c>
      <c r="AG191" s="49" t="s">
        <v>354</v>
      </c>
      <c r="AH191" s="46"/>
      <c r="AI191" s="49" t="s">
        <v>354</v>
      </c>
      <c r="AJ191" s="46"/>
      <c r="AK191" s="46"/>
      <c r="AL191" s="80" t="s">
        <v>356</v>
      </c>
      <c r="AM191" s="59" t="s">
        <v>357</v>
      </c>
      <c r="AN191" s="59" t="s">
        <v>357</v>
      </c>
    </row>
    <row r="192">
      <c r="A192" s="45" t="s">
        <v>101</v>
      </c>
      <c r="B192" s="18" t="s">
        <v>518</v>
      </c>
      <c r="C192" s="46" t="s">
        <v>100</v>
      </c>
      <c r="D192" s="47" t="s">
        <v>439</v>
      </c>
      <c r="E192" s="48" t="s">
        <v>7</v>
      </c>
      <c r="F192" s="46" t="s">
        <v>8</v>
      </c>
      <c r="G192" s="57" t="s">
        <v>354</v>
      </c>
      <c r="H192" s="49">
        <v>225.0</v>
      </c>
      <c r="I192" s="57" t="s">
        <v>354</v>
      </c>
      <c r="J192" s="57" t="s">
        <v>354</v>
      </c>
      <c r="K192" s="57" t="s">
        <v>354</v>
      </c>
      <c r="L192" s="49">
        <v>0.0</v>
      </c>
      <c r="M192" s="57" t="s">
        <v>354</v>
      </c>
      <c r="N192" s="101" t="s">
        <v>17</v>
      </c>
      <c r="O192" s="24" t="s">
        <v>102</v>
      </c>
      <c r="P192" s="24" t="s">
        <v>103</v>
      </c>
      <c r="Q192" s="24" t="s">
        <v>101</v>
      </c>
      <c r="R192" s="24" t="s">
        <v>101</v>
      </c>
      <c r="S192" s="24" t="s">
        <v>101</v>
      </c>
      <c r="T192" s="24" t="s">
        <v>101</v>
      </c>
      <c r="U192" s="46"/>
      <c r="V192" s="46"/>
      <c r="W192" s="46"/>
      <c r="X192" s="46"/>
      <c r="Y192" s="46"/>
      <c r="Z192" s="46"/>
      <c r="AA192" s="46"/>
      <c r="AB192" s="57" t="s">
        <v>354</v>
      </c>
      <c r="AC192" s="46"/>
      <c r="AD192" s="46"/>
      <c r="AE192" s="46"/>
      <c r="AF192" s="63">
        <v>0.0</v>
      </c>
      <c r="AG192" s="49" t="s">
        <v>354</v>
      </c>
      <c r="AH192" s="46"/>
      <c r="AI192" s="49" t="s">
        <v>354</v>
      </c>
      <c r="AJ192" s="46"/>
      <c r="AK192" s="46"/>
      <c r="AL192" s="80" t="s">
        <v>356</v>
      </c>
      <c r="AM192" s="59" t="s">
        <v>357</v>
      </c>
      <c r="AN192" s="59" t="s">
        <v>357</v>
      </c>
    </row>
    <row r="193">
      <c r="A193" s="45" t="s">
        <v>101</v>
      </c>
      <c r="B193" s="18" t="s">
        <v>518</v>
      </c>
      <c r="C193" s="46" t="s">
        <v>100</v>
      </c>
      <c r="D193" s="47" t="s">
        <v>439</v>
      </c>
      <c r="E193" s="48" t="s">
        <v>7</v>
      </c>
      <c r="F193" s="46" t="s">
        <v>8</v>
      </c>
      <c r="G193" s="57" t="s">
        <v>354</v>
      </c>
      <c r="H193" s="49">
        <v>235.0</v>
      </c>
      <c r="I193" s="57" t="s">
        <v>354</v>
      </c>
      <c r="J193" s="57" t="s">
        <v>354</v>
      </c>
      <c r="K193" s="57" t="s">
        <v>354</v>
      </c>
      <c r="L193" s="49">
        <v>0.0</v>
      </c>
      <c r="M193" s="57" t="s">
        <v>354</v>
      </c>
      <c r="N193" s="101" t="s">
        <v>17</v>
      </c>
      <c r="O193" s="24" t="s">
        <v>102</v>
      </c>
      <c r="P193" s="24" t="s">
        <v>103</v>
      </c>
      <c r="Q193" s="24" t="s">
        <v>101</v>
      </c>
      <c r="R193" s="24" t="s">
        <v>101</v>
      </c>
      <c r="S193" s="24" t="s">
        <v>101</v>
      </c>
      <c r="T193" s="24" t="s">
        <v>101</v>
      </c>
      <c r="U193" s="24" t="s">
        <v>101</v>
      </c>
      <c r="V193" s="46"/>
      <c r="W193" s="46"/>
      <c r="X193" s="46"/>
      <c r="Y193" s="46"/>
      <c r="Z193" s="46"/>
      <c r="AA193" s="46"/>
      <c r="AB193" s="49" t="s">
        <v>519</v>
      </c>
      <c r="AC193" s="46"/>
      <c r="AD193" s="46"/>
      <c r="AE193" s="46"/>
      <c r="AF193" s="63">
        <v>0.0</v>
      </c>
      <c r="AG193" s="49" t="s">
        <v>354</v>
      </c>
      <c r="AH193" s="46"/>
      <c r="AI193" s="49" t="s">
        <v>354</v>
      </c>
      <c r="AJ193" s="46"/>
      <c r="AK193" s="46"/>
      <c r="AL193" s="40" t="s">
        <v>357</v>
      </c>
      <c r="AM193" s="40" t="s">
        <v>357</v>
      </c>
      <c r="AN193" s="40" t="s">
        <v>357</v>
      </c>
    </row>
    <row r="194">
      <c r="A194" s="45" t="s">
        <v>101</v>
      </c>
      <c r="B194" s="18" t="s">
        <v>518</v>
      </c>
      <c r="C194" s="46" t="s">
        <v>100</v>
      </c>
      <c r="D194" s="47" t="s">
        <v>439</v>
      </c>
      <c r="E194" s="48" t="s">
        <v>7</v>
      </c>
      <c r="F194" s="46" t="s">
        <v>8</v>
      </c>
      <c r="G194" s="57" t="s">
        <v>354</v>
      </c>
      <c r="H194" s="49">
        <v>225.0</v>
      </c>
      <c r="I194" s="57" t="s">
        <v>354</v>
      </c>
      <c r="J194" s="57" t="s">
        <v>354</v>
      </c>
      <c r="K194" s="57" t="s">
        <v>354</v>
      </c>
      <c r="L194" s="49">
        <v>0.0</v>
      </c>
      <c r="M194" s="57" t="s">
        <v>354</v>
      </c>
      <c r="N194" s="101" t="s">
        <v>17</v>
      </c>
      <c r="O194" s="24" t="s">
        <v>102</v>
      </c>
      <c r="P194" s="24" t="s">
        <v>103</v>
      </c>
      <c r="Q194" s="24" t="s">
        <v>101</v>
      </c>
      <c r="R194" s="24" t="s">
        <v>101</v>
      </c>
      <c r="S194" s="24" t="s">
        <v>101</v>
      </c>
      <c r="T194" s="24" t="s">
        <v>101</v>
      </c>
      <c r="U194" s="24" t="s">
        <v>101</v>
      </c>
      <c r="V194" s="24" t="s">
        <v>101</v>
      </c>
      <c r="W194" s="46"/>
      <c r="X194" s="46"/>
      <c r="Y194" s="46"/>
      <c r="Z194" s="46"/>
      <c r="AA194" s="46"/>
      <c r="AB194" s="57" t="s">
        <v>354</v>
      </c>
      <c r="AC194" s="46"/>
      <c r="AD194" s="46"/>
      <c r="AE194" s="46"/>
      <c r="AF194" s="63">
        <v>0.0</v>
      </c>
      <c r="AG194" s="49" t="s">
        <v>354</v>
      </c>
      <c r="AH194" s="46"/>
      <c r="AI194" s="49" t="s">
        <v>354</v>
      </c>
      <c r="AJ194" s="46"/>
      <c r="AK194" s="46"/>
      <c r="AL194" s="80" t="s">
        <v>356</v>
      </c>
      <c r="AM194" s="80" t="s">
        <v>356</v>
      </c>
      <c r="AN194" s="80" t="s">
        <v>356</v>
      </c>
    </row>
    <row r="195">
      <c r="A195" s="45" t="s">
        <v>101</v>
      </c>
      <c r="B195" s="18" t="s">
        <v>518</v>
      </c>
      <c r="C195" s="46" t="s">
        <v>100</v>
      </c>
      <c r="D195" s="47" t="s">
        <v>439</v>
      </c>
      <c r="E195" s="48" t="s">
        <v>7</v>
      </c>
      <c r="F195" s="46" t="s">
        <v>8</v>
      </c>
      <c r="G195" s="57" t="s">
        <v>354</v>
      </c>
      <c r="H195" s="49">
        <v>250.0</v>
      </c>
      <c r="I195" s="57" t="s">
        <v>354</v>
      </c>
      <c r="J195" s="57" t="s">
        <v>354</v>
      </c>
      <c r="K195" s="57" t="s">
        <v>354</v>
      </c>
      <c r="L195" s="49">
        <v>0.0</v>
      </c>
      <c r="M195" s="49" t="s">
        <v>354</v>
      </c>
      <c r="N195" s="101" t="s">
        <v>17</v>
      </c>
      <c r="O195" s="24" t="s">
        <v>102</v>
      </c>
      <c r="P195" s="24" t="s">
        <v>103</v>
      </c>
      <c r="Q195" s="24" t="s">
        <v>101</v>
      </c>
      <c r="R195" s="24" t="s">
        <v>101</v>
      </c>
      <c r="S195" s="24" t="s">
        <v>101</v>
      </c>
      <c r="T195" s="24" t="s">
        <v>101</v>
      </c>
      <c r="U195" s="24" t="s">
        <v>101</v>
      </c>
      <c r="V195" s="24" t="s">
        <v>101</v>
      </c>
      <c r="W195" s="18" t="s">
        <v>520</v>
      </c>
      <c r="X195" s="46"/>
      <c r="Y195" s="46"/>
      <c r="Z195" s="46"/>
      <c r="AA195" s="46"/>
      <c r="AB195" s="41" t="s">
        <v>371</v>
      </c>
      <c r="AC195" s="46"/>
      <c r="AD195" s="46"/>
      <c r="AE195" s="46"/>
      <c r="AF195" s="63">
        <v>0.0</v>
      </c>
      <c r="AG195" s="49" t="s">
        <v>354</v>
      </c>
      <c r="AH195" s="46"/>
      <c r="AI195" s="49" t="s">
        <v>354</v>
      </c>
      <c r="AJ195" s="46"/>
      <c r="AK195" s="46"/>
      <c r="AL195" s="40" t="s">
        <v>357</v>
      </c>
      <c r="AM195" s="40" t="s">
        <v>357</v>
      </c>
      <c r="AN195" s="40" t="s">
        <v>357</v>
      </c>
    </row>
    <row r="196">
      <c r="A196" s="45" t="s">
        <v>101</v>
      </c>
      <c r="B196" s="18" t="s">
        <v>518</v>
      </c>
      <c r="C196" s="46" t="s">
        <v>100</v>
      </c>
      <c r="D196" s="47" t="s">
        <v>439</v>
      </c>
      <c r="E196" s="48" t="s">
        <v>7</v>
      </c>
      <c r="F196" s="46" t="s">
        <v>8</v>
      </c>
      <c r="G196" s="57" t="s">
        <v>354</v>
      </c>
      <c r="H196" s="57" t="s">
        <v>354</v>
      </c>
      <c r="I196" s="57" t="s">
        <v>354</v>
      </c>
      <c r="J196" s="46">
        <v>13.0</v>
      </c>
      <c r="K196" s="57" t="s">
        <v>354</v>
      </c>
      <c r="L196" s="41">
        <v>0.0</v>
      </c>
      <c r="M196" s="41" t="s">
        <v>354</v>
      </c>
      <c r="N196" s="101" t="s">
        <v>17</v>
      </c>
      <c r="O196" s="24" t="s">
        <v>102</v>
      </c>
      <c r="P196" s="24" t="s">
        <v>103</v>
      </c>
      <c r="Q196" s="24" t="s">
        <v>101</v>
      </c>
      <c r="R196" s="24" t="s">
        <v>101</v>
      </c>
      <c r="S196" s="24" t="s">
        <v>101</v>
      </c>
      <c r="T196" s="24" t="s">
        <v>101</v>
      </c>
      <c r="U196" s="24" t="s">
        <v>101</v>
      </c>
      <c r="V196" s="24" t="s">
        <v>101</v>
      </c>
      <c r="W196" s="18" t="s">
        <v>520</v>
      </c>
      <c r="X196" s="24" t="s">
        <v>101</v>
      </c>
      <c r="Y196" s="49"/>
      <c r="Z196" s="49"/>
      <c r="AA196" s="46"/>
      <c r="AB196" s="41" t="s">
        <v>371</v>
      </c>
      <c r="AC196" s="46"/>
      <c r="AD196" s="46"/>
      <c r="AE196" s="46"/>
      <c r="AF196" s="63">
        <v>0.0</v>
      </c>
      <c r="AG196" s="49" t="s">
        <v>354</v>
      </c>
      <c r="AH196" s="46"/>
      <c r="AI196" s="49" t="s">
        <v>354</v>
      </c>
      <c r="AJ196" s="46"/>
      <c r="AK196" s="46"/>
      <c r="AL196" s="132" t="s">
        <v>420</v>
      </c>
      <c r="AM196" s="80" t="s">
        <v>356</v>
      </c>
      <c r="AN196" s="75" t="s">
        <v>357</v>
      </c>
    </row>
    <row r="197">
      <c r="A197" s="45" t="s">
        <v>101</v>
      </c>
      <c r="B197" s="18" t="s">
        <v>518</v>
      </c>
      <c r="C197" s="46" t="s">
        <v>100</v>
      </c>
      <c r="D197" s="47" t="s">
        <v>439</v>
      </c>
      <c r="E197" s="48" t="s">
        <v>7</v>
      </c>
      <c r="F197" s="46" t="s">
        <v>8</v>
      </c>
      <c r="G197" s="57" t="s">
        <v>354</v>
      </c>
      <c r="H197" s="57" t="s">
        <v>354</v>
      </c>
      <c r="I197" s="57" t="s">
        <v>354</v>
      </c>
      <c r="J197" s="46">
        <v>13.0</v>
      </c>
      <c r="K197" s="57" t="s">
        <v>354</v>
      </c>
      <c r="L197" s="41">
        <v>0.0</v>
      </c>
      <c r="M197" s="41" t="s">
        <v>354</v>
      </c>
      <c r="N197" s="101" t="s">
        <v>17</v>
      </c>
      <c r="O197" s="24" t="s">
        <v>102</v>
      </c>
      <c r="P197" s="24" t="s">
        <v>103</v>
      </c>
      <c r="Q197" s="24" t="s">
        <v>101</v>
      </c>
      <c r="R197" s="24" t="s">
        <v>101</v>
      </c>
      <c r="S197" s="24" t="s">
        <v>101</v>
      </c>
      <c r="T197" s="24" t="s">
        <v>101</v>
      </c>
      <c r="U197" s="24" t="s">
        <v>101</v>
      </c>
      <c r="V197" s="24" t="s">
        <v>101</v>
      </c>
      <c r="W197" s="18" t="s">
        <v>520</v>
      </c>
      <c r="X197" s="24" t="s">
        <v>101</v>
      </c>
      <c r="Y197" s="18" t="s">
        <v>101</v>
      </c>
      <c r="Z197" s="49"/>
      <c r="AA197" s="46"/>
      <c r="AB197" s="41" t="s">
        <v>371</v>
      </c>
      <c r="AC197" s="46"/>
      <c r="AD197" s="46"/>
      <c r="AE197" s="46"/>
      <c r="AF197" s="63">
        <v>0.0</v>
      </c>
      <c r="AG197" s="49" t="s">
        <v>354</v>
      </c>
      <c r="AH197" s="46"/>
      <c r="AI197" s="49" t="s">
        <v>354</v>
      </c>
      <c r="AJ197" s="46"/>
      <c r="AK197" s="46"/>
      <c r="AL197" s="80" t="s">
        <v>356</v>
      </c>
      <c r="AM197" s="59" t="s">
        <v>357</v>
      </c>
      <c r="AN197" s="75" t="s">
        <v>357</v>
      </c>
    </row>
    <row r="198">
      <c r="A198" s="45" t="s">
        <v>101</v>
      </c>
      <c r="B198" s="18" t="s">
        <v>518</v>
      </c>
      <c r="C198" s="46" t="s">
        <v>100</v>
      </c>
      <c r="D198" s="47" t="s">
        <v>439</v>
      </c>
      <c r="E198" s="48" t="s">
        <v>7</v>
      </c>
      <c r="F198" s="46" t="s">
        <v>8</v>
      </c>
      <c r="G198" s="57" t="s">
        <v>354</v>
      </c>
      <c r="H198" s="57" t="s">
        <v>354</v>
      </c>
      <c r="I198" s="57" t="s">
        <v>354</v>
      </c>
      <c r="J198" s="46">
        <v>13.0</v>
      </c>
      <c r="K198" s="57" t="s">
        <v>354</v>
      </c>
      <c r="L198" s="41">
        <v>0.0</v>
      </c>
      <c r="M198" s="41" t="s">
        <v>354</v>
      </c>
      <c r="N198" s="101" t="s">
        <v>17</v>
      </c>
      <c r="O198" s="24" t="s">
        <v>102</v>
      </c>
      <c r="P198" s="24" t="s">
        <v>103</v>
      </c>
      <c r="Q198" s="24" t="s">
        <v>101</v>
      </c>
      <c r="R198" s="24" t="s">
        <v>101</v>
      </c>
      <c r="S198" s="24" t="s">
        <v>101</v>
      </c>
      <c r="T198" s="24" t="s">
        <v>101</v>
      </c>
      <c r="U198" s="24" t="s">
        <v>101</v>
      </c>
      <c r="V198" s="24" t="s">
        <v>101</v>
      </c>
      <c r="W198" s="18" t="s">
        <v>520</v>
      </c>
      <c r="X198" s="83" t="s">
        <v>101</v>
      </c>
      <c r="Y198" s="18" t="s">
        <v>101</v>
      </c>
      <c r="Z198" s="18" t="s">
        <v>521</v>
      </c>
      <c r="AA198" s="46"/>
      <c r="AB198" s="41" t="s">
        <v>371</v>
      </c>
      <c r="AC198" s="46"/>
      <c r="AD198" s="46"/>
      <c r="AE198" s="46"/>
      <c r="AF198" s="52">
        <v>43.0771894918745</v>
      </c>
      <c r="AG198" s="49" t="s">
        <v>356</v>
      </c>
      <c r="AH198" s="46"/>
      <c r="AI198" s="26" t="s">
        <v>357</v>
      </c>
      <c r="AJ198" s="26" t="s">
        <v>357</v>
      </c>
      <c r="AK198" s="39" t="s">
        <v>357</v>
      </c>
      <c r="AL198" s="93" t="s">
        <v>356</v>
      </c>
      <c r="AM198" s="93" t="s">
        <v>356</v>
      </c>
      <c r="AN198" s="39" t="s">
        <v>357</v>
      </c>
    </row>
    <row r="199">
      <c r="A199" s="45" t="s">
        <v>101</v>
      </c>
      <c r="B199" s="18" t="s">
        <v>518</v>
      </c>
      <c r="C199" s="46" t="s">
        <v>100</v>
      </c>
      <c r="D199" s="47" t="s">
        <v>439</v>
      </c>
      <c r="E199" s="48" t="s">
        <v>7</v>
      </c>
      <c r="F199" s="46" t="s">
        <v>8</v>
      </c>
      <c r="G199" s="57" t="s">
        <v>354</v>
      </c>
      <c r="H199" s="57" t="s">
        <v>354</v>
      </c>
      <c r="I199" s="57" t="s">
        <v>354</v>
      </c>
      <c r="J199" s="46">
        <v>13.0</v>
      </c>
      <c r="K199" s="57" t="s">
        <v>354</v>
      </c>
      <c r="L199" s="41">
        <v>0.0</v>
      </c>
      <c r="M199" s="41" t="s">
        <v>354</v>
      </c>
      <c r="N199" s="101" t="s">
        <v>17</v>
      </c>
      <c r="O199" s="24" t="s">
        <v>102</v>
      </c>
      <c r="P199" s="24" t="s">
        <v>103</v>
      </c>
      <c r="Q199" s="24" t="s">
        <v>101</v>
      </c>
      <c r="R199" s="24" t="s">
        <v>101</v>
      </c>
      <c r="S199" s="24" t="s">
        <v>101</v>
      </c>
      <c r="T199" s="24" t="s">
        <v>101</v>
      </c>
      <c r="U199" s="24" t="s">
        <v>101</v>
      </c>
      <c r="V199" s="24" t="s">
        <v>101</v>
      </c>
      <c r="W199" s="18" t="s">
        <v>520</v>
      </c>
      <c r="X199" s="83" t="s">
        <v>101</v>
      </c>
      <c r="Y199" s="18" t="s">
        <v>101</v>
      </c>
      <c r="Z199" s="18" t="s">
        <v>521</v>
      </c>
      <c r="AA199" s="18">
        <v>9089.0</v>
      </c>
      <c r="AB199" s="41" t="s">
        <v>371</v>
      </c>
      <c r="AC199" s="46"/>
      <c r="AD199" s="46"/>
      <c r="AE199" s="46"/>
      <c r="AF199" s="63">
        <v>0.0</v>
      </c>
      <c r="AG199" s="49" t="s">
        <v>354</v>
      </c>
      <c r="AH199" s="46"/>
      <c r="AI199" s="49" t="s">
        <v>354</v>
      </c>
      <c r="AJ199" s="46"/>
      <c r="AK199" s="46"/>
      <c r="AL199" s="93" t="s">
        <v>356</v>
      </c>
      <c r="AM199" s="75" t="s">
        <v>357</v>
      </c>
      <c r="AN199" s="75" t="s">
        <v>357</v>
      </c>
    </row>
    <row r="200">
      <c r="A200" s="17" t="s">
        <v>105</v>
      </c>
      <c r="B200" s="18" t="s">
        <v>522</v>
      </c>
      <c r="C200" s="19" t="s">
        <v>104</v>
      </c>
      <c r="D200" s="20" t="s">
        <v>439</v>
      </c>
      <c r="E200" s="21" t="s">
        <v>7</v>
      </c>
      <c r="F200" s="19" t="s">
        <v>67</v>
      </c>
      <c r="G200" s="23">
        <v>126.0</v>
      </c>
      <c r="H200" s="23">
        <v>270.0</v>
      </c>
      <c r="I200" s="23" t="s">
        <v>523</v>
      </c>
      <c r="J200" s="19">
        <v>25.0</v>
      </c>
      <c r="K200" s="23">
        <v>0.0</v>
      </c>
      <c r="L200" s="23">
        <v>0.0</v>
      </c>
      <c r="M200" s="22" t="s">
        <v>354</v>
      </c>
      <c r="N200" s="101" t="s">
        <v>17</v>
      </c>
      <c r="O200" s="24" t="s">
        <v>106</v>
      </c>
      <c r="P200" s="19"/>
      <c r="Q200" s="19"/>
      <c r="R200" s="19"/>
      <c r="S200" s="19"/>
      <c r="T200" s="19"/>
      <c r="U200" s="19"/>
      <c r="V200" s="19"/>
      <c r="W200" s="19"/>
      <c r="X200" s="19"/>
      <c r="Y200" s="19"/>
      <c r="Z200" s="19"/>
      <c r="AA200" s="19"/>
      <c r="AB200" s="22" t="s">
        <v>354</v>
      </c>
      <c r="AC200" s="19">
        <v>36301.0</v>
      </c>
      <c r="AD200" s="19"/>
      <c r="AE200" s="19"/>
      <c r="AF200" s="66">
        <v>30.135</v>
      </c>
      <c r="AG200" s="36" t="s">
        <v>365</v>
      </c>
      <c r="AH200" s="23" t="s">
        <v>524</v>
      </c>
      <c r="AI200" s="87" t="s">
        <v>413</v>
      </c>
      <c r="AJ200" s="19"/>
      <c r="AK200" s="19"/>
      <c r="AL200" s="87" t="s">
        <v>413</v>
      </c>
      <c r="AM200" s="87" t="s">
        <v>413</v>
      </c>
      <c r="AN200" s="141" t="s">
        <v>413</v>
      </c>
    </row>
    <row r="201">
      <c r="A201" s="17" t="s">
        <v>105</v>
      </c>
      <c r="B201" s="18" t="s">
        <v>522</v>
      </c>
      <c r="C201" s="19" t="s">
        <v>104</v>
      </c>
      <c r="D201" s="20" t="s">
        <v>439</v>
      </c>
      <c r="E201" s="21" t="s">
        <v>7</v>
      </c>
      <c r="F201" s="19" t="s">
        <v>67</v>
      </c>
      <c r="G201" s="23">
        <v>126.0</v>
      </c>
      <c r="H201" s="23">
        <v>255.0</v>
      </c>
      <c r="I201" s="22" t="s">
        <v>523</v>
      </c>
      <c r="J201" s="19">
        <v>18.0</v>
      </c>
      <c r="K201" s="23">
        <v>1.0</v>
      </c>
      <c r="L201" s="23">
        <v>0.0</v>
      </c>
      <c r="M201" s="22" t="s">
        <v>354</v>
      </c>
      <c r="N201" s="101" t="s">
        <v>17</v>
      </c>
      <c r="O201" s="24" t="s">
        <v>106</v>
      </c>
      <c r="P201" s="24" t="s">
        <v>107</v>
      </c>
      <c r="Q201" s="19"/>
      <c r="R201" s="19"/>
      <c r="S201" s="19"/>
      <c r="T201" s="19"/>
      <c r="U201" s="19"/>
      <c r="V201" s="19"/>
      <c r="W201" s="19"/>
      <c r="X201" s="19"/>
      <c r="Y201" s="19"/>
      <c r="Z201" s="19"/>
      <c r="AA201" s="19"/>
      <c r="AB201" s="23" t="s">
        <v>525</v>
      </c>
      <c r="AC201" s="19">
        <v>36321.0</v>
      </c>
      <c r="AD201" s="19"/>
      <c r="AE201" s="19"/>
      <c r="AF201" s="66">
        <v>30.63</v>
      </c>
      <c r="AG201" s="36" t="s">
        <v>365</v>
      </c>
      <c r="AH201" s="23" t="s">
        <v>366</v>
      </c>
      <c r="AI201" s="26" t="s">
        <v>357</v>
      </c>
      <c r="AJ201" s="19"/>
      <c r="AK201" s="19"/>
      <c r="AL201" s="60" t="s">
        <v>357</v>
      </c>
      <c r="AM201" s="60" t="s">
        <v>357</v>
      </c>
      <c r="AN201" s="116" t="s">
        <v>361</v>
      </c>
    </row>
    <row r="202">
      <c r="A202" s="17" t="s">
        <v>105</v>
      </c>
      <c r="B202" s="18" t="s">
        <v>522</v>
      </c>
      <c r="C202" s="19" t="s">
        <v>104</v>
      </c>
      <c r="D202" s="20" t="s">
        <v>439</v>
      </c>
      <c r="E202" s="21" t="s">
        <v>7</v>
      </c>
      <c r="F202" s="19" t="s">
        <v>67</v>
      </c>
      <c r="G202" s="23">
        <v>125.0</v>
      </c>
      <c r="H202" s="23">
        <v>265.0</v>
      </c>
      <c r="I202" s="22" t="s">
        <v>523</v>
      </c>
      <c r="J202" s="19">
        <v>13.0</v>
      </c>
      <c r="K202" s="23">
        <v>1.0</v>
      </c>
      <c r="L202" s="23">
        <v>0.0</v>
      </c>
      <c r="M202" s="22" t="s">
        <v>354</v>
      </c>
      <c r="N202" s="101" t="s">
        <v>17</v>
      </c>
      <c r="O202" s="24" t="s">
        <v>106</v>
      </c>
      <c r="P202" s="24" t="s">
        <v>107</v>
      </c>
      <c r="Q202" s="24" t="s">
        <v>105</v>
      </c>
      <c r="R202" s="19"/>
      <c r="S202" s="19"/>
      <c r="T202" s="19"/>
      <c r="U202" s="19"/>
      <c r="V202" s="19"/>
      <c r="W202" s="19"/>
      <c r="X202" s="19"/>
      <c r="Y202" s="19"/>
      <c r="Z202" s="19"/>
      <c r="AA202" s="19"/>
      <c r="AB202" s="23" t="s">
        <v>526</v>
      </c>
      <c r="AC202" s="19">
        <v>36603.0</v>
      </c>
      <c r="AD202" s="19"/>
      <c r="AE202" s="19"/>
      <c r="AF202" s="33">
        <v>0.0</v>
      </c>
      <c r="AG202" s="23" t="s">
        <v>356</v>
      </c>
      <c r="AH202" s="19"/>
      <c r="AI202" s="23" t="s">
        <v>356</v>
      </c>
      <c r="AJ202" s="19"/>
      <c r="AK202" s="19"/>
      <c r="AL202" s="82" t="s">
        <v>361</v>
      </c>
      <c r="AM202" s="142" t="s">
        <v>356</v>
      </c>
      <c r="AN202" s="115" t="s">
        <v>358</v>
      </c>
    </row>
    <row r="203">
      <c r="A203" s="17" t="s">
        <v>105</v>
      </c>
      <c r="B203" s="18" t="s">
        <v>522</v>
      </c>
      <c r="C203" s="19" t="s">
        <v>104</v>
      </c>
      <c r="D203" s="20" t="s">
        <v>439</v>
      </c>
      <c r="E203" s="21" t="s">
        <v>7</v>
      </c>
      <c r="F203" s="19" t="s">
        <v>67</v>
      </c>
      <c r="G203" s="22" t="s">
        <v>354</v>
      </c>
      <c r="H203" s="23">
        <v>220.0</v>
      </c>
      <c r="I203" s="22" t="s">
        <v>523</v>
      </c>
      <c r="J203" s="19">
        <v>12.0</v>
      </c>
      <c r="K203" s="23">
        <v>0.0</v>
      </c>
      <c r="L203" s="23">
        <v>0.0</v>
      </c>
      <c r="M203" s="22" t="s">
        <v>354</v>
      </c>
      <c r="N203" s="101" t="s">
        <v>17</v>
      </c>
      <c r="O203" s="24" t="s">
        <v>106</v>
      </c>
      <c r="P203" s="24" t="s">
        <v>107</v>
      </c>
      <c r="Q203" s="24" t="s">
        <v>105</v>
      </c>
      <c r="R203" s="24" t="s">
        <v>105</v>
      </c>
      <c r="S203" s="19"/>
      <c r="T203" s="19"/>
      <c r="U203" s="19"/>
      <c r="V203" s="19"/>
      <c r="W203" s="19"/>
      <c r="X203" s="19"/>
      <c r="Y203" s="19"/>
      <c r="Z203" s="19"/>
      <c r="AA203" s="19"/>
      <c r="AB203" s="23" t="s">
        <v>527</v>
      </c>
      <c r="AC203" s="19"/>
      <c r="AD203" s="19"/>
      <c r="AE203" s="19"/>
      <c r="AF203" s="33">
        <v>0.0</v>
      </c>
      <c r="AG203" s="23" t="s">
        <v>356</v>
      </c>
      <c r="AH203" s="19"/>
      <c r="AI203" s="23" t="s">
        <v>356</v>
      </c>
      <c r="AJ203" s="19"/>
      <c r="AK203" s="19"/>
      <c r="AL203" s="82" t="s">
        <v>361</v>
      </c>
      <c r="AM203" s="142" t="s">
        <v>356</v>
      </c>
      <c r="AN203" s="23" t="s">
        <v>356</v>
      </c>
    </row>
    <row r="204">
      <c r="A204" s="17" t="s">
        <v>105</v>
      </c>
      <c r="B204" s="18" t="s">
        <v>522</v>
      </c>
      <c r="C204" s="19" t="s">
        <v>104</v>
      </c>
      <c r="D204" s="20" t="s">
        <v>439</v>
      </c>
      <c r="E204" s="21" t="s">
        <v>7</v>
      </c>
      <c r="F204" s="19" t="s">
        <v>67</v>
      </c>
      <c r="G204" s="22" t="s">
        <v>354</v>
      </c>
      <c r="H204" s="23">
        <v>235.0</v>
      </c>
      <c r="I204" s="22" t="s">
        <v>523</v>
      </c>
      <c r="J204" s="19">
        <v>13.0</v>
      </c>
      <c r="K204" s="23">
        <v>0.0</v>
      </c>
      <c r="L204" s="23">
        <v>0.0</v>
      </c>
      <c r="M204" s="22" t="s">
        <v>354</v>
      </c>
      <c r="N204" s="101" t="s">
        <v>17</v>
      </c>
      <c r="O204" s="24" t="s">
        <v>106</v>
      </c>
      <c r="P204" s="24" t="s">
        <v>107</v>
      </c>
      <c r="Q204" s="24" t="s">
        <v>105</v>
      </c>
      <c r="R204" s="24" t="s">
        <v>105</v>
      </c>
      <c r="S204" s="24" t="s">
        <v>105</v>
      </c>
      <c r="T204" s="19"/>
      <c r="U204" s="19"/>
      <c r="V204" s="19"/>
      <c r="W204" s="19"/>
      <c r="X204" s="19"/>
      <c r="Y204" s="19"/>
      <c r="Z204" s="19"/>
      <c r="AA204" s="19"/>
      <c r="AB204" s="22" t="s">
        <v>354</v>
      </c>
      <c r="AC204" s="19"/>
      <c r="AD204" s="19"/>
      <c r="AE204" s="19"/>
      <c r="AF204" s="36">
        <v>29.26</v>
      </c>
      <c r="AG204" s="33" t="s">
        <v>354</v>
      </c>
      <c r="AH204" s="23"/>
      <c r="AI204" s="33" t="s">
        <v>354</v>
      </c>
      <c r="AJ204" s="19"/>
      <c r="AK204" s="19"/>
      <c r="AL204" s="143" t="s">
        <v>358</v>
      </c>
      <c r="AM204" s="143" t="s">
        <v>358</v>
      </c>
      <c r="AN204" s="143" t="s">
        <v>358</v>
      </c>
    </row>
    <row r="205">
      <c r="A205" s="17" t="s">
        <v>105</v>
      </c>
      <c r="B205" s="18" t="s">
        <v>522</v>
      </c>
      <c r="C205" s="19" t="s">
        <v>104</v>
      </c>
      <c r="D205" s="20" t="s">
        <v>439</v>
      </c>
      <c r="E205" s="21" t="s">
        <v>7</v>
      </c>
      <c r="F205" s="19" t="s">
        <v>67</v>
      </c>
      <c r="G205" s="22" t="s">
        <v>354</v>
      </c>
      <c r="H205" s="23">
        <v>220.0</v>
      </c>
      <c r="I205" s="22" t="s">
        <v>523</v>
      </c>
      <c r="J205" s="19">
        <v>16.0</v>
      </c>
      <c r="K205" s="23">
        <v>0.0</v>
      </c>
      <c r="L205" s="23">
        <v>0.0</v>
      </c>
      <c r="M205" s="22" t="s">
        <v>354</v>
      </c>
      <c r="N205" s="101" t="s">
        <v>17</v>
      </c>
      <c r="O205" s="24" t="s">
        <v>106</v>
      </c>
      <c r="P205" s="24" t="s">
        <v>107</v>
      </c>
      <c r="Q205" s="24" t="s">
        <v>105</v>
      </c>
      <c r="R205" s="24" t="s">
        <v>105</v>
      </c>
      <c r="S205" s="24" t="s">
        <v>105</v>
      </c>
      <c r="T205" s="24" t="s">
        <v>105</v>
      </c>
      <c r="U205" s="19"/>
      <c r="V205" s="19"/>
      <c r="W205" s="19"/>
      <c r="X205" s="19"/>
      <c r="Y205" s="19"/>
      <c r="Z205" s="19"/>
      <c r="AA205" s="19"/>
      <c r="AB205" s="22" t="s">
        <v>354</v>
      </c>
      <c r="AC205" s="19"/>
      <c r="AD205" s="19"/>
      <c r="AE205" s="19"/>
      <c r="AF205" s="36">
        <v>30.08</v>
      </c>
      <c r="AG205" s="33" t="s">
        <v>354</v>
      </c>
      <c r="AH205" s="23"/>
      <c r="AI205" s="33" t="s">
        <v>354</v>
      </c>
      <c r="AJ205" s="19"/>
      <c r="AK205" s="19"/>
      <c r="AL205" s="28" t="s">
        <v>358</v>
      </c>
      <c r="AM205" s="58" t="s">
        <v>380</v>
      </c>
      <c r="AN205" s="28" t="s">
        <v>358</v>
      </c>
    </row>
    <row r="206">
      <c r="A206" s="17" t="s">
        <v>105</v>
      </c>
      <c r="B206" s="18" t="s">
        <v>522</v>
      </c>
      <c r="C206" s="19" t="s">
        <v>104</v>
      </c>
      <c r="D206" s="20" t="s">
        <v>439</v>
      </c>
      <c r="E206" s="21" t="s">
        <v>7</v>
      </c>
      <c r="F206" s="19" t="s">
        <v>67</v>
      </c>
      <c r="G206" s="22" t="s">
        <v>354</v>
      </c>
      <c r="H206" s="23">
        <v>255.0</v>
      </c>
      <c r="I206" s="22" t="s">
        <v>523</v>
      </c>
      <c r="J206" s="19">
        <v>14.0</v>
      </c>
      <c r="K206" s="23">
        <v>1.0</v>
      </c>
      <c r="L206" s="23">
        <v>0.0</v>
      </c>
      <c r="M206" s="22" t="s">
        <v>354</v>
      </c>
      <c r="N206" s="101" t="s">
        <v>17</v>
      </c>
      <c r="O206" s="24" t="s">
        <v>106</v>
      </c>
      <c r="P206" s="24" t="s">
        <v>107</v>
      </c>
      <c r="Q206" s="24" t="s">
        <v>105</v>
      </c>
      <c r="R206" s="24" t="s">
        <v>105</v>
      </c>
      <c r="S206" s="24" t="s">
        <v>105</v>
      </c>
      <c r="T206" s="24" t="s">
        <v>105</v>
      </c>
      <c r="U206" s="24" t="s">
        <v>105</v>
      </c>
      <c r="V206" s="19"/>
      <c r="W206" s="19"/>
      <c r="X206" s="19"/>
      <c r="Y206" s="19"/>
      <c r="Z206" s="19"/>
      <c r="AA206" s="19"/>
      <c r="AB206" s="22" t="s">
        <v>354</v>
      </c>
      <c r="AC206" s="19"/>
      <c r="AD206" s="19"/>
      <c r="AE206" s="19"/>
      <c r="AF206" s="36">
        <v>32.04</v>
      </c>
      <c r="AG206" s="33" t="s">
        <v>354</v>
      </c>
      <c r="AH206" s="19"/>
      <c r="AI206" s="33" t="s">
        <v>354</v>
      </c>
      <c r="AJ206" s="19"/>
      <c r="AK206" s="19"/>
      <c r="AL206" s="109" t="s">
        <v>420</v>
      </c>
      <c r="AM206" s="28" t="s">
        <v>358</v>
      </c>
      <c r="AN206" s="28" t="s">
        <v>358</v>
      </c>
    </row>
    <row r="207">
      <c r="A207" s="17" t="s">
        <v>105</v>
      </c>
      <c r="B207" s="18" t="s">
        <v>522</v>
      </c>
      <c r="C207" s="19" t="s">
        <v>104</v>
      </c>
      <c r="D207" s="20" t="s">
        <v>439</v>
      </c>
      <c r="E207" s="21" t="s">
        <v>7</v>
      </c>
      <c r="F207" s="19" t="s">
        <v>67</v>
      </c>
      <c r="G207" s="22" t="s">
        <v>354</v>
      </c>
      <c r="H207" s="23">
        <v>310.0</v>
      </c>
      <c r="I207" s="22" t="s">
        <v>523</v>
      </c>
      <c r="J207" s="19">
        <v>14.0</v>
      </c>
      <c r="K207" s="23">
        <v>1.0</v>
      </c>
      <c r="L207" s="23">
        <v>0.0</v>
      </c>
      <c r="M207" s="22" t="s">
        <v>354</v>
      </c>
      <c r="N207" s="101" t="s">
        <v>17</v>
      </c>
      <c r="O207" s="24" t="s">
        <v>106</v>
      </c>
      <c r="P207" s="24" t="s">
        <v>107</v>
      </c>
      <c r="Q207" s="24" t="s">
        <v>105</v>
      </c>
      <c r="R207" s="24" t="s">
        <v>105</v>
      </c>
      <c r="S207" s="24" t="s">
        <v>105</v>
      </c>
      <c r="T207" s="24" t="s">
        <v>105</v>
      </c>
      <c r="U207" s="24" t="s">
        <v>105</v>
      </c>
      <c r="V207" s="24" t="s">
        <v>105</v>
      </c>
      <c r="W207" s="19"/>
      <c r="X207" s="19"/>
      <c r="Y207" s="19"/>
      <c r="Z207" s="19"/>
      <c r="AA207" s="19"/>
      <c r="AB207" s="22" t="s">
        <v>354</v>
      </c>
      <c r="AC207" s="19"/>
      <c r="AD207" s="19"/>
      <c r="AE207" s="19"/>
      <c r="AF207" s="68">
        <v>34.23</v>
      </c>
      <c r="AG207" s="33" t="s">
        <v>354</v>
      </c>
      <c r="AH207" s="19"/>
      <c r="AI207" s="33" t="s">
        <v>354</v>
      </c>
      <c r="AJ207" s="19"/>
      <c r="AK207" s="19"/>
      <c r="AL207" s="142" t="s">
        <v>356</v>
      </c>
      <c r="AM207" s="28" t="s">
        <v>358</v>
      </c>
      <c r="AN207" s="28" t="s">
        <v>358</v>
      </c>
    </row>
    <row r="208">
      <c r="A208" s="17" t="s">
        <v>105</v>
      </c>
      <c r="B208" s="18" t="s">
        <v>522</v>
      </c>
      <c r="C208" s="19" t="s">
        <v>104</v>
      </c>
      <c r="D208" s="20" t="s">
        <v>439</v>
      </c>
      <c r="E208" s="21" t="s">
        <v>7</v>
      </c>
      <c r="F208" s="19" t="s">
        <v>67</v>
      </c>
      <c r="G208" s="22" t="s">
        <v>354</v>
      </c>
      <c r="H208" s="23">
        <v>245.0</v>
      </c>
      <c r="I208" s="22" t="s">
        <v>523</v>
      </c>
      <c r="J208" s="19">
        <v>14.0</v>
      </c>
      <c r="K208" s="23">
        <v>0.0</v>
      </c>
      <c r="L208" s="23">
        <v>0.0</v>
      </c>
      <c r="M208" s="22" t="s">
        <v>354</v>
      </c>
      <c r="N208" s="101" t="s">
        <v>17</v>
      </c>
      <c r="O208" s="24" t="s">
        <v>106</v>
      </c>
      <c r="P208" s="24" t="s">
        <v>107</v>
      </c>
      <c r="Q208" s="24" t="s">
        <v>105</v>
      </c>
      <c r="R208" s="24" t="s">
        <v>105</v>
      </c>
      <c r="S208" s="24" t="s">
        <v>105</v>
      </c>
      <c r="T208" s="24" t="s">
        <v>105</v>
      </c>
      <c r="U208" s="24" t="s">
        <v>105</v>
      </c>
      <c r="V208" s="24" t="s">
        <v>105</v>
      </c>
      <c r="W208" s="18" t="s">
        <v>528</v>
      </c>
      <c r="X208" s="19"/>
      <c r="Y208" s="19"/>
      <c r="Z208" s="19"/>
      <c r="AA208" s="19"/>
      <c r="AB208" s="78" t="s">
        <v>529</v>
      </c>
      <c r="AC208" s="19"/>
      <c r="AD208" s="19"/>
      <c r="AE208" s="19"/>
      <c r="AF208" s="33">
        <v>0.0</v>
      </c>
      <c r="AG208" s="19"/>
      <c r="AH208" s="19"/>
      <c r="AI208" s="19"/>
      <c r="AJ208" s="19"/>
      <c r="AK208" s="19"/>
      <c r="AL208" s="19" t="s">
        <v>356</v>
      </c>
      <c r="AM208" s="82" t="s">
        <v>361</v>
      </c>
      <c r="AN208" s="28" t="s">
        <v>358</v>
      </c>
    </row>
    <row r="209">
      <c r="A209" s="17" t="s">
        <v>105</v>
      </c>
      <c r="B209" s="18" t="s">
        <v>522</v>
      </c>
      <c r="C209" s="19" t="s">
        <v>104</v>
      </c>
      <c r="D209" s="20" t="s">
        <v>439</v>
      </c>
      <c r="E209" s="21" t="s">
        <v>7</v>
      </c>
      <c r="F209" s="19" t="s">
        <v>67</v>
      </c>
      <c r="G209" s="22" t="s">
        <v>354</v>
      </c>
      <c r="H209" s="22" t="s">
        <v>354</v>
      </c>
      <c r="I209" s="22" t="s">
        <v>523</v>
      </c>
      <c r="J209" s="19">
        <v>14.0</v>
      </c>
      <c r="K209" s="23">
        <v>1.0</v>
      </c>
      <c r="L209" s="78">
        <v>1.0</v>
      </c>
      <c r="M209" s="78" t="s">
        <v>530</v>
      </c>
      <c r="N209" s="101" t="s">
        <v>17</v>
      </c>
      <c r="O209" s="24" t="s">
        <v>106</v>
      </c>
      <c r="P209" s="24" t="s">
        <v>107</v>
      </c>
      <c r="Q209" s="24" t="s">
        <v>105</v>
      </c>
      <c r="R209" s="24" t="s">
        <v>105</v>
      </c>
      <c r="S209" s="24" t="s">
        <v>105</v>
      </c>
      <c r="T209" s="24" t="s">
        <v>105</v>
      </c>
      <c r="U209" s="24" t="s">
        <v>105</v>
      </c>
      <c r="V209" s="24" t="s">
        <v>105</v>
      </c>
      <c r="W209" s="18" t="s">
        <v>528</v>
      </c>
      <c r="X209" s="24" t="s">
        <v>105</v>
      </c>
      <c r="Y209" s="19"/>
      <c r="Z209" s="19"/>
      <c r="AA209" s="19"/>
      <c r="AB209" s="78" t="s">
        <v>529</v>
      </c>
      <c r="AC209" s="19"/>
      <c r="AD209" s="19"/>
      <c r="AE209" s="19"/>
      <c r="AF209" s="144">
        <v>37.37</v>
      </c>
      <c r="AG209" s="33" t="s">
        <v>354</v>
      </c>
      <c r="AH209" s="19"/>
      <c r="AI209" s="33" t="s">
        <v>354</v>
      </c>
      <c r="AJ209" s="19"/>
      <c r="AK209" s="19"/>
      <c r="AL209" s="115" t="s">
        <v>358</v>
      </c>
      <c r="AM209" s="19" t="s">
        <v>356</v>
      </c>
      <c r="AN209" s="115" t="s">
        <v>358</v>
      </c>
    </row>
    <row r="210">
      <c r="A210" s="17" t="s">
        <v>105</v>
      </c>
      <c r="B210" s="18" t="s">
        <v>522</v>
      </c>
      <c r="C210" s="19" t="s">
        <v>104</v>
      </c>
      <c r="D210" s="20" t="s">
        <v>439</v>
      </c>
      <c r="E210" s="21" t="s">
        <v>7</v>
      </c>
      <c r="F210" s="19" t="s">
        <v>67</v>
      </c>
      <c r="G210" s="22" t="s">
        <v>354</v>
      </c>
      <c r="H210" s="22" t="s">
        <v>354</v>
      </c>
      <c r="I210" s="22" t="s">
        <v>523</v>
      </c>
      <c r="J210" s="19">
        <v>14.0</v>
      </c>
      <c r="K210" s="23">
        <v>1.0</v>
      </c>
      <c r="L210" s="78">
        <v>1.0</v>
      </c>
      <c r="M210" s="78" t="s">
        <v>530</v>
      </c>
      <c r="N210" s="101" t="s">
        <v>17</v>
      </c>
      <c r="O210" s="24" t="s">
        <v>106</v>
      </c>
      <c r="P210" s="24" t="s">
        <v>107</v>
      </c>
      <c r="Q210" s="24" t="s">
        <v>105</v>
      </c>
      <c r="R210" s="24" t="s">
        <v>105</v>
      </c>
      <c r="S210" s="24" t="s">
        <v>105</v>
      </c>
      <c r="T210" s="24" t="s">
        <v>105</v>
      </c>
      <c r="U210" s="24" t="s">
        <v>105</v>
      </c>
      <c r="V210" s="24" t="s">
        <v>105</v>
      </c>
      <c r="W210" s="18" t="s">
        <v>528</v>
      </c>
      <c r="X210" s="24" t="s">
        <v>105</v>
      </c>
      <c r="Y210" s="24" t="s">
        <v>105</v>
      </c>
      <c r="Z210" s="19"/>
      <c r="AA210" s="19"/>
      <c r="AB210" s="78" t="s">
        <v>529</v>
      </c>
      <c r="AC210" s="19"/>
      <c r="AD210" s="19"/>
      <c r="AE210" s="19"/>
      <c r="AF210" s="66">
        <v>32.6814991397593</v>
      </c>
      <c r="AG210" s="33" t="s">
        <v>354</v>
      </c>
      <c r="AH210" s="19"/>
      <c r="AI210" s="33" t="s">
        <v>354</v>
      </c>
      <c r="AJ210" s="19"/>
      <c r="AK210" s="19"/>
      <c r="AL210" s="132" t="s">
        <v>420</v>
      </c>
      <c r="AM210" s="19" t="s">
        <v>356</v>
      </c>
      <c r="AN210" s="115" t="s">
        <v>358</v>
      </c>
    </row>
    <row r="211">
      <c r="A211" s="17" t="s">
        <v>105</v>
      </c>
      <c r="B211" s="18" t="s">
        <v>522</v>
      </c>
      <c r="C211" s="19" t="s">
        <v>104</v>
      </c>
      <c r="D211" s="20" t="s">
        <v>439</v>
      </c>
      <c r="E211" s="21" t="s">
        <v>7</v>
      </c>
      <c r="F211" s="19" t="s">
        <v>67</v>
      </c>
      <c r="G211" s="22" t="s">
        <v>354</v>
      </c>
      <c r="H211" s="22" t="s">
        <v>354</v>
      </c>
      <c r="I211" s="22" t="s">
        <v>523</v>
      </c>
      <c r="J211" s="19">
        <v>14.0</v>
      </c>
      <c r="K211" s="23">
        <v>1.0</v>
      </c>
      <c r="L211" s="78">
        <v>1.0</v>
      </c>
      <c r="M211" s="78" t="s">
        <v>530</v>
      </c>
      <c r="N211" s="101" t="s">
        <v>17</v>
      </c>
      <c r="O211" s="24" t="s">
        <v>106</v>
      </c>
      <c r="P211" s="24" t="s">
        <v>107</v>
      </c>
      <c r="Q211" s="24" t="s">
        <v>105</v>
      </c>
      <c r="R211" s="24" t="s">
        <v>105</v>
      </c>
      <c r="S211" s="24" t="s">
        <v>105</v>
      </c>
      <c r="T211" s="24" t="s">
        <v>105</v>
      </c>
      <c r="U211" s="24" t="s">
        <v>105</v>
      </c>
      <c r="V211" s="24" t="s">
        <v>105</v>
      </c>
      <c r="W211" s="18" t="s">
        <v>528</v>
      </c>
      <c r="X211" s="24" t="s">
        <v>105</v>
      </c>
      <c r="Y211" s="24" t="s">
        <v>105</v>
      </c>
      <c r="Z211" s="24" t="s">
        <v>105</v>
      </c>
      <c r="AA211" s="19"/>
      <c r="AB211" s="78" t="s">
        <v>529</v>
      </c>
      <c r="AC211" s="19"/>
      <c r="AD211" s="19"/>
      <c r="AE211" s="19"/>
      <c r="AF211" s="66">
        <v>32.8461540392762</v>
      </c>
      <c r="AG211" s="23" t="s">
        <v>356</v>
      </c>
      <c r="AH211" s="19"/>
      <c r="AI211" s="23" t="s">
        <v>356</v>
      </c>
      <c r="AJ211" s="51" t="s">
        <v>358</v>
      </c>
      <c r="AK211" s="23" t="s">
        <v>356</v>
      </c>
      <c r="AL211" s="19" t="s">
        <v>356</v>
      </c>
      <c r="AM211" s="82" t="s">
        <v>361</v>
      </c>
      <c r="AN211" s="115" t="s">
        <v>358</v>
      </c>
    </row>
    <row r="212">
      <c r="A212" s="17" t="s">
        <v>105</v>
      </c>
      <c r="B212" s="18" t="s">
        <v>522</v>
      </c>
      <c r="C212" s="19" t="s">
        <v>104</v>
      </c>
      <c r="D212" s="20" t="s">
        <v>439</v>
      </c>
      <c r="E212" s="21" t="s">
        <v>7</v>
      </c>
      <c r="F212" s="19" t="s">
        <v>67</v>
      </c>
      <c r="G212" s="22" t="s">
        <v>354</v>
      </c>
      <c r="H212" s="22" t="s">
        <v>354</v>
      </c>
      <c r="I212" s="22" t="s">
        <v>523</v>
      </c>
      <c r="J212" s="19">
        <v>14.0</v>
      </c>
      <c r="K212" s="23">
        <v>1.0</v>
      </c>
      <c r="L212" s="78">
        <v>1.0</v>
      </c>
      <c r="M212" s="78" t="s">
        <v>530</v>
      </c>
      <c r="N212" s="101" t="s">
        <v>17</v>
      </c>
      <c r="O212" s="24" t="s">
        <v>106</v>
      </c>
      <c r="P212" s="24" t="s">
        <v>107</v>
      </c>
      <c r="Q212" s="24" t="s">
        <v>105</v>
      </c>
      <c r="R212" s="24" t="s">
        <v>105</v>
      </c>
      <c r="S212" s="24" t="s">
        <v>105</v>
      </c>
      <c r="T212" s="24" t="s">
        <v>105</v>
      </c>
      <c r="U212" s="24" t="s">
        <v>105</v>
      </c>
      <c r="V212" s="24" t="s">
        <v>105</v>
      </c>
      <c r="W212" s="18" t="s">
        <v>528</v>
      </c>
      <c r="X212" s="24" t="s">
        <v>105</v>
      </c>
      <c r="Y212" s="24" t="s">
        <v>105</v>
      </c>
      <c r="Z212" s="24" t="s">
        <v>105</v>
      </c>
      <c r="AA212" s="24" t="s">
        <v>105</v>
      </c>
      <c r="AB212" s="78" t="s">
        <v>529</v>
      </c>
      <c r="AC212" s="19"/>
      <c r="AD212" s="19"/>
      <c r="AE212" s="19"/>
      <c r="AF212" s="145">
        <v>32.9530173158212</v>
      </c>
      <c r="AG212" s="33" t="s">
        <v>354</v>
      </c>
      <c r="AH212" s="19"/>
      <c r="AI212" s="33" t="s">
        <v>354</v>
      </c>
      <c r="AJ212" s="19"/>
      <c r="AK212" s="19"/>
      <c r="AL212" s="28" t="s">
        <v>358</v>
      </c>
      <c r="AM212" s="28" t="s">
        <v>358</v>
      </c>
      <c r="AN212" s="115" t="s">
        <v>358</v>
      </c>
    </row>
    <row r="213">
      <c r="A213" s="121" t="s">
        <v>531</v>
      </c>
      <c r="B213" s="146" t="s">
        <v>532</v>
      </c>
      <c r="C213" s="122" t="s">
        <v>309</v>
      </c>
      <c r="D213" s="123" t="s">
        <v>490</v>
      </c>
      <c r="E213" s="125" t="s">
        <v>491</v>
      </c>
      <c r="F213" s="122" t="s">
        <v>8</v>
      </c>
      <c r="G213" s="125">
        <v>81.0</v>
      </c>
      <c r="H213" s="125">
        <v>60.0</v>
      </c>
      <c r="I213" s="125" t="s">
        <v>523</v>
      </c>
      <c r="J213" s="122">
        <v>64.0</v>
      </c>
      <c r="K213" s="147" t="s">
        <v>354</v>
      </c>
      <c r="L213" s="147">
        <v>0.0</v>
      </c>
      <c r="M213" s="125" t="s">
        <v>354</v>
      </c>
      <c r="N213" s="101" t="s">
        <v>17</v>
      </c>
      <c r="O213" s="101" t="s">
        <v>17</v>
      </c>
      <c r="P213" s="101" t="s">
        <v>17</v>
      </c>
      <c r="Q213" s="101" t="s">
        <v>17</v>
      </c>
      <c r="R213" s="24" t="s">
        <v>310</v>
      </c>
      <c r="S213" s="122"/>
      <c r="T213" s="122"/>
      <c r="U213" s="122"/>
      <c r="V213" s="122"/>
      <c r="W213" s="122"/>
      <c r="X213" s="122"/>
      <c r="Y213" s="122"/>
      <c r="Z213" s="122"/>
      <c r="AA213" s="122"/>
      <c r="AB213" s="125" t="s">
        <v>533</v>
      </c>
      <c r="AC213" s="122"/>
      <c r="AD213" s="122"/>
      <c r="AE213" s="122"/>
      <c r="AF213" s="125">
        <v>0.0</v>
      </c>
      <c r="AG213" s="125" t="s">
        <v>356</v>
      </c>
      <c r="AH213" s="122"/>
      <c r="AI213" s="125" t="s">
        <v>356</v>
      </c>
      <c r="AJ213" s="122"/>
      <c r="AK213" s="122"/>
      <c r="AL213" s="125" t="s">
        <v>356</v>
      </c>
      <c r="AM213" s="125" t="s">
        <v>356</v>
      </c>
      <c r="AN213" s="125" t="s">
        <v>356</v>
      </c>
    </row>
    <row r="214">
      <c r="A214" s="121" t="s">
        <v>531</v>
      </c>
      <c r="B214" s="146" t="s">
        <v>532</v>
      </c>
      <c r="C214" s="122" t="s">
        <v>309</v>
      </c>
      <c r="D214" s="123" t="s">
        <v>490</v>
      </c>
      <c r="E214" s="125" t="s">
        <v>62</v>
      </c>
      <c r="F214" s="122" t="s">
        <v>8</v>
      </c>
      <c r="G214" s="147" t="s">
        <v>354</v>
      </c>
      <c r="H214" s="147" t="s">
        <v>354</v>
      </c>
      <c r="I214" s="125" t="s">
        <v>523</v>
      </c>
      <c r="J214" s="122"/>
      <c r="K214" s="147" t="s">
        <v>354</v>
      </c>
      <c r="L214" s="147">
        <v>0.0</v>
      </c>
      <c r="M214" s="125" t="s">
        <v>354</v>
      </c>
      <c r="N214" s="101" t="s">
        <v>17</v>
      </c>
      <c r="O214" s="101" t="s">
        <v>17</v>
      </c>
      <c r="P214" s="101" t="s">
        <v>17</v>
      </c>
      <c r="Q214" s="101" t="s">
        <v>17</v>
      </c>
      <c r="R214" s="24" t="s">
        <v>310</v>
      </c>
      <c r="S214" s="44" t="s">
        <v>373</v>
      </c>
      <c r="T214" s="18" t="s">
        <v>328</v>
      </c>
      <c r="U214" s="122"/>
      <c r="V214" s="125"/>
      <c r="W214" s="122"/>
      <c r="X214" s="122"/>
      <c r="Y214" s="122"/>
      <c r="Z214" s="122"/>
      <c r="AA214" s="122"/>
      <c r="AB214" s="125" t="s">
        <v>354</v>
      </c>
      <c r="AC214" s="122"/>
      <c r="AD214" s="122"/>
      <c r="AE214" s="122"/>
      <c r="AF214" s="124">
        <v>0.0</v>
      </c>
      <c r="AG214" s="124" t="s">
        <v>354</v>
      </c>
      <c r="AH214" s="148"/>
      <c r="AI214" s="124" t="s">
        <v>354</v>
      </c>
      <c r="AJ214" s="122"/>
      <c r="AK214" s="122"/>
      <c r="AL214" s="127" t="s">
        <v>356</v>
      </c>
      <c r="AM214" s="58" t="s">
        <v>380</v>
      </c>
      <c r="AN214" s="127" t="s">
        <v>356</v>
      </c>
    </row>
    <row r="215">
      <c r="A215" s="121" t="s">
        <v>531</v>
      </c>
      <c r="B215" s="146" t="s">
        <v>532</v>
      </c>
      <c r="C215" s="122" t="s">
        <v>309</v>
      </c>
      <c r="D215" s="123" t="s">
        <v>490</v>
      </c>
      <c r="E215" s="125" t="s">
        <v>62</v>
      </c>
      <c r="F215" s="122" t="s">
        <v>8</v>
      </c>
      <c r="G215" s="147" t="s">
        <v>354</v>
      </c>
      <c r="H215" s="147" t="s">
        <v>354</v>
      </c>
      <c r="I215" s="125" t="s">
        <v>523</v>
      </c>
      <c r="J215" s="122"/>
      <c r="K215" s="147" t="s">
        <v>354</v>
      </c>
      <c r="L215" s="147">
        <v>0.0</v>
      </c>
      <c r="M215" s="125" t="s">
        <v>354</v>
      </c>
      <c r="N215" s="101" t="s">
        <v>17</v>
      </c>
      <c r="O215" s="101" t="s">
        <v>17</v>
      </c>
      <c r="P215" s="101" t="s">
        <v>17</v>
      </c>
      <c r="Q215" s="101" t="s">
        <v>17</v>
      </c>
      <c r="R215" s="24" t="s">
        <v>310</v>
      </c>
      <c r="S215" s="44" t="s">
        <v>373</v>
      </c>
      <c r="T215" s="18" t="s">
        <v>328</v>
      </c>
      <c r="U215" s="18" t="s">
        <v>534</v>
      </c>
      <c r="V215" s="44" t="s">
        <v>373</v>
      </c>
      <c r="W215" s="61" t="s">
        <v>373</v>
      </c>
      <c r="X215" s="62" t="s">
        <v>381</v>
      </c>
      <c r="Y215" s="62" t="s">
        <v>381</v>
      </c>
      <c r="Z215" s="62" t="s">
        <v>381</v>
      </c>
      <c r="AA215" s="62" t="s">
        <v>381</v>
      </c>
      <c r="AB215" s="62" t="s">
        <v>535</v>
      </c>
      <c r="AC215" s="122"/>
      <c r="AD215" s="122"/>
      <c r="AE215" s="122"/>
      <c r="AF215" s="124">
        <v>0.0</v>
      </c>
      <c r="AG215" s="124" t="s">
        <v>354</v>
      </c>
      <c r="AH215" s="148"/>
      <c r="AI215" s="124" t="s">
        <v>354</v>
      </c>
      <c r="AJ215" s="122"/>
      <c r="AK215" s="122"/>
      <c r="AL215" s="127" t="s">
        <v>356</v>
      </c>
      <c r="AM215" s="127" t="s">
        <v>356</v>
      </c>
      <c r="AN215" s="127" t="s">
        <v>356</v>
      </c>
    </row>
    <row r="216">
      <c r="A216" s="45" t="s">
        <v>109</v>
      </c>
      <c r="B216" s="18" t="s">
        <v>536</v>
      </c>
      <c r="C216" s="46" t="s">
        <v>108</v>
      </c>
      <c r="D216" s="47" t="s">
        <v>439</v>
      </c>
      <c r="E216" s="63" t="s">
        <v>37</v>
      </c>
      <c r="F216" s="46" t="s">
        <v>8</v>
      </c>
      <c r="G216" s="49">
        <v>109.0</v>
      </c>
      <c r="H216" s="49">
        <v>215.0</v>
      </c>
      <c r="I216" s="57" t="s">
        <v>354</v>
      </c>
      <c r="J216" s="57" t="s">
        <v>354</v>
      </c>
      <c r="K216" s="57" t="s">
        <v>354</v>
      </c>
      <c r="L216" s="49">
        <v>1.0</v>
      </c>
      <c r="M216" s="57" t="s">
        <v>354</v>
      </c>
      <c r="N216" s="101" t="s">
        <v>17</v>
      </c>
      <c r="O216" s="24" t="s">
        <v>110</v>
      </c>
      <c r="P216" s="46"/>
      <c r="Q216" s="46"/>
      <c r="R216" s="46"/>
      <c r="S216" s="46"/>
      <c r="T216" s="46"/>
      <c r="U216" s="46"/>
      <c r="V216" s="46"/>
      <c r="W216" s="46"/>
      <c r="X216" s="46"/>
      <c r="Y216" s="46"/>
      <c r="Z216" s="46"/>
      <c r="AA216" s="46"/>
      <c r="AB216" s="57" t="s">
        <v>354</v>
      </c>
      <c r="AC216" s="46">
        <v>36302.0</v>
      </c>
      <c r="AD216" s="46"/>
      <c r="AE216" s="46"/>
      <c r="AF216" s="63">
        <v>0.0</v>
      </c>
      <c r="AG216" s="49" t="s">
        <v>356</v>
      </c>
      <c r="AH216" s="46"/>
      <c r="AI216" s="49" t="s">
        <v>356</v>
      </c>
      <c r="AJ216" s="46"/>
      <c r="AK216" s="46"/>
      <c r="AL216" s="49" t="s">
        <v>356</v>
      </c>
      <c r="AM216" s="49" t="s">
        <v>356</v>
      </c>
      <c r="AN216" s="88" t="s">
        <v>358</v>
      </c>
    </row>
    <row r="217">
      <c r="A217" s="45" t="s">
        <v>109</v>
      </c>
      <c r="B217" s="18" t="s">
        <v>536</v>
      </c>
      <c r="C217" s="46" t="s">
        <v>108</v>
      </c>
      <c r="D217" s="47" t="s">
        <v>439</v>
      </c>
      <c r="E217" s="63" t="s">
        <v>37</v>
      </c>
      <c r="F217" s="46" t="s">
        <v>8</v>
      </c>
      <c r="G217" s="49">
        <v>109.0</v>
      </c>
      <c r="H217" s="49">
        <v>185.0</v>
      </c>
      <c r="I217" s="57" t="s">
        <v>354</v>
      </c>
      <c r="J217" s="57" t="s">
        <v>354</v>
      </c>
      <c r="K217" s="57" t="s">
        <v>354</v>
      </c>
      <c r="L217" s="57">
        <v>0.0</v>
      </c>
      <c r="M217" s="57" t="s">
        <v>354</v>
      </c>
      <c r="N217" s="101" t="s">
        <v>17</v>
      </c>
      <c r="O217" s="24" t="s">
        <v>110</v>
      </c>
      <c r="P217" s="24" t="s">
        <v>111</v>
      </c>
      <c r="Q217" s="46"/>
      <c r="R217" s="46"/>
      <c r="S217" s="46"/>
      <c r="T217" s="46"/>
      <c r="U217" s="46"/>
      <c r="V217" s="46"/>
      <c r="W217" s="46"/>
      <c r="X217" s="46"/>
      <c r="Y217" s="46"/>
      <c r="Z217" s="46"/>
      <c r="AA217" s="46"/>
      <c r="AB217" s="57" t="s">
        <v>354</v>
      </c>
      <c r="AC217" s="46">
        <v>36309.0</v>
      </c>
      <c r="AD217" s="46"/>
      <c r="AE217" s="46"/>
      <c r="AF217" s="63">
        <v>0.0</v>
      </c>
      <c r="AG217" s="49" t="s">
        <v>356</v>
      </c>
      <c r="AH217" s="46"/>
      <c r="AI217" s="49" t="s">
        <v>356</v>
      </c>
      <c r="AJ217" s="46"/>
      <c r="AK217" s="46"/>
      <c r="AL217" s="88" t="s">
        <v>358</v>
      </c>
      <c r="AM217" s="149" t="s">
        <v>363</v>
      </c>
      <c r="AN217" s="35" t="s">
        <v>363</v>
      </c>
    </row>
    <row r="218">
      <c r="A218" s="45" t="s">
        <v>109</v>
      </c>
      <c r="B218" s="18" t="s">
        <v>536</v>
      </c>
      <c r="C218" s="46" t="s">
        <v>108</v>
      </c>
      <c r="D218" s="47" t="s">
        <v>439</v>
      </c>
      <c r="E218" s="63" t="s">
        <v>37</v>
      </c>
      <c r="F218" s="46" t="s">
        <v>8</v>
      </c>
      <c r="G218" s="49">
        <v>110.0</v>
      </c>
      <c r="H218" s="49">
        <v>175.0</v>
      </c>
      <c r="I218" s="57" t="s">
        <v>354</v>
      </c>
      <c r="J218" s="57" t="s">
        <v>354</v>
      </c>
      <c r="K218" s="57" t="s">
        <v>354</v>
      </c>
      <c r="L218" s="49">
        <v>1.0</v>
      </c>
      <c r="M218" s="57" t="s">
        <v>354</v>
      </c>
      <c r="N218" s="101" t="s">
        <v>17</v>
      </c>
      <c r="O218" s="24" t="s">
        <v>110</v>
      </c>
      <c r="P218" s="24" t="s">
        <v>111</v>
      </c>
      <c r="Q218" s="24" t="s">
        <v>109</v>
      </c>
      <c r="R218" s="46"/>
      <c r="S218" s="46"/>
      <c r="T218" s="46"/>
      <c r="U218" s="46"/>
      <c r="V218" s="46"/>
      <c r="W218" s="46"/>
      <c r="X218" s="46"/>
      <c r="Y218" s="46"/>
      <c r="Z218" s="46"/>
      <c r="AA218" s="46"/>
      <c r="AB218" s="57" t="s">
        <v>354</v>
      </c>
      <c r="AC218" s="46">
        <v>36604.0</v>
      </c>
      <c r="AD218" s="46"/>
      <c r="AE218" s="46"/>
      <c r="AF218" s="55">
        <v>31.7</v>
      </c>
      <c r="AG218" s="49" t="s">
        <v>356</v>
      </c>
      <c r="AH218" s="46"/>
      <c r="AI218" s="49" t="s">
        <v>356</v>
      </c>
      <c r="AJ218" s="46"/>
      <c r="AK218" s="46"/>
      <c r="AL218" s="150" t="s">
        <v>357</v>
      </c>
      <c r="AM218" s="38" t="s">
        <v>357</v>
      </c>
      <c r="AN218" s="75" t="s">
        <v>357</v>
      </c>
    </row>
    <row r="219">
      <c r="A219" s="45" t="s">
        <v>109</v>
      </c>
      <c r="B219" s="18" t="s">
        <v>536</v>
      </c>
      <c r="C219" s="46" t="s">
        <v>108</v>
      </c>
      <c r="D219" s="47" t="s">
        <v>439</v>
      </c>
      <c r="E219" s="63" t="s">
        <v>37</v>
      </c>
      <c r="F219" s="46" t="s">
        <v>8</v>
      </c>
      <c r="G219" s="49">
        <v>111.0</v>
      </c>
      <c r="H219" s="49">
        <v>170.0</v>
      </c>
      <c r="I219" s="57" t="s">
        <v>354</v>
      </c>
      <c r="J219" s="57" t="s">
        <v>354</v>
      </c>
      <c r="K219" s="57" t="s">
        <v>354</v>
      </c>
      <c r="L219" s="57">
        <v>0.0</v>
      </c>
      <c r="M219" s="57" t="s">
        <v>354</v>
      </c>
      <c r="N219" s="101" t="s">
        <v>17</v>
      </c>
      <c r="O219" s="24" t="s">
        <v>110</v>
      </c>
      <c r="P219" s="24" t="s">
        <v>111</v>
      </c>
      <c r="Q219" s="24" t="s">
        <v>109</v>
      </c>
      <c r="R219" s="24" t="s">
        <v>109</v>
      </c>
      <c r="S219" s="46"/>
      <c r="T219" s="46"/>
      <c r="U219" s="46"/>
      <c r="V219" s="46"/>
      <c r="W219" s="46"/>
      <c r="X219" s="46"/>
      <c r="Y219" s="46"/>
      <c r="Z219" s="46"/>
      <c r="AA219" s="46"/>
      <c r="AB219" s="57" t="s">
        <v>354</v>
      </c>
      <c r="AC219" s="46"/>
      <c r="AD219" s="46"/>
      <c r="AE219" s="46"/>
      <c r="AF219" s="151">
        <v>35.71</v>
      </c>
      <c r="AG219" s="56" t="s">
        <v>365</v>
      </c>
      <c r="AH219" s="49" t="s">
        <v>366</v>
      </c>
      <c r="AI219" s="102" t="s">
        <v>357</v>
      </c>
      <c r="AJ219" s="46"/>
      <c r="AK219" s="46"/>
      <c r="AL219" s="102" t="s">
        <v>357</v>
      </c>
      <c r="AM219" s="102" t="s">
        <v>357</v>
      </c>
      <c r="AN219" s="102" t="s">
        <v>357</v>
      </c>
    </row>
    <row r="220">
      <c r="A220" s="45" t="s">
        <v>109</v>
      </c>
      <c r="B220" s="18" t="s">
        <v>536</v>
      </c>
      <c r="C220" s="46" t="s">
        <v>108</v>
      </c>
      <c r="D220" s="47" t="s">
        <v>439</v>
      </c>
      <c r="E220" s="63" t="s">
        <v>37</v>
      </c>
      <c r="F220" s="46" t="s">
        <v>8</v>
      </c>
      <c r="G220" s="49">
        <v>111.0</v>
      </c>
      <c r="H220" s="49">
        <v>210.0</v>
      </c>
      <c r="I220" s="57" t="s">
        <v>354</v>
      </c>
      <c r="J220" s="57" t="s">
        <v>354</v>
      </c>
      <c r="K220" s="57" t="s">
        <v>354</v>
      </c>
      <c r="L220" s="57">
        <v>0.0</v>
      </c>
      <c r="M220" s="57" t="s">
        <v>354</v>
      </c>
      <c r="N220" s="101" t="s">
        <v>17</v>
      </c>
      <c r="O220" s="24" t="s">
        <v>110</v>
      </c>
      <c r="P220" s="24" t="s">
        <v>111</v>
      </c>
      <c r="Q220" s="24" t="s">
        <v>109</v>
      </c>
      <c r="R220" s="24" t="s">
        <v>109</v>
      </c>
      <c r="S220" s="24" t="s">
        <v>109</v>
      </c>
      <c r="T220" s="44" t="s">
        <v>373</v>
      </c>
      <c r="U220" s="46"/>
      <c r="V220" s="46"/>
      <c r="W220" s="46"/>
      <c r="X220" s="46"/>
      <c r="Y220" s="46"/>
      <c r="Z220" s="46"/>
      <c r="AA220" s="46"/>
      <c r="AB220" s="49" t="s">
        <v>442</v>
      </c>
      <c r="AC220" s="46"/>
      <c r="AD220" s="46"/>
      <c r="AE220" s="46"/>
      <c r="AF220" s="152">
        <v>43.71</v>
      </c>
      <c r="AG220" s="63" t="s">
        <v>354</v>
      </c>
      <c r="AH220" s="63"/>
      <c r="AI220" s="63" t="s">
        <v>354</v>
      </c>
      <c r="AJ220" s="46"/>
      <c r="AK220" s="46"/>
      <c r="AL220" s="90" t="s">
        <v>413</v>
      </c>
      <c r="AM220" s="90" t="s">
        <v>413</v>
      </c>
      <c r="AN220" s="90" t="s">
        <v>413</v>
      </c>
    </row>
    <row r="221">
      <c r="A221" s="45" t="s">
        <v>109</v>
      </c>
      <c r="B221" s="18" t="s">
        <v>536</v>
      </c>
      <c r="C221" s="46" t="s">
        <v>108</v>
      </c>
      <c r="D221" s="47" t="s">
        <v>439</v>
      </c>
      <c r="E221" s="63" t="s">
        <v>37</v>
      </c>
      <c r="F221" s="46" t="s">
        <v>8</v>
      </c>
      <c r="G221" s="57" t="s">
        <v>354</v>
      </c>
      <c r="H221" s="49">
        <v>230.0</v>
      </c>
      <c r="I221" s="57" t="s">
        <v>354</v>
      </c>
      <c r="J221" s="57" t="s">
        <v>354</v>
      </c>
      <c r="K221" s="57" t="s">
        <v>354</v>
      </c>
      <c r="L221" s="57">
        <v>0.0</v>
      </c>
      <c r="M221" s="57" t="s">
        <v>354</v>
      </c>
      <c r="N221" s="101" t="s">
        <v>17</v>
      </c>
      <c r="O221" s="24" t="s">
        <v>110</v>
      </c>
      <c r="P221" s="24" t="s">
        <v>111</v>
      </c>
      <c r="Q221" s="24" t="s">
        <v>109</v>
      </c>
      <c r="R221" s="24" t="s">
        <v>109</v>
      </c>
      <c r="S221" s="24" t="s">
        <v>109</v>
      </c>
      <c r="T221" s="44" t="s">
        <v>373</v>
      </c>
      <c r="U221" s="24" t="s">
        <v>109</v>
      </c>
      <c r="V221" s="44" t="s">
        <v>373</v>
      </c>
      <c r="W221" s="46"/>
      <c r="X221" s="46"/>
      <c r="Y221" s="46"/>
      <c r="Z221" s="46"/>
      <c r="AA221" s="46"/>
      <c r="AB221" s="49" t="s">
        <v>442</v>
      </c>
      <c r="AC221" s="46"/>
      <c r="AD221" s="46"/>
      <c r="AE221" s="46"/>
      <c r="AF221" s="63">
        <v>0.0</v>
      </c>
      <c r="AG221" s="63" t="s">
        <v>354</v>
      </c>
      <c r="AH221" s="63"/>
      <c r="AI221" s="63" t="s">
        <v>354</v>
      </c>
      <c r="AJ221" s="48"/>
      <c r="AK221" s="48"/>
      <c r="AL221" s="40" t="s">
        <v>357</v>
      </c>
      <c r="AM221" s="40" t="s">
        <v>357</v>
      </c>
      <c r="AN221" s="40" t="s">
        <v>357</v>
      </c>
    </row>
    <row r="222">
      <c r="A222" s="45" t="s">
        <v>109</v>
      </c>
      <c r="B222" s="18" t="s">
        <v>536</v>
      </c>
      <c r="C222" s="46" t="s">
        <v>108</v>
      </c>
      <c r="D222" s="47" t="s">
        <v>439</v>
      </c>
      <c r="E222" s="63" t="s">
        <v>7</v>
      </c>
      <c r="F222" s="46" t="s">
        <v>8</v>
      </c>
      <c r="G222" s="57" t="s">
        <v>354</v>
      </c>
      <c r="H222" s="49">
        <v>225.0</v>
      </c>
      <c r="I222" s="57" t="s">
        <v>354</v>
      </c>
      <c r="J222" s="57" t="s">
        <v>354</v>
      </c>
      <c r="K222" s="57" t="s">
        <v>354</v>
      </c>
      <c r="L222" s="57">
        <v>0.0</v>
      </c>
      <c r="M222" s="57" t="s">
        <v>354</v>
      </c>
      <c r="N222" s="101" t="s">
        <v>17</v>
      </c>
      <c r="O222" s="24" t="s">
        <v>110</v>
      </c>
      <c r="P222" s="24" t="s">
        <v>111</v>
      </c>
      <c r="Q222" s="24" t="s">
        <v>109</v>
      </c>
      <c r="R222" s="24" t="s">
        <v>109</v>
      </c>
      <c r="S222" s="24" t="s">
        <v>109</v>
      </c>
      <c r="T222" s="44" t="s">
        <v>373</v>
      </c>
      <c r="U222" s="24" t="s">
        <v>109</v>
      </c>
      <c r="V222" s="44" t="s">
        <v>373</v>
      </c>
      <c r="W222" s="18" t="s">
        <v>537</v>
      </c>
      <c r="X222" s="46"/>
      <c r="Y222" s="46"/>
      <c r="Z222" s="46"/>
      <c r="AA222" s="46"/>
      <c r="AB222" s="78" t="s">
        <v>455</v>
      </c>
      <c r="AC222" s="46"/>
      <c r="AD222" s="46"/>
      <c r="AE222" s="46"/>
      <c r="AF222" s="153">
        <v>0.0</v>
      </c>
      <c r="AG222" s="153" t="s">
        <v>354</v>
      </c>
      <c r="AH222" s="153"/>
      <c r="AI222" s="153" t="s">
        <v>354</v>
      </c>
      <c r="AJ222" s="48"/>
      <c r="AK222" s="48"/>
      <c r="AL222" s="46" t="s">
        <v>356</v>
      </c>
      <c r="AM222" s="46" t="s">
        <v>356</v>
      </c>
      <c r="AN222" s="46" t="s">
        <v>356</v>
      </c>
    </row>
    <row r="223">
      <c r="A223" s="45" t="s">
        <v>109</v>
      </c>
      <c r="B223" s="18" t="s">
        <v>536</v>
      </c>
      <c r="C223" s="46" t="s">
        <v>108</v>
      </c>
      <c r="D223" s="47" t="s">
        <v>439</v>
      </c>
      <c r="E223" s="63" t="s">
        <v>7</v>
      </c>
      <c r="F223" s="46" t="s">
        <v>8</v>
      </c>
      <c r="G223" s="57" t="s">
        <v>354</v>
      </c>
      <c r="H223" s="57" t="s">
        <v>354</v>
      </c>
      <c r="I223" s="57" t="s">
        <v>354</v>
      </c>
      <c r="J223" s="57" t="s">
        <v>354</v>
      </c>
      <c r="K223" s="57" t="s">
        <v>354</v>
      </c>
      <c r="L223" s="78">
        <v>1.0</v>
      </c>
      <c r="M223" s="78" t="s">
        <v>538</v>
      </c>
      <c r="N223" s="101" t="s">
        <v>17</v>
      </c>
      <c r="O223" s="24" t="s">
        <v>110</v>
      </c>
      <c r="P223" s="24" t="s">
        <v>111</v>
      </c>
      <c r="Q223" s="24" t="s">
        <v>109</v>
      </c>
      <c r="R223" s="24" t="s">
        <v>109</v>
      </c>
      <c r="S223" s="24" t="s">
        <v>109</v>
      </c>
      <c r="T223" s="44" t="s">
        <v>373</v>
      </c>
      <c r="U223" s="24" t="s">
        <v>109</v>
      </c>
      <c r="V223" s="44" t="s">
        <v>373</v>
      </c>
      <c r="W223" s="18" t="s">
        <v>537</v>
      </c>
      <c r="X223" s="83" t="s">
        <v>109</v>
      </c>
      <c r="Y223" s="49"/>
      <c r="Z223" s="49"/>
      <c r="AA223" s="46"/>
      <c r="AB223" s="78" t="s">
        <v>455</v>
      </c>
      <c r="AC223" s="46"/>
      <c r="AD223" s="46"/>
      <c r="AE223" s="46"/>
      <c r="AF223" s="153">
        <v>0.0</v>
      </c>
      <c r="AG223" s="153" t="s">
        <v>354</v>
      </c>
      <c r="AH223" s="153"/>
      <c r="AI223" s="153" t="s">
        <v>354</v>
      </c>
      <c r="AJ223" s="48"/>
      <c r="AK223" s="48"/>
      <c r="AL223" s="74" t="s">
        <v>361</v>
      </c>
      <c r="AM223" s="119" t="s">
        <v>413</v>
      </c>
      <c r="AN223" s="76" t="s">
        <v>356</v>
      </c>
    </row>
    <row r="224">
      <c r="A224" s="45" t="s">
        <v>109</v>
      </c>
      <c r="B224" s="18" t="s">
        <v>536</v>
      </c>
      <c r="C224" s="46" t="s">
        <v>108</v>
      </c>
      <c r="D224" s="47" t="s">
        <v>439</v>
      </c>
      <c r="E224" s="63" t="s">
        <v>7</v>
      </c>
      <c r="F224" s="46" t="s">
        <v>8</v>
      </c>
      <c r="G224" s="57" t="s">
        <v>354</v>
      </c>
      <c r="H224" s="57" t="s">
        <v>354</v>
      </c>
      <c r="I224" s="57" t="s">
        <v>354</v>
      </c>
      <c r="J224" s="57" t="s">
        <v>354</v>
      </c>
      <c r="K224" s="57" t="s">
        <v>354</v>
      </c>
      <c r="L224" s="78">
        <v>1.0</v>
      </c>
      <c r="M224" s="78" t="s">
        <v>538</v>
      </c>
      <c r="N224" s="101" t="s">
        <v>17</v>
      </c>
      <c r="O224" s="24" t="s">
        <v>110</v>
      </c>
      <c r="P224" s="24" t="s">
        <v>111</v>
      </c>
      <c r="Q224" s="24" t="s">
        <v>109</v>
      </c>
      <c r="R224" s="24" t="s">
        <v>109</v>
      </c>
      <c r="S224" s="24" t="s">
        <v>109</v>
      </c>
      <c r="T224" s="44" t="s">
        <v>373</v>
      </c>
      <c r="U224" s="24" t="s">
        <v>109</v>
      </c>
      <c r="V224" s="44" t="s">
        <v>373</v>
      </c>
      <c r="W224" s="18" t="s">
        <v>537</v>
      </c>
      <c r="X224" s="83" t="s">
        <v>109</v>
      </c>
      <c r="Y224" s="83" t="s">
        <v>109</v>
      </c>
      <c r="Z224" s="49"/>
      <c r="AA224" s="46"/>
      <c r="AB224" s="78" t="s">
        <v>455</v>
      </c>
      <c r="AC224" s="46"/>
      <c r="AD224" s="46"/>
      <c r="AE224" s="46"/>
      <c r="AF224" s="153">
        <v>0.0</v>
      </c>
      <c r="AG224" s="153" t="s">
        <v>354</v>
      </c>
      <c r="AH224" s="153"/>
      <c r="AI224" s="153" t="s">
        <v>354</v>
      </c>
      <c r="AJ224" s="49"/>
      <c r="AK224" s="49"/>
      <c r="AL224" s="46" t="s">
        <v>356</v>
      </c>
      <c r="AM224" s="59" t="s">
        <v>357</v>
      </c>
      <c r="AN224" s="75" t="s">
        <v>357</v>
      </c>
    </row>
    <row r="225">
      <c r="A225" s="45" t="s">
        <v>109</v>
      </c>
      <c r="B225" s="18" t="s">
        <v>536</v>
      </c>
      <c r="C225" s="46" t="s">
        <v>108</v>
      </c>
      <c r="D225" s="47" t="s">
        <v>439</v>
      </c>
      <c r="E225" s="63" t="s">
        <v>7</v>
      </c>
      <c r="F225" s="46" t="s">
        <v>8</v>
      </c>
      <c r="G225" s="57" t="s">
        <v>354</v>
      </c>
      <c r="H225" s="57" t="s">
        <v>354</v>
      </c>
      <c r="I225" s="57" t="s">
        <v>354</v>
      </c>
      <c r="J225" s="57" t="s">
        <v>354</v>
      </c>
      <c r="K225" s="57" t="s">
        <v>354</v>
      </c>
      <c r="L225" s="78">
        <v>1.0</v>
      </c>
      <c r="M225" s="78" t="s">
        <v>538</v>
      </c>
      <c r="N225" s="101" t="s">
        <v>17</v>
      </c>
      <c r="O225" s="24" t="s">
        <v>110</v>
      </c>
      <c r="P225" s="24" t="s">
        <v>111</v>
      </c>
      <c r="Q225" s="24" t="s">
        <v>109</v>
      </c>
      <c r="R225" s="24" t="s">
        <v>109</v>
      </c>
      <c r="S225" s="24" t="s">
        <v>109</v>
      </c>
      <c r="T225" s="44" t="s">
        <v>373</v>
      </c>
      <c r="U225" s="24" t="s">
        <v>109</v>
      </c>
      <c r="V225" s="44" t="s">
        <v>373</v>
      </c>
      <c r="W225" s="18" t="s">
        <v>537</v>
      </c>
      <c r="X225" s="83" t="s">
        <v>109</v>
      </c>
      <c r="Y225" s="83" t="s">
        <v>109</v>
      </c>
      <c r="Z225" s="18" t="s">
        <v>539</v>
      </c>
      <c r="AA225" s="46"/>
      <c r="AB225" s="78" t="s">
        <v>540</v>
      </c>
      <c r="AC225" s="46"/>
      <c r="AD225" s="46"/>
      <c r="AE225" s="46"/>
      <c r="AF225" s="153">
        <v>0.0</v>
      </c>
      <c r="AG225" s="49" t="s">
        <v>356</v>
      </c>
      <c r="AH225" s="46"/>
      <c r="AI225" s="49" t="s">
        <v>356</v>
      </c>
      <c r="AJ225" s="49" t="s">
        <v>356</v>
      </c>
      <c r="AK225" s="49" t="s">
        <v>356</v>
      </c>
      <c r="AL225" s="42" t="s">
        <v>357</v>
      </c>
      <c r="AM225" s="42" t="s">
        <v>357</v>
      </c>
      <c r="AN225" s="42" t="s">
        <v>357</v>
      </c>
    </row>
    <row r="226">
      <c r="A226" s="45" t="s">
        <v>109</v>
      </c>
      <c r="B226" s="18" t="s">
        <v>536</v>
      </c>
      <c r="C226" s="46" t="s">
        <v>108</v>
      </c>
      <c r="D226" s="47" t="s">
        <v>439</v>
      </c>
      <c r="E226" s="63" t="s">
        <v>7</v>
      </c>
      <c r="F226" s="46" t="s">
        <v>8</v>
      </c>
      <c r="G226" s="57" t="s">
        <v>354</v>
      </c>
      <c r="H226" s="57" t="s">
        <v>354</v>
      </c>
      <c r="I226" s="57" t="s">
        <v>354</v>
      </c>
      <c r="J226" s="57" t="s">
        <v>354</v>
      </c>
      <c r="K226" s="57" t="s">
        <v>354</v>
      </c>
      <c r="L226" s="78">
        <v>1.0</v>
      </c>
      <c r="M226" s="78" t="s">
        <v>538</v>
      </c>
      <c r="N226" s="101" t="s">
        <v>17</v>
      </c>
      <c r="O226" s="24" t="s">
        <v>110</v>
      </c>
      <c r="P226" s="24" t="s">
        <v>111</v>
      </c>
      <c r="Q226" s="24" t="s">
        <v>109</v>
      </c>
      <c r="R226" s="24" t="s">
        <v>109</v>
      </c>
      <c r="S226" s="24" t="s">
        <v>109</v>
      </c>
      <c r="T226" s="44" t="s">
        <v>373</v>
      </c>
      <c r="U226" s="24" t="s">
        <v>109</v>
      </c>
      <c r="V226" s="44" t="s">
        <v>373</v>
      </c>
      <c r="W226" s="18" t="s">
        <v>537</v>
      </c>
      <c r="X226" s="83" t="s">
        <v>109</v>
      </c>
      <c r="Y226" s="83" t="s">
        <v>109</v>
      </c>
      <c r="Z226" s="18" t="s">
        <v>539</v>
      </c>
      <c r="AA226" s="83" t="s">
        <v>109</v>
      </c>
      <c r="AB226" s="78" t="s">
        <v>455</v>
      </c>
      <c r="AC226" s="46"/>
      <c r="AD226" s="46"/>
      <c r="AE226" s="46"/>
      <c r="AF226" s="154">
        <v>31.5222333383243</v>
      </c>
      <c r="AG226" s="153" t="s">
        <v>354</v>
      </c>
      <c r="AH226" s="153"/>
      <c r="AI226" s="153" t="s">
        <v>354</v>
      </c>
      <c r="AJ226" s="49"/>
      <c r="AK226" s="49"/>
      <c r="AL226" s="75" t="s">
        <v>357</v>
      </c>
      <c r="AM226" s="75" t="s">
        <v>357</v>
      </c>
      <c r="AN226" s="75" t="s">
        <v>357</v>
      </c>
    </row>
    <row r="227">
      <c r="A227" s="17" t="s">
        <v>113</v>
      </c>
      <c r="B227" s="98" t="s">
        <v>541</v>
      </c>
      <c r="C227" s="19" t="s">
        <v>112</v>
      </c>
      <c r="D227" s="20" t="s">
        <v>439</v>
      </c>
      <c r="E227" s="21" t="s">
        <v>7</v>
      </c>
      <c r="F227" s="19" t="s">
        <v>8</v>
      </c>
      <c r="G227" s="23">
        <v>121.0</v>
      </c>
      <c r="H227" s="23">
        <v>225.0</v>
      </c>
      <c r="I227" s="22" t="s">
        <v>354</v>
      </c>
      <c r="J227" s="22" t="s">
        <v>354</v>
      </c>
      <c r="K227" s="22" t="s">
        <v>354</v>
      </c>
      <c r="L227" s="23">
        <v>0.0</v>
      </c>
      <c r="M227" s="22" t="s">
        <v>354</v>
      </c>
      <c r="N227" s="101" t="s">
        <v>17</v>
      </c>
      <c r="O227" s="24" t="s">
        <v>114</v>
      </c>
      <c r="P227" s="19"/>
      <c r="Q227" s="19"/>
      <c r="R227" s="19"/>
      <c r="S227" s="19"/>
      <c r="T227" s="19"/>
      <c r="U227" s="19"/>
      <c r="V227" s="19"/>
      <c r="W227" s="19"/>
      <c r="X227" s="19"/>
      <c r="Y227" s="19"/>
      <c r="Z227" s="19"/>
      <c r="AA227" s="19"/>
      <c r="AB227" s="22" t="s">
        <v>354</v>
      </c>
      <c r="AC227" s="19">
        <v>36303.0</v>
      </c>
      <c r="AD227" s="19"/>
      <c r="AE227" s="19"/>
      <c r="AF227" s="66">
        <v>29.145</v>
      </c>
      <c r="AG227" s="36" t="s">
        <v>365</v>
      </c>
      <c r="AH227" s="23" t="s">
        <v>7</v>
      </c>
      <c r="AI227" s="58" t="s">
        <v>380</v>
      </c>
      <c r="AJ227" s="19"/>
      <c r="AK227" s="19"/>
      <c r="AL227" s="88" t="s">
        <v>358</v>
      </c>
      <c r="AM227" s="35" t="s">
        <v>363</v>
      </c>
      <c r="AN227" s="88" t="s">
        <v>358</v>
      </c>
    </row>
    <row r="228">
      <c r="A228" s="17" t="s">
        <v>113</v>
      </c>
      <c r="B228" s="98" t="s">
        <v>541</v>
      </c>
      <c r="C228" s="19" t="s">
        <v>112</v>
      </c>
      <c r="D228" s="20" t="s">
        <v>439</v>
      </c>
      <c r="E228" s="21" t="s">
        <v>7</v>
      </c>
      <c r="F228" s="19" t="s">
        <v>8</v>
      </c>
      <c r="G228" s="23">
        <v>120.0</v>
      </c>
      <c r="H228" s="23">
        <v>235.0</v>
      </c>
      <c r="I228" s="22" t="s">
        <v>354</v>
      </c>
      <c r="J228" s="22" t="s">
        <v>354</v>
      </c>
      <c r="K228" s="22" t="s">
        <v>354</v>
      </c>
      <c r="L228" s="22">
        <v>0.0</v>
      </c>
      <c r="M228" s="22" t="s">
        <v>354</v>
      </c>
      <c r="N228" s="101" t="s">
        <v>17</v>
      </c>
      <c r="O228" s="24" t="s">
        <v>114</v>
      </c>
      <c r="P228" s="24" t="s">
        <v>115</v>
      </c>
      <c r="Q228" s="19"/>
      <c r="R228" s="19"/>
      <c r="S228" s="19"/>
      <c r="T228" s="19"/>
      <c r="U228" s="19"/>
      <c r="V228" s="19"/>
      <c r="W228" s="19"/>
      <c r="X228" s="19"/>
      <c r="Y228" s="19"/>
      <c r="Z228" s="19"/>
      <c r="AA228" s="19"/>
      <c r="AB228" s="23" t="s">
        <v>542</v>
      </c>
      <c r="AC228" s="19">
        <v>36311.0</v>
      </c>
      <c r="AD228" s="19"/>
      <c r="AE228" s="19"/>
      <c r="AF228" s="66">
        <v>32.38</v>
      </c>
      <c r="AG228" s="36" t="s">
        <v>365</v>
      </c>
      <c r="AH228" s="23" t="s">
        <v>543</v>
      </c>
      <c r="AI228" s="58" t="s">
        <v>380</v>
      </c>
      <c r="AJ228" s="19"/>
      <c r="AK228" s="19"/>
      <c r="AL228" s="88" t="s">
        <v>358</v>
      </c>
      <c r="AM228" s="32" t="s">
        <v>361</v>
      </c>
      <c r="AN228" s="88" t="s">
        <v>358</v>
      </c>
    </row>
    <row r="229">
      <c r="A229" s="17" t="s">
        <v>113</v>
      </c>
      <c r="B229" s="98" t="s">
        <v>541</v>
      </c>
      <c r="C229" s="19" t="s">
        <v>112</v>
      </c>
      <c r="D229" s="20" t="s">
        <v>439</v>
      </c>
      <c r="E229" s="21" t="s">
        <v>7</v>
      </c>
      <c r="F229" s="19" t="s">
        <v>8</v>
      </c>
      <c r="G229" s="23" t="s">
        <v>354</v>
      </c>
      <c r="H229" s="23">
        <v>130.0</v>
      </c>
      <c r="I229" s="22" t="s">
        <v>354</v>
      </c>
      <c r="J229" s="22" t="s">
        <v>354</v>
      </c>
      <c r="K229" s="22" t="s">
        <v>354</v>
      </c>
      <c r="L229" s="22">
        <v>0.0</v>
      </c>
      <c r="M229" s="22" t="s">
        <v>354</v>
      </c>
      <c r="N229" s="101" t="s">
        <v>17</v>
      </c>
      <c r="O229" s="24" t="s">
        <v>114</v>
      </c>
      <c r="P229" s="24" t="s">
        <v>115</v>
      </c>
      <c r="Q229" s="24" t="s">
        <v>113</v>
      </c>
      <c r="R229" s="19"/>
      <c r="S229" s="19"/>
      <c r="T229" s="19"/>
      <c r="U229" s="19"/>
      <c r="V229" s="19"/>
      <c r="W229" s="19"/>
      <c r="X229" s="19"/>
      <c r="Y229" s="19"/>
      <c r="Z229" s="19"/>
      <c r="AA229" s="19"/>
      <c r="AB229" s="23" t="s">
        <v>507</v>
      </c>
      <c r="AC229" s="19">
        <v>36605.0</v>
      </c>
      <c r="AD229" s="19"/>
      <c r="AE229" s="19"/>
      <c r="AF229" s="66">
        <v>29.34</v>
      </c>
      <c r="AG229" s="36" t="s">
        <v>365</v>
      </c>
      <c r="AH229" s="23" t="s">
        <v>543</v>
      </c>
      <c r="AI229" s="58" t="s">
        <v>380</v>
      </c>
      <c r="AJ229" s="19"/>
      <c r="AK229" s="19"/>
      <c r="AL229" s="82" t="s">
        <v>361</v>
      </c>
      <c r="AM229" s="112" t="s">
        <v>363</v>
      </c>
      <c r="AN229" s="116" t="s">
        <v>361</v>
      </c>
    </row>
    <row r="230">
      <c r="A230" s="17" t="s">
        <v>113</v>
      </c>
      <c r="B230" s="98" t="s">
        <v>541</v>
      </c>
      <c r="C230" s="19" t="s">
        <v>112</v>
      </c>
      <c r="D230" s="20" t="s">
        <v>439</v>
      </c>
      <c r="E230" s="21" t="s">
        <v>7</v>
      </c>
      <c r="F230" s="19" t="s">
        <v>8</v>
      </c>
      <c r="G230" s="22" t="s">
        <v>354</v>
      </c>
      <c r="H230" s="23">
        <v>220.0</v>
      </c>
      <c r="I230" s="22" t="s">
        <v>354</v>
      </c>
      <c r="J230" s="22" t="s">
        <v>354</v>
      </c>
      <c r="K230" s="22" t="s">
        <v>354</v>
      </c>
      <c r="L230" s="22">
        <v>0.0</v>
      </c>
      <c r="M230" s="22" t="s">
        <v>354</v>
      </c>
      <c r="N230" s="101" t="s">
        <v>17</v>
      </c>
      <c r="O230" s="24" t="s">
        <v>114</v>
      </c>
      <c r="P230" s="24" t="s">
        <v>115</v>
      </c>
      <c r="Q230" s="24" t="s">
        <v>113</v>
      </c>
      <c r="R230" s="24" t="s">
        <v>113</v>
      </c>
      <c r="S230" s="19"/>
      <c r="T230" s="19"/>
      <c r="U230" s="19"/>
      <c r="V230" s="19"/>
      <c r="W230" s="19"/>
      <c r="X230" s="19"/>
      <c r="Y230" s="19"/>
      <c r="Z230" s="19"/>
      <c r="AA230" s="19"/>
      <c r="AB230" s="22" t="s">
        <v>354</v>
      </c>
      <c r="AC230" s="19"/>
      <c r="AD230" s="19"/>
      <c r="AE230" s="19"/>
      <c r="AF230" s="33">
        <v>0.0</v>
      </c>
      <c r="AG230" s="23" t="s">
        <v>356</v>
      </c>
      <c r="AH230" s="19"/>
      <c r="AI230" s="23" t="s">
        <v>356</v>
      </c>
      <c r="AJ230" s="19"/>
      <c r="AK230" s="19"/>
      <c r="AL230" s="155" t="s">
        <v>363</v>
      </c>
      <c r="AM230" s="155" t="s">
        <v>363</v>
      </c>
      <c r="AN230" s="155" t="s">
        <v>363</v>
      </c>
    </row>
    <row r="231">
      <c r="A231" s="17" t="s">
        <v>113</v>
      </c>
      <c r="B231" s="98" t="s">
        <v>541</v>
      </c>
      <c r="C231" s="19" t="s">
        <v>112</v>
      </c>
      <c r="D231" s="20" t="s">
        <v>439</v>
      </c>
      <c r="E231" s="21" t="s">
        <v>7</v>
      </c>
      <c r="F231" s="19" t="s">
        <v>8</v>
      </c>
      <c r="G231" s="22" t="s">
        <v>354</v>
      </c>
      <c r="H231" s="23">
        <v>225.0</v>
      </c>
      <c r="I231" s="22" t="s">
        <v>354</v>
      </c>
      <c r="J231" s="22" t="s">
        <v>354</v>
      </c>
      <c r="K231" s="22" t="s">
        <v>354</v>
      </c>
      <c r="L231" s="22">
        <v>0.0</v>
      </c>
      <c r="M231" s="22" t="s">
        <v>354</v>
      </c>
      <c r="N231" s="101" t="s">
        <v>17</v>
      </c>
      <c r="O231" s="24" t="s">
        <v>114</v>
      </c>
      <c r="P231" s="24" t="s">
        <v>115</v>
      </c>
      <c r="Q231" s="24" t="s">
        <v>113</v>
      </c>
      <c r="R231" s="24" t="s">
        <v>113</v>
      </c>
      <c r="S231" s="24" t="s">
        <v>113</v>
      </c>
      <c r="T231" s="19"/>
      <c r="U231" s="19"/>
      <c r="V231" s="19"/>
      <c r="W231" s="19"/>
      <c r="X231" s="19"/>
      <c r="Y231" s="19"/>
      <c r="Z231" s="19"/>
      <c r="AA231" s="19"/>
      <c r="AB231" s="22" t="s">
        <v>354</v>
      </c>
      <c r="AC231" s="19"/>
      <c r="AD231" s="19"/>
      <c r="AE231" s="19"/>
      <c r="AF231" s="33">
        <v>0.0</v>
      </c>
      <c r="AG231" s="33" t="s">
        <v>354</v>
      </c>
      <c r="AH231" s="33"/>
      <c r="AI231" s="33" t="s">
        <v>354</v>
      </c>
      <c r="AJ231" s="19"/>
      <c r="AK231" s="19"/>
      <c r="AL231" s="156" t="s">
        <v>356</v>
      </c>
      <c r="AM231" s="156" t="s">
        <v>356</v>
      </c>
      <c r="AN231" s="156" t="s">
        <v>356</v>
      </c>
    </row>
    <row r="232">
      <c r="A232" s="17" t="s">
        <v>113</v>
      </c>
      <c r="B232" s="98" t="s">
        <v>541</v>
      </c>
      <c r="C232" s="19" t="s">
        <v>112</v>
      </c>
      <c r="D232" s="20" t="s">
        <v>439</v>
      </c>
      <c r="E232" s="21" t="s">
        <v>7</v>
      </c>
      <c r="F232" s="19" t="s">
        <v>8</v>
      </c>
      <c r="G232" s="22" t="s">
        <v>354</v>
      </c>
      <c r="H232" s="23">
        <v>200.0</v>
      </c>
      <c r="I232" s="22" t="s">
        <v>354</v>
      </c>
      <c r="J232" s="22" t="s">
        <v>354</v>
      </c>
      <c r="K232" s="22" t="s">
        <v>354</v>
      </c>
      <c r="L232" s="22">
        <v>0.0</v>
      </c>
      <c r="M232" s="22" t="s">
        <v>354</v>
      </c>
      <c r="N232" s="101" t="s">
        <v>17</v>
      </c>
      <c r="O232" s="24" t="s">
        <v>114</v>
      </c>
      <c r="P232" s="24" t="s">
        <v>115</v>
      </c>
      <c r="Q232" s="24" t="s">
        <v>113</v>
      </c>
      <c r="R232" s="24" t="s">
        <v>113</v>
      </c>
      <c r="S232" s="24" t="s">
        <v>113</v>
      </c>
      <c r="T232" s="24" t="s">
        <v>113</v>
      </c>
      <c r="U232" s="19"/>
      <c r="V232" s="19"/>
      <c r="W232" s="19"/>
      <c r="X232" s="19"/>
      <c r="Y232" s="19"/>
      <c r="Z232" s="19"/>
      <c r="AA232" s="19"/>
      <c r="AB232" s="22" t="s">
        <v>354</v>
      </c>
      <c r="AC232" s="19"/>
      <c r="AD232" s="19"/>
      <c r="AE232" s="19"/>
      <c r="AF232" s="36">
        <v>28.29</v>
      </c>
      <c r="AG232" s="33" t="s">
        <v>354</v>
      </c>
      <c r="AH232" s="33"/>
      <c r="AI232" s="33" t="s">
        <v>354</v>
      </c>
      <c r="AJ232" s="19"/>
      <c r="AK232" s="19"/>
      <c r="AL232" s="82" t="s">
        <v>361</v>
      </c>
      <c r="AM232" s="89" t="s">
        <v>356</v>
      </c>
      <c r="AN232" s="89" t="s">
        <v>356</v>
      </c>
    </row>
    <row r="233">
      <c r="A233" s="17" t="s">
        <v>113</v>
      </c>
      <c r="B233" s="98" t="s">
        <v>541</v>
      </c>
      <c r="C233" s="19" t="s">
        <v>112</v>
      </c>
      <c r="D233" s="20" t="s">
        <v>439</v>
      </c>
      <c r="E233" s="21" t="s">
        <v>7</v>
      </c>
      <c r="F233" s="19" t="s">
        <v>8</v>
      </c>
      <c r="G233" s="22" t="s">
        <v>354</v>
      </c>
      <c r="H233" s="23">
        <v>225.0</v>
      </c>
      <c r="I233" s="22" t="s">
        <v>354</v>
      </c>
      <c r="J233" s="22" t="s">
        <v>354</v>
      </c>
      <c r="K233" s="22" t="s">
        <v>354</v>
      </c>
      <c r="L233" s="22">
        <v>0.0</v>
      </c>
      <c r="M233" s="22" t="s">
        <v>354</v>
      </c>
      <c r="N233" s="101" t="s">
        <v>17</v>
      </c>
      <c r="O233" s="24" t="s">
        <v>114</v>
      </c>
      <c r="P233" s="24" t="s">
        <v>115</v>
      </c>
      <c r="Q233" s="24" t="s">
        <v>113</v>
      </c>
      <c r="R233" s="24" t="s">
        <v>113</v>
      </c>
      <c r="S233" s="24" t="s">
        <v>113</v>
      </c>
      <c r="T233" s="24" t="s">
        <v>113</v>
      </c>
      <c r="U233" s="24" t="s">
        <v>113</v>
      </c>
      <c r="V233" s="19"/>
      <c r="W233" s="19"/>
      <c r="X233" s="23"/>
      <c r="Y233" s="23"/>
      <c r="Z233" s="23"/>
      <c r="AA233" s="19"/>
      <c r="AB233" s="22" t="s">
        <v>354</v>
      </c>
      <c r="AC233" s="19"/>
      <c r="AD233" s="19"/>
      <c r="AE233" s="19"/>
      <c r="AF233" s="33">
        <v>0.0</v>
      </c>
      <c r="AG233" s="33" t="s">
        <v>354</v>
      </c>
      <c r="AH233" s="33"/>
      <c r="AI233" s="33" t="s">
        <v>354</v>
      </c>
      <c r="AJ233" s="19"/>
      <c r="AK233" s="19"/>
      <c r="AL233" s="59" t="s">
        <v>357</v>
      </c>
      <c r="AM233" s="89" t="s">
        <v>356</v>
      </c>
      <c r="AN233" s="89" t="s">
        <v>356</v>
      </c>
    </row>
    <row r="234">
      <c r="A234" s="17" t="s">
        <v>113</v>
      </c>
      <c r="B234" s="98" t="s">
        <v>541</v>
      </c>
      <c r="C234" s="19" t="s">
        <v>112</v>
      </c>
      <c r="D234" s="20" t="s">
        <v>439</v>
      </c>
      <c r="E234" s="21" t="s">
        <v>7</v>
      </c>
      <c r="F234" s="19" t="s">
        <v>8</v>
      </c>
      <c r="G234" s="22" t="s">
        <v>354</v>
      </c>
      <c r="H234" s="23">
        <v>260.0</v>
      </c>
      <c r="I234" s="22" t="s">
        <v>354</v>
      </c>
      <c r="J234" s="22" t="s">
        <v>354</v>
      </c>
      <c r="K234" s="22" t="s">
        <v>354</v>
      </c>
      <c r="L234" s="22">
        <v>0.0</v>
      </c>
      <c r="M234" s="22" t="s">
        <v>354</v>
      </c>
      <c r="N234" s="101" t="s">
        <v>17</v>
      </c>
      <c r="O234" s="24" t="s">
        <v>114</v>
      </c>
      <c r="P234" s="24" t="s">
        <v>115</v>
      </c>
      <c r="Q234" s="24" t="s">
        <v>113</v>
      </c>
      <c r="R234" s="24" t="s">
        <v>113</v>
      </c>
      <c r="S234" s="24" t="s">
        <v>113</v>
      </c>
      <c r="T234" s="24" t="s">
        <v>113</v>
      </c>
      <c r="U234" s="24" t="s">
        <v>113</v>
      </c>
      <c r="V234" s="24" t="s">
        <v>113</v>
      </c>
      <c r="W234" s="19"/>
      <c r="X234" s="23"/>
      <c r="Y234" s="23"/>
      <c r="Z234" s="23"/>
      <c r="AA234" s="19"/>
      <c r="AB234" s="22" t="s">
        <v>354</v>
      </c>
      <c r="AC234" s="19"/>
      <c r="AD234" s="19"/>
      <c r="AE234" s="19"/>
      <c r="AF234" s="33">
        <v>0.0</v>
      </c>
      <c r="AG234" s="33" t="s">
        <v>354</v>
      </c>
      <c r="AH234" s="33"/>
      <c r="AI234" s="33" t="s">
        <v>354</v>
      </c>
      <c r="AJ234" s="19"/>
      <c r="AK234" s="19"/>
      <c r="AL234" s="89" t="s">
        <v>356</v>
      </c>
      <c r="AM234" s="89" t="s">
        <v>356</v>
      </c>
      <c r="AN234" s="89" t="s">
        <v>356</v>
      </c>
    </row>
    <row r="235">
      <c r="A235" s="17" t="s">
        <v>113</v>
      </c>
      <c r="B235" s="98" t="s">
        <v>541</v>
      </c>
      <c r="C235" s="19" t="s">
        <v>112</v>
      </c>
      <c r="D235" s="20" t="s">
        <v>439</v>
      </c>
      <c r="E235" s="21" t="s">
        <v>7</v>
      </c>
      <c r="F235" s="19" t="s">
        <v>8</v>
      </c>
      <c r="G235" s="22" t="s">
        <v>354</v>
      </c>
      <c r="H235" s="23">
        <v>265.0</v>
      </c>
      <c r="I235" s="22" t="s">
        <v>354</v>
      </c>
      <c r="J235" s="22" t="s">
        <v>354</v>
      </c>
      <c r="K235" s="22" t="s">
        <v>354</v>
      </c>
      <c r="L235" s="22">
        <v>0.0</v>
      </c>
      <c r="M235" s="22" t="s">
        <v>354</v>
      </c>
      <c r="N235" s="101" t="s">
        <v>17</v>
      </c>
      <c r="O235" s="24" t="s">
        <v>114</v>
      </c>
      <c r="P235" s="24" t="s">
        <v>115</v>
      </c>
      <c r="Q235" s="24" t="s">
        <v>113</v>
      </c>
      <c r="R235" s="24" t="s">
        <v>113</v>
      </c>
      <c r="S235" s="24" t="s">
        <v>113</v>
      </c>
      <c r="T235" s="24" t="s">
        <v>113</v>
      </c>
      <c r="U235" s="24" t="s">
        <v>113</v>
      </c>
      <c r="V235" s="24" t="s">
        <v>113</v>
      </c>
      <c r="W235" s="18" t="s">
        <v>544</v>
      </c>
      <c r="X235" s="44" t="s">
        <v>373</v>
      </c>
      <c r="Y235" s="61" t="s">
        <v>373</v>
      </c>
      <c r="Z235" s="62" t="s">
        <v>381</v>
      </c>
      <c r="AA235" s="62" t="s">
        <v>381</v>
      </c>
      <c r="AB235" s="62" t="s">
        <v>545</v>
      </c>
      <c r="AC235" s="19"/>
      <c r="AD235" s="19"/>
      <c r="AE235" s="19"/>
      <c r="AF235" s="33">
        <v>0.0</v>
      </c>
      <c r="AG235" s="33" t="s">
        <v>354</v>
      </c>
      <c r="AH235" s="33"/>
      <c r="AI235" s="33" t="s">
        <v>354</v>
      </c>
      <c r="AJ235" s="19"/>
      <c r="AK235" s="19"/>
      <c r="AL235" s="89" t="s">
        <v>356</v>
      </c>
      <c r="AM235" s="89" t="s">
        <v>356</v>
      </c>
      <c r="AN235" s="89" t="s">
        <v>356</v>
      </c>
    </row>
    <row r="236">
      <c r="A236" s="45" t="s">
        <v>117</v>
      </c>
      <c r="B236" s="18" t="s">
        <v>546</v>
      </c>
      <c r="C236" s="46" t="s">
        <v>116</v>
      </c>
      <c r="D236" s="47" t="s">
        <v>547</v>
      </c>
      <c r="E236" s="48" t="s">
        <v>7</v>
      </c>
      <c r="F236" s="46" t="s">
        <v>8</v>
      </c>
      <c r="G236" s="49">
        <v>121.0</v>
      </c>
      <c r="H236" s="49">
        <v>225.0</v>
      </c>
      <c r="I236" s="57" t="s">
        <v>354</v>
      </c>
      <c r="J236" s="57" t="s">
        <v>354</v>
      </c>
      <c r="K236" s="57" t="s">
        <v>354</v>
      </c>
      <c r="L236" s="49">
        <v>0.0</v>
      </c>
      <c r="M236" s="57" t="s">
        <v>354</v>
      </c>
      <c r="N236" s="101" t="s">
        <v>17</v>
      </c>
      <c r="O236" s="101" t="s">
        <v>17</v>
      </c>
      <c r="P236" s="24" t="s">
        <v>118</v>
      </c>
      <c r="Q236" s="46"/>
      <c r="R236" s="46"/>
      <c r="S236" s="46"/>
      <c r="T236" s="46"/>
      <c r="U236" s="46"/>
      <c r="V236" s="46"/>
      <c r="W236" s="46"/>
      <c r="X236" s="46"/>
      <c r="Y236" s="46"/>
      <c r="Z236" s="46"/>
      <c r="AA236" s="46"/>
      <c r="AB236" s="49" t="s">
        <v>354</v>
      </c>
      <c r="AC236" s="46">
        <v>36324.0</v>
      </c>
      <c r="AD236" s="46"/>
      <c r="AE236" s="46"/>
      <c r="AF236" s="63">
        <v>0.0</v>
      </c>
      <c r="AG236" s="49" t="s">
        <v>356</v>
      </c>
      <c r="AH236" s="46"/>
      <c r="AI236" s="49" t="s">
        <v>356</v>
      </c>
      <c r="AJ236" s="46"/>
      <c r="AK236" s="46"/>
      <c r="AL236" s="60" t="s">
        <v>357</v>
      </c>
      <c r="AM236" s="60" t="s">
        <v>357</v>
      </c>
      <c r="AN236" s="38" t="s">
        <v>357</v>
      </c>
    </row>
    <row r="237">
      <c r="A237" s="45" t="s">
        <v>117</v>
      </c>
      <c r="B237" s="18" t="s">
        <v>546</v>
      </c>
      <c r="C237" s="46" t="s">
        <v>116</v>
      </c>
      <c r="D237" s="47" t="s">
        <v>547</v>
      </c>
      <c r="E237" s="48" t="s">
        <v>7</v>
      </c>
      <c r="F237" s="46" t="s">
        <v>8</v>
      </c>
      <c r="G237" s="49">
        <v>121.0</v>
      </c>
      <c r="H237" s="49">
        <v>230.0</v>
      </c>
      <c r="I237" s="57" t="s">
        <v>354</v>
      </c>
      <c r="J237" s="57" t="s">
        <v>354</v>
      </c>
      <c r="K237" s="57" t="s">
        <v>354</v>
      </c>
      <c r="L237" s="49">
        <v>0.0</v>
      </c>
      <c r="M237" s="57" t="s">
        <v>354</v>
      </c>
      <c r="N237" s="101" t="s">
        <v>17</v>
      </c>
      <c r="O237" s="101" t="s">
        <v>17</v>
      </c>
      <c r="P237" s="24" t="s">
        <v>118</v>
      </c>
      <c r="Q237" s="24" t="s">
        <v>117</v>
      </c>
      <c r="R237" s="46"/>
      <c r="S237" s="46"/>
      <c r="T237" s="46"/>
      <c r="U237" s="46"/>
      <c r="V237" s="46"/>
      <c r="W237" s="46"/>
      <c r="X237" s="46"/>
      <c r="Y237" s="46"/>
      <c r="Z237" s="46"/>
      <c r="AA237" s="46"/>
      <c r="AB237" s="49" t="s">
        <v>548</v>
      </c>
      <c r="AC237" s="46">
        <v>36606.0</v>
      </c>
      <c r="AD237" s="46"/>
      <c r="AE237" s="46"/>
      <c r="AF237" s="55">
        <v>30.37</v>
      </c>
      <c r="AG237" s="56" t="s">
        <v>365</v>
      </c>
      <c r="AH237" s="49" t="s">
        <v>379</v>
      </c>
      <c r="AI237" s="58" t="s">
        <v>380</v>
      </c>
      <c r="AJ237" s="46"/>
      <c r="AK237" s="46"/>
      <c r="AL237" s="59" t="s">
        <v>357</v>
      </c>
      <c r="AM237" s="38" t="s">
        <v>357</v>
      </c>
      <c r="AN237" s="59" t="s">
        <v>357</v>
      </c>
    </row>
    <row r="238">
      <c r="A238" s="45" t="s">
        <v>117</v>
      </c>
      <c r="B238" s="18" t="s">
        <v>546</v>
      </c>
      <c r="C238" s="46" t="s">
        <v>116</v>
      </c>
      <c r="D238" s="47" t="s">
        <v>547</v>
      </c>
      <c r="E238" s="48" t="s">
        <v>7</v>
      </c>
      <c r="F238" s="46" t="s">
        <v>8</v>
      </c>
      <c r="G238" s="57" t="s">
        <v>354</v>
      </c>
      <c r="H238" s="49">
        <v>220.0</v>
      </c>
      <c r="I238" s="57" t="s">
        <v>354</v>
      </c>
      <c r="J238" s="57" t="s">
        <v>354</v>
      </c>
      <c r="K238" s="57" t="s">
        <v>354</v>
      </c>
      <c r="L238" s="49">
        <v>0.0</v>
      </c>
      <c r="M238" s="57" t="s">
        <v>354</v>
      </c>
      <c r="N238" s="101" t="s">
        <v>17</v>
      </c>
      <c r="O238" s="101" t="s">
        <v>17</v>
      </c>
      <c r="P238" s="24" t="s">
        <v>118</v>
      </c>
      <c r="Q238" s="24" t="s">
        <v>117</v>
      </c>
      <c r="R238" s="44" t="s">
        <v>373</v>
      </c>
      <c r="S238" s="61" t="s">
        <v>373</v>
      </c>
      <c r="T238" s="24" t="s">
        <v>117</v>
      </c>
      <c r="U238" s="46"/>
      <c r="V238" s="46"/>
      <c r="W238" s="46"/>
      <c r="X238" s="46"/>
      <c r="Y238" s="46"/>
      <c r="Z238" s="46"/>
      <c r="AA238" s="46"/>
      <c r="AB238" s="57" t="s">
        <v>354</v>
      </c>
      <c r="AC238" s="46"/>
      <c r="AD238" s="46"/>
      <c r="AE238" s="46"/>
      <c r="AF238" s="49">
        <v>0.0</v>
      </c>
      <c r="AG238" s="49" t="s">
        <v>356</v>
      </c>
      <c r="AH238" s="46"/>
      <c r="AI238" s="49" t="s">
        <v>356</v>
      </c>
      <c r="AJ238" s="46"/>
      <c r="AK238" s="46"/>
      <c r="AL238" s="59" t="s">
        <v>357</v>
      </c>
      <c r="AM238" s="80" t="s">
        <v>356</v>
      </c>
      <c r="AN238" s="80" t="s">
        <v>356</v>
      </c>
    </row>
    <row r="239">
      <c r="A239" s="45" t="s">
        <v>117</v>
      </c>
      <c r="B239" s="18" t="s">
        <v>546</v>
      </c>
      <c r="C239" s="46" t="s">
        <v>116</v>
      </c>
      <c r="D239" s="47" t="s">
        <v>547</v>
      </c>
      <c r="E239" s="48" t="s">
        <v>7</v>
      </c>
      <c r="F239" s="46" t="s">
        <v>8</v>
      </c>
      <c r="G239" s="57" t="s">
        <v>354</v>
      </c>
      <c r="H239" s="49">
        <v>220.0</v>
      </c>
      <c r="I239" s="57" t="s">
        <v>354</v>
      </c>
      <c r="J239" s="57" t="s">
        <v>354</v>
      </c>
      <c r="K239" s="57" t="s">
        <v>354</v>
      </c>
      <c r="L239" s="57">
        <v>0.0</v>
      </c>
      <c r="M239" s="57" t="s">
        <v>354</v>
      </c>
      <c r="N239" s="101" t="s">
        <v>17</v>
      </c>
      <c r="O239" s="101" t="s">
        <v>17</v>
      </c>
      <c r="P239" s="24" t="s">
        <v>118</v>
      </c>
      <c r="Q239" s="24" t="s">
        <v>117</v>
      </c>
      <c r="R239" s="44" t="s">
        <v>373</v>
      </c>
      <c r="S239" s="61" t="s">
        <v>373</v>
      </c>
      <c r="T239" s="24" t="s">
        <v>117</v>
      </c>
      <c r="U239" s="24" t="s">
        <v>117</v>
      </c>
      <c r="V239" s="44" t="s">
        <v>373</v>
      </c>
      <c r="W239" s="61" t="s">
        <v>373</v>
      </c>
      <c r="X239" s="46"/>
      <c r="Y239" s="46"/>
      <c r="Z239" s="46"/>
      <c r="AA239" s="46"/>
      <c r="AB239" s="57" t="s">
        <v>354</v>
      </c>
      <c r="AC239" s="46"/>
      <c r="AD239" s="46"/>
      <c r="AE239" s="46"/>
      <c r="AF239" s="49">
        <v>0.0</v>
      </c>
      <c r="AG239" s="49" t="s">
        <v>354</v>
      </c>
      <c r="AH239" s="46"/>
      <c r="AI239" s="49" t="s">
        <v>354</v>
      </c>
      <c r="AJ239" s="46"/>
      <c r="AK239" s="46"/>
      <c r="AL239" s="157" t="s">
        <v>356</v>
      </c>
      <c r="AM239" s="157" t="s">
        <v>356</v>
      </c>
      <c r="AN239" s="157" t="s">
        <v>356</v>
      </c>
    </row>
    <row r="240">
      <c r="A240" s="45" t="s">
        <v>117</v>
      </c>
      <c r="B240" s="18" t="s">
        <v>546</v>
      </c>
      <c r="C240" s="46" t="s">
        <v>116</v>
      </c>
      <c r="D240" s="47" t="s">
        <v>547</v>
      </c>
      <c r="E240" s="48" t="s">
        <v>7</v>
      </c>
      <c r="F240" s="46" t="s">
        <v>8</v>
      </c>
      <c r="G240" s="57" t="s">
        <v>354</v>
      </c>
      <c r="H240" s="57" t="s">
        <v>354</v>
      </c>
      <c r="I240" s="57" t="s">
        <v>354</v>
      </c>
      <c r="J240" s="57" t="s">
        <v>354</v>
      </c>
      <c r="K240" s="57" t="s">
        <v>354</v>
      </c>
      <c r="L240" s="78">
        <v>1.0</v>
      </c>
      <c r="M240" s="78" t="s">
        <v>549</v>
      </c>
      <c r="N240" s="101" t="s">
        <v>17</v>
      </c>
      <c r="O240" s="101" t="s">
        <v>17</v>
      </c>
      <c r="P240" s="24" t="s">
        <v>118</v>
      </c>
      <c r="Q240" s="24" t="s">
        <v>117</v>
      </c>
      <c r="R240" s="44" t="s">
        <v>373</v>
      </c>
      <c r="S240" s="61" t="s">
        <v>373</v>
      </c>
      <c r="T240" s="24" t="s">
        <v>117</v>
      </c>
      <c r="U240" s="24" t="s">
        <v>117</v>
      </c>
      <c r="V240" s="44" t="s">
        <v>373</v>
      </c>
      <c r="W240" s="61" t="s">
        <v>373</v>
      </c>
      <c r="X240" s="18" t="s">
        <v>117</v>
      </c>
      <c r="Y240" s="49"/>
      <c r="Z240" s="49"/>
      <c r="AA240" s="46"/>
      <c r="AB240" s="158" t="s">
        <v>398</v>
      </c>
      <c r="AC240" s="46"/>
      <c r="AD240" s="46"/>
      <c r="AE240" s="46"/>
      <c r="AF240" s="49">
        <v>0.0</v>
      </c>
      <c r="AG240" s="49" t="s">
        <v>354</v>
      </c>
      <c r="AH240" s="46"/>
      <c r="AI240" s="49" t="s">
        <v>354</v>
      </c>
      <c r="AJ240" s="46"/>
      <c r="AK240" s="46"/>
      <c r="AL240" s="157" t="s">
        <v>356</v>
      </c>
      <c r="AM240" s="157" t="s">
        <v>356</v>
      </c>
      <c r="AN240" s="157" t="s">
        <v>356</v>
      </c>
    </row>
    <row r="241">
      <c r="A241" s="45" t="s">
        <v>117</v>
      </c>
      <c r="B241" s="18" t="s">
        <v>546</v>
      </c>
      <c r="C241" s="46" t="s">
        <v>116</v>
      </c>
      <c r="D241" s="47" t="s">
        <v>547</v>
      </c>
      <c r="E241" s="48" t="s">
        <v>7</v>
      </c>
      <c r="F241" s="46" t="s">
        <v>8</v>
      </c>
      <c r="G241" s="57" t="s">
        <v>354</v>
      </c>
      <c r="H241" s="57" t="s">
        <v>354</v>
      </c>
      <c r="I241" s="57" t="s">
        <v>354</v>
      </c>
      <c r="J241" s="57" t="s">
        <v>354</v>
      </c>
      <c r="K241" s="57" t="s">
        <v>354</v>
      </c>
      <c r="L241" s="78">
        <v>1.0</v>
      </c>
      <c r="M241" s="78" t="s">
        <v>549</v>
      </c>
      <c r="N241" s="101" t="s">
        <v>17</v>
      </c>
      <c r="O241" s="101" t="s">
        <v>17</v>
      </c>
      <c r="P241" s="24" t="s">
        <v>118</v>
      </c>
      <c r="Q241" s="24" t="s">
        <v>117</v>
      </c>
      <c r="R241" s="44" t="s">
        <v>373</v>
      </c>
      <c r="S241" s="61" t="s">
        <v>373</v>
      </c>
      <c r="T241" s="24" t="s">
        <v>117</v>
      </c>
      <c r="U241" s="24" t="s">
        <v>117</v>
      </c>
      <c r="V241" s="44" t="s">
        <v>373</v>
      </c>
      <c r="W241" s="61" t="s">
        <v>373</v>
      </c>
      <c r="X241" s="18" t="s">
        <v>117</v>
      </c>
      <c r="Y241" s="18" t="s">
        <v>117</v>
      </c>
      <c r="Z241" s="49"/>
      <c r="AA241" s="46"/>
      <c r="AB241" s="158" t="s">
        <v>398</v>
      </c>
      <c r="AC241" s="46"/>
      <c r="AD241" s="46"/>
      <c r="AE241" s="46"/>
      <c r="AF241" s="49">
        <v>0.0</v>
      </c>
      <c r="AG241" s="49" t="s">
        <v>354</v>
      </c>
      <c r="AH241" s="46"/>
      <c r="AI241" s="49" t="s">
        <v>354</v>
      </c>
      <c r="AJ241" s="46"/>
      <c r="AK241" s="46"/>
      <c r="AL241" s="157" t="s">
        <v>356</v>
      </c>
      <c r="AM241" s="157" t="s">
        <v>356</v>
      </c>
      <c r="AN241" s="157" t="s">
        <v>356</v>
      </c>
    </row>
    <row r="242">
      <c r="A242" s="45" t="s">
        <v>117</v>
      </c>
      <c r="B242" s="18" t="s">
        <v>546</v>
      </c>
      <c r="C242" s="46" t="s">
        <v>116</v>
      </c>
      <c r="D242" s="47" t="s">
        <v>547</v>
      </c>
      <c r="E242" s="48" t="s">
        <v>7</v>
      </c>
      <c r="F242" s="46" t="s">
        <v>8</v>
      </c>
      <c r="G242" s="57" t="s">
        <v>354</v>
      </c>
      <c r="H242" s="57" t="s">
        <v>354</v>
      </c>
      <c r="I242" s="57" t="s">
        <v>354</v>
      </c>
      <c r="J242" s="57" t="s">
        <v>354</v>
      </c>
      <c r="K242" s="57" t="s">
        <v>354</v>
      </c>
      <c r="L242" s="78">
        <v>1.0</v>
      </c>
      <c r="M242" s="78" t="s">
        <v>549</v>
      </c>
      <c r="N242" s="101" t="s">
        <v>17</v>
      </c>
      <c r="O242" s="101" t="s">
        <v>17</v>
      </c>
      <c r="P242" s="24" t="s">
        <v>118</v>
      </c>
      <c r="Q242" s="24" t="s">
        <v>117</v>
      </c>
      <c r="R242" s="44" t="s">
        <v>373</v>
      </c>
      <c r="S242" s="61" t="s">
        <v>373</v>
      </c>
      <c r="T242" s="24" t="s">
        <v>117</v>
      </c>
      <c r="U242" s="24" t="s">
        <v>117</v>
      </c>
      <c r="V242" s="44" t="s">
        <v>373</v>
      </c>
      <c r="W242" s="61" t="s">
        <v>373</v>
      </c>
      <c r="X242" s="18" t="s">
        <v>117</v>
      </c>
      <c r="Y242" s="18" t="s">
        <v>117</v>
      </c>
      <c r="Z242" s="18" t="s">
        <v>550</v>
      </c>
      <c r="AA242" s="46"/>
      <c r="AB242" s="158" t="s">
        <v>551</v>
      </c>
      <c r="AC242" s="46"/>
      <c r="AD242" s="46"/>
      <c r="AE242" s="46"/>
      <c r="AF242" s="49">
        <v>0.0</v>
      </c>
      <c r="AG242" s="49" t="s">
        <v>356</v>
      </c>
      <c r="AH242" s="46"/>
      <c r="AI242" s="49" t="s">
        <v>356</v>
      </c>
      <c r="AJ242" s="49" t="s">
        <v>356</v>
      </c>
      <c r="AK242" s="49" t="s">
        <v>356</v>
      </c>
      <c r="AL242" s="93" t="s">
        <v>356</v>
      </c>
      <c r="AM242" s="79" t="s">
        <v>361</v>
      </c>
      <c r="AN242" s="59" t="s">
        <v>357</v>
      </c>
    </row>
    <row r="243">
      <c r="A243" s="45" t="s">
        <v>117</v>
      </c>
      <c r="B243" s="18" t="s">
        <v>546</v>
      </c>
      <c r="C243" s="46" t="s">
        <v>116</v>
      </c>
      <c r="D243" s="47" t="s">
        <v>547</v>
      </c>
      <c r="E243" s="48" t="s">
        <v>7</v>
      </c>
      <c r="F243" s="46" t="s">
        <v>8</v>
      </c>
      <c r="G243" s="57" t="s">
        <v>354</v>
      </c>
      <c r="H243" s="57" t="s">
        <v>354</v>
      </c>
      <c r="I243" s="57" t="s">
        <v>354</v>
      </c>
      <c r="J243" s="57" t="s">
        <v>354</v>
      </c>
      <c r="K243" s="57" t="s">
        <v>354</v>
      </c>
      <c r="L243" s="78">
        <v>1.0</v>
      </c>
      <c r="M243" s="78" t="s">
        <v>549</v>
      </c>
      <c r="N243" s="101" t="s">
        <v>17</v>
      </c>
      <c r="O243" s="101" t="s">
        <v>17</v>
      </c>
      <c r="P243" s="24" t="s">
        <v>118</v>
      </c>
      <c r="Q243" s="24" t="s">
        <v>117</v>
      </c>
      <c r="R243" s="44" t="s">
        <v>373</v>
      </c>
      <c r="S243" s="61" t="s">
        <v>373</v>
      </c>
      <c r="T243" s="24" t="s">
        <v>117</v>
      </c>
      <c r="U243" s="24" t="s">
        <v>117</v>
      </c>
      <c r="V243" s="44" t="s">
        <v>373</v>
      </c>
      <c r="W243" s="61" t="s">
        <v>373</v>
      </c>
      <c r="X243" s="18" t="s">
        <v>117</v>
      </c>
      <c r="Y243" s="18" t="s">
        <v>117</v>
      </c>
      <c r="Z243" s="18" t="s">
        <v>550</v>
      </c>
      <c r="AA243" s="18" t="s">
        <v>117</v>
      </c>
      <c r="AB243" s="158" t="s">
        <v>398</v>
      </c>
      <c r="AC243" s="46"/>
      <c r="AD243" s="46"/>
      <c r="AE243" s="46"/>
      <c r="AF243" s="49">
        <v>0.0</v>
      </c>
      <c r="AG243" s="49" t="s">
        <v>354</v>
      </c>
      <c r="AH243" s="46"/>
      <c r="AI243" s="49" t="s">
        <v>354</v>
      </c>
      <c r="AJ243" s="46"/>
      <c r="AK243" s="46"/>
      <c r="AL243" s="157" t="s">
        <v>356</v>
      </c>
      <c r="AM243" s="157" t="s">
        <v>356</v>
      </c>
      <c r="AN243" s="157" t="s">
        <v>356</v>
      </c>
    </row>
    <row r="244">
      <c r="A244" s="17" t="s">
        <v>120</v>
      </c>
      <c r="B244" s="18" t="s">
        <v>552</v>
      </c>
      <c r="C244" s="19" t="s">
        <v>119</v>
      </c>
      <c r="D244" s="20" t="s">
        <v>547</v>
      </c>
      <c r="E244" s="33" t="s">
        <v>37</v>
      </c>
      <c r="F244" s="19" t="s">
        <v>8</v>
      </c>
      <c r="G244" s="23">
        <v>114.0</v>
      </c>
      <c r="H244" s="23">
        <v>210.0</v>
      </c>
      <c r="I244" s="22" t="s">
        <v>354</v>
      </c>
      <c r="J244" s="22" t="s">
        <v>354</v>
      </c>
      <c r="K244" s="22" t="s">
        <v>354</v>
      </c>
      <c r="L244" s="22">
        <v>0.0</v>
      </c>
      <c r="M244" s="22" t="s">
        <v>354</v>
      </c>
      <c r="N244" s="101" t="s">
        <v>17</v>
      </c>
      <c r="O244" s="101" t="s">
        <v>17</v>
      </c>
      <c r="P244" s="24" t="s">
        <v>121</v>
      </c>
      <c r="Q244" s="19"/>
      <c r="R244" s="19"/>
      <c r="S244" s="19"/>
      <c r="T244" s="19"/>
      <c r="U244" s="19"/>
      <c r="V244" s="19"/>
      <c r="W244" s="19"/>
      <c r="X244" s="19"/>
      <c r="Y244" s="19"/>
      <c r="Z244" s="19"/>
      <c r="AA244" s="19"/>
      <c r="AB244" s="22" t="s">
        <v>354</v>
      </c>
      <c r="AC244" s="19">
        <v>36325.0</v>
      </c>
      <c r="AD244" s="19"/>
      <c r="AE244" s="19"/>
      <c r="AF244" s="33">
        <v>0.0</v>
      </c>
      <c r="AG244" s="36" t="s">
        <v>365</v>
      </c>
      <c r="AH244" s="23" t="s">
        <v>7</v>
      </c>
      <c r="AI244" s="58" t="s">
        <v>380</v>
      </c>
      <c r="AJ244" s="19"/>
      <c r="AK244" s="19"/>
      <c r="AL244" s="159" t="s">
        <v>420</v>
      </c>
      <c r="AM244" s="160" t="s">
        <v>413</v>
      </c>
      <c r="AN244" s="27" t="s">
        <v>358</v>
      </c>
    </row>
    <row r="245">
      <c r="A245" s="17" t="s">
        <v>120</v>
      </c>
      <c r="B245" s="18" t="s">
        <v>552</v>
      </c>
      <c r="C245" s="19" t="s">
        <v>119</v>
      </c>
      <c r="D245" s="20" t="s">
        <v>547</v>
      </c>
      <c r="E245" s="33" t="s">
        <v>37</v>
      </c>
      <c r="F245" s="19" t="s">
        <v>8</v>
      </c>
      <c r="G245" s="22" t="s">
        <v>354</v>
      </c>
      <c r="H245" s="23">
        <v>185.0</v>
      </c>
      <c r="I245" s="22" t="s">
        <v>354</v>
      </c>
      <c r="J245" s="22" t="s">
        <v>354</v>
      </c>
      <c r="K245" s="22" t="s">
        <v>354</v>
      </c>
      <c r="L245" s="23">
        <v>1.0</v>
      </c>
      <c r="M245" s="22" t="s">
        <v>354</v>
      </c>
      <c r="N245" s="101" t="s">
        <v>17</v>
      </c>
      <c r="O245" s="101" t="s">
        <v>17</v>
      </c>
      <c r="P245" s="24" t="s">
        <v>121</v>
      </c>
      <c r="Q245" s="24" t="s">
        <v>120</v>
      </c>
      <c r="R245" s="19"/>
      <c r="S245" s="19"/>
      <c r="T245" s="19"/>
      <c r="U245" s="19"/>
      <c r="V245" s="19"/>
      <c r="W245" s="19"/>
      <c r="X245" s="19"/>
      <c r="Y245" s="19"/>
      <c r="Z245" s="19"/>
      <c r="AA245" s="19"/>
      <c r="AB245" s="22" t="s">
        <v>354</v>
      </c>
      <c r="AC245" s="19">
        <v>36607.0</v>
      </c>
      <c r="AD245" s="19"/>
      <c r="AE245" s="19"/>
      <c r="AF245" s="33">
        <v>0.0</v>
      </c>
      <c r="AG245" s="23" t="s">
        <v>356</v>
      </c>
      <c r="AH245" s="19"/>
      <c r="AI245" s="23" t="s">
        <v>356</v>
      </c>
      <c r="AJ245" s="19"/>
      <c r="AK245" s="19"/>
      <c r="AL245" s="19" t="s">
        <v>356</v>
      </c>
      <c r="AM245" s="19" t="s">
        <v>356</v>
      </c>
      <c r="AN245" s="32" t="s">
        <v>361</v>
      </c>
    </row>
    <row r="246">
      <c r="A246" s="17" t="s">
        <v>120</v>
      </c>
      <c r="B246" s="18" t="s">
        <v>552</v>
      </c>
      <c r="C246" s="19" t="s">
        <v>119</v>
      </c>
      <c r="D246" s="20" t="s">
        <v>547</v>
      </c>
      <c r="E246" s="33" t="s">
        <v>37</v>
      </c>
      <c r="F246" s="19" t="s">
        <v>8</v>
      </c>
      <c r="G246" s="22" t="s">
        <v>354</v>
      </c>
      <c r="H246" s="23">
        <v>170.0</v>
      </c>
      <c r="I246" s="22" t="s">
        <v>354</v>
      </c>
      <c r="J246" s="22" t="s">
        <v>354</v>
      </c>
      <c r="K246" s="22" t="s">
        <v>354</v>
      </c>
      <c r="L246" s="22">
        <v>0.0</v>
      </c>
      <c r="M246" s="22" t="s">
        <v>354</v>
      </c>
      <c r="N246" s="101" t="s">
        <v>17</v>
      </c>
      <c r="O246" s="101" t="s">
        <v>17</v>
      </c>
      <c r="P246" s="24" t="s">
        <v>121</v>
      </c>
      <c r="Q246" s="24" t="s">
        <v>120</v>
      </c>
      <c r="R246" s="24" t="s">
        <v>120</v>
      </c>
      <c r="S246" s="19"/>
      <c r="T246" s="19"/>
      <c r="U246" s="19"/>
      <c r="V246" s="19"/>
      <c r="W246" s="19"/>
      <c r="X246" s="19"/>
      <c r="Y246" s="19"/>
      <c r="Z246" s="19"/>
      <c r="AA246" s="19"/>
      <c r="AB246" s="22" t="s">
        <v>354</v>
      </c>
      <c r="AC246" s="19"/>
      <c r="AD246" s="19"/>
      <c r="AE246" s="19"/>
      <c r="AF246" s="33">
        <v>0.0</v>
      </c>
      <c r="AG246" s="23" t="s">
        <v>356</v>
      </c>
      <c r="AH246" s="19"/>
      <c r="AI246" s="23" t="s">
        <v>356</v>
      </c>
      <c r="AJ246" s="19"/>
      <c r="AK246" s="19"/>
      <c r="AL246" s="19" t="s">
        <v>356</v>
      </c>
      <c r="AM246" s="19" t="s">
        <v>356</v>
      </c>
      <c r="AN246" s="19" t="s">
        <v>356</v>
      </c>
    </row>
    <row r="247">
      <c r="A247" s="17" t="s">
        <v>120</v>
      </c>
      <c r="B247" s="18" t="s">
        <v>552</v>
      </c>
      <c r="C247" s="19" t="s">
        <v>119</v>
      </c>
      <c r="D247" s="20" t="s">
        <v>547</v>
      </c>
      <c r="E247" s="33" t="s">
        <v>37</v>
      </c>
      <c r="F247" s="19" t="s">
        <v>8</v>
      </c>
      <c r="G247" s="23">
        <v>118.0</v>
      </c>
      <c r="H247" s="23">
        <v>235.0</v>
      </c>
      <c r="I247" s="22" t="s">
        <v>354</v>
      </c>
      <c r="J247" s="22" t="s">
        <v>354</v>
      </c>
      <c r="K247" s="22" t="s">
        <v>354</v>
      </c>
      <c r="L247" s="22">
        <v>0.0</v>
      </c>
      <c r="M247" s="22" t="s">
        <v>354</v>
      </c>
      <c r="N247" s="101" t="s">
        <v>17</v>
      </c>
      <c r="O247" s="101" t="s">
        <v>17</v>
      </c>
      <c r="P247" s="24" t="s">
        <v>121</v>
      </c>
      <c r="Q247" s="24" t="s">
        <v>120</v>
      </c>
      <c r="R247" s="24" t="s">
        <v>120</v>
      </c>
      <c r="S247" s="24" t="s">
        <v>120</v>
      </c>
      <c r="T247" s="19"/>
      <c r="U247" s="19"/>
      <c r="V247" s="19"/>
      <c r="W247" s="19"/>
      <c r="X247" s="19"/>
      <c r="Y247" s="19"/>
      <c r="Z247" s="19"/>
      <c r="AA247" s="19"/>
      <c r="AB247" s="23" t="s">
        <v>442</v>
      </c>
      <c r="AC247" s="19"/>
      <c r="AD247" s="19"/>
      <c r="AE247" s="19"/>
      <c r="AF247" s="33">
        <v>0.0</v>
      </c>
      <c r="AG247" s="33" t="s">
        <v>354</v>
      </c>
      <c r="AH247" s="33"/>
      <c r="AI247" s="33" t="s">
        <v>354</v>
      </c>
      <c r="AJ247" s="19"/>
      <c r="AK247" s="19"/>
      <c r="AL247" s="90" t="s">
        <v>413</v>
      </c>
      <c r="AM247" s="90" t="s">
        <v>413</v>
      </c>
      <c r="AN247" s="90" t="s">
        <v>413</v>
      </c>
    </row>
    <row r="248">
      <c r="A248" s="17" t="s">
        <v>120</v>
      </c>
      <c r="B248" s="18" t="s">
        <v>552</v>
      </c>
      <c r="C248" s="19" t="s">
        <v>119</v>
      </c>
      <c r="D248" s="20" t="s">
        <v>547</v>
      </c>
      <c r="E248" s="33" t="s">
        <v>37</v>
      </c>
      <c r="F248" s="19" t="s">
        <v>8</v>
      </c>
      <c r="G248" s="23">
        <v>121.0</v>
      </c>
      <c r="H248" s="23">
        <v>235.0</v>
      </c>
      <c r="I248" s="22" t="s">
        <v>354</v>
      </c>
      <c r="J248" s="22" t="s">
        <v>354</v>
      </c>
      <c r="K248" s="22" t="s">
        <v>354</v>
      </c>
      <c r="L248" s="22">
        <v>0.0</v>
      </c>
      <c r="M248" s="22" t="s">
        <v>354</v>
      </c>
      <c r="N248" s="101" t="s">
        <v>17</v>
      </c>
      <c r="O248" s="101" t="s">
        <v>17</v>
      </c>
      <c r="P248" s="24" t="s">
        <v>121</v>
      </c>
      <c r="Q248" s="24" t="s">
        <v>120</v>
      </c>
      <c r="R248" s="24" t="s">
        <v>120</v>
      </c>
      <c r="S248" s="24" t="s">
        <v>120</v>
      </c>
      <c r="T248" s="24" t="s">
        <v>120</v>
      </c>
      <c r="U248" s="19"/>
      <c r="V248" s="19"/>
      <c r="W248" s="19"/>
      <c r="X248" s="19"/>
      <c r="Y248" s="19"/>
      <c r="Z248" s="19"/>
      <c r="AA248" s="19"/>
      <c r="AB248" s="23" t="s">
        <v>553</v>
      </c>
      <c r="AC248" s="19"/>
      <c r="AD248" s="19"/>
      <c r="AE248" s="19"/>
      <c r="AF248" s="33">
        <v>0.0</v>
      </c>
      <c r="AG248" s="33" t="s">
        <v>354</v>
      </c>
      <c r="AH248" s="33"/>
      <c r="AI248" s="33" t="s">
        <v>354</v>
      </c>
      <c r="AJ248" s="19"/>
      <c r="AK248" s="19"/>
      <c r="AL248" s="89" t="s">
        <v>356</v>
      </c>
      <c r="AM248" s="58" t="s">
        <v>380</v>
      </c>
      <c r="AN248" s="89" t="s">
        <v>356</v>
      </c>
    </row>
    <row r="249">
      <c r="A249" s="17" t="s">
        <v>120</v>
      </c>
      <c r="B249" s="18" t="s">
        <v>552</v>
      </c>
      <c r="C249" s="19" t="s">
        <v>119</v>
      </c>
      <c r="D249" s="20" t="s">
        <v>547</v>
      </c>
      <c r="E249" s="33" t="s">
        <v>37</v>
      </c>
      <c r="F249" s="19" t="s">
        <v>8</v>
      </c>
      <c r="G249" s="22" t="s">
        <v>354</v>
      </c>
      <c r="H249" s="23">
        <v>230.0</v>
      </c>
      <c r="I249" s="22" t="s">
        <v>354</v>
      </c>
      <c r="J249" s="22" t="s">
        <v>354</v>
      </c>
      <c r="K249" s="22" t="s">
        <v>354</v>
      </c>
      <c r="L249" s="22">
        <v>0.0</v>
      </c>
      <c r="M249" s="22" t="s">
        <v>354</v>
      </c>
      <c r="N249" s="101" t="s">
        <v>17</v>
      </c>
      <c r="O249" s="101" t="s">
        <v>17</v>
      </c>
      <c r="P249" s="24" t="s">
        <v>121</v>
      </c>
      <c r="Q249" s="24" t="s">
        <v>120</v>
      </c>
      <c r="R249" s="24" t="s">
        <v>120</v>
      </c>
      <c r="S249" s="24" t="s">
        <v>120</v>
      </c>
      <c r="T249" s="24" t="s">
        <v>120</v>
      </c>
      <c r="U249" s="24" t="s">
        <v>120</v>
      </c>
      <c r="V249" s="44" t="s">
        <v>373</v>
      </c>
      <c r="W249" s="19"/>
      <c r="X249" s="19"/>
      <c r="Y249" s="19"/>
      <c r="Z249" s="19"/>
      <c r="AA249" s="19"/>
      <c r="AB249" s="23" t="s">
        <v>442</v>
      </c>
      <c r="AC249" s="19"/>
      <c r="AD249" s="19"/>
      <c r="AE249" s="19"/>
      <c r="AF249" s="33">
        <v>0.0</v>
      </c>
      <c r="AG249" s="33" t="s">
        <v>354</v>
      </c>
      <c r="AH249" s="33"/>
      <c r="AI249" s="33" t="s">
        <v>354</v>
      </c>
      <c r="AJ249" s="19"/>
      <c r="AK249" s="19"/>
      <c r="AL249" s="89" t="s">
        <v>356</v>
      </c>
      <c r="AM249" s="58" t="s">
        <v>380</v>
      </c>
      <c r="AN249" s="89" t="s">
        <v>356</v>
      </c>
    </row>
    <row r="250">
      <c r="A250" s="17" t="s">
        <v>120</v>
      </c>
      <c r="B250" s="18" t="s">
        <v>552</v>
      </c>
      <c r="C250" s="19" t="s">
        <v>119</v>
      </c>
      <c r="D250" s="20" t="s">
        <v>547</v>
      </c>
      <c r="E250" s="33" t="s">
        <v>7</v>
      </c>
      <c r="F250" s="19" t="s">
        <v>8</v>
      </c>
      <c r="G250" s="23">
        <v>120.0</v>
      </c>
      <c r="H250" s="23">
        <v>275.0</v>
      </c>
      <c r="I250" s="22" t="s">
        <v>354</v>
      </c>
      <c r="J250" s="22" t="s">
        <v>354</v>
      </c>
      <c r="K250" s="22" t="s">
        <v>354</v>
      </c>
      <c r="L250" s="22">
        <v>0.0</v>
      </c>
      <c r="M250" s="22" t="s">
        <v>354</v>
      </c>
      <c r="N250" s="101" t="s">
        <v>17</v>
      </c>
      <c r="O250" s="101" t="s">
        <v>17</v>
      </c>
      <c r="P250" s="24" t="s">
        <v>121</v>
      </c>
      <c r="Q250" s="24" t="s">
        <v>120</v>
      </c>
      <c r="R250" s="24" t="s">
        <v>120</v>
      </c>
      <c r="S250" s="24" t="s">
        <v>120</v>
      </c>
      <c r="T250" s="24" t="s">
        <v>120</v>
      </c>
      <c r="U250" s="24" t="s">
        <v>120</v>
      </c>
      <c r="V250" s="44" t="s">
        <v>373</v>
      </c>
      <c r="W250" s="18" t="s">
        <v>554</v>
      </c>
      <c r="X250" s="19"/>
      <c r="Y250" s="19"/>
      <c r="Z250" s="19"/>
      <c r="AA250" s="19"/>
      <c r="AB250" s="23" t="s">
        <v>354</v>
      </c>
      <c r="AC250" s="19"/>
      <c r="AD250" s="19"/>
      <c r="AE250" s="19"/>
      <c r="AF250" s="33">
        <v>0.0</v>
      </c>
      <c r="AG250" s="33" t="s">
        <v>354</v>
      </c>
      <c r="AH250" s="33"/>
      <c r="AI250" s="33" t="s">
        <v>354</v>
      </c>
      <c r="AJ250" s="19"/>
      <c r="AK250" s="19"/>
      <c r="AL250" s="89" t="s">
        <v>356</v>
      </c>
      <c r="AM250" s="89" t="s">
        <v>356</v>
      </c>
      <c r="AN250" s="89" t="s">
        <v>356</v>
      </c>
    </row>
    <row r="251">
      <c r="A251" s="17" t="s">
        <v>120</v>
      </c>
      <c r="B251" s="18" t="s">
        <v>552</v>
      </c>
      <c r="C251" s="19" t="s">
        <v>119</v>
      </c>
      <c r="D251" s="20" t="s">
        <v>547</v>
      </c>
      <c r="E251" s="33" t="s">
        <v>7</v>
      </c>
      <c r="F251" s="19" t="s">
        <v>8</v>
      </c>
      <c r="G251" s="22" t="s">
        <v>354</v>
      </c>
      <c r="H251" s="22" t="s">
        <v>354</v>
      </c>
      <c r="I251" s="22" t="s">
        <v>354</v>
      </c>
      <c r="J251" s="22" t="s">
        <v>354</v>
      </c>
      <c r="K251" s="22" t="s">
        <v>354</v>
      </c>
      <c r="L251" s="78">
        <v>0.0</v>
      </c>
      <c r="M251" s="78" t="s">
        <v>555</v>
      </c>
      <c r="N251" s="101" t="s">
        <v>17</v>
      </c>
      <c r="O251" s="101" t="s">
        <v>17</v>
      </c>
      <c r="P251" s="24" t="s">
        <v>121</v>
      </c>
      <c r="Q251" s="24" t="s">
        <v>120</v>
      </c>
      <c r="R251" s="24" t="s">
        <v>120</v>
      </c>
      <c r="S251" s="24" t="s">
        <v>120</v>
      </c>
      <c r="T251" s="24" t="s">
        <v>120</v>
      </c>
      <c r="U251" s="24" t="s">
        <v>120</v>
      </c>
      <c r="V251" s="44" t="s">
        <v>373</v>
      </c>
      <c r="W251" s="18" t="s">
        <v>554</v>
      </c>
      <c r="X251" s="130" t="s">
        <v>120</v>
      </c>
      <c r="Y251" s="44" t="s">
        <v>373</v>
      </c>
      <c r="Z251" s="19"/>
      <c r="AA251" s="19"/>
      <c r="AB251" s="158" t="s">
        <v>556</v>
      </c>
      <c r="AC251" s="19"/>
      <c r="AD251" s="19"/>
      <c r="AE251" s="19"/>
      <c r="AF251" s="33">
        <v>0.0</v>
      </c>
      <c r="AG251" s="33" t="s">
        <v>354</v>
      </c>
      <c r="AH251" s="33"/>
      <c r="AI251" s="33" t="s">
        <v>354</v>
      </c>
      <c r="AJ251" s="19"/>
      <c r="AK251" s="19"/>
      <c r="AL251" s="89" t="s">
        <v>356</v>
      </c>
      <c r="AM251" s="89" t="s">
        <v>356</v>
      </c>
      <c r="AN251" s="89" t="s">
        <v>356</v>
      </c>
    </row>
    <row r="252">
      <c r="A252" s="17" t="s">
        <v>120</v>
      </c>
      <c r="B252" s="18" t="s">
        <v>552</v>
      </c>
      <c r="C252" s="19" t="s">
        <v>119</v>
      </c>
      <c r="D252" s="20" t="s">
        <v>547</v>
      </c>
      <c r="E252" s="33" t="s">
        <v>7</v>
      </c>
      <c r="F252" s="19" t="s">
        <v>8</v>
      </c>
      <c r="G252" s="22" t="s">
        <v>354</v>
      </c>
      <c r="H252" s="22" t="s">
        <v>354</v>
      </c>
      <c r="I252" s="22" t="s">
        <v>354</v>
      </c>
      <c r="J252" s="22" t="s">
        <v>354</v>
      </c>
      <c r="K252" s="22" t="s">
        <v>354</v>
      </c>
      <c r="L252" s="78">
        <v>0.0</v>
      </c>
      <c r="M252" s="78" t="s">
        <v>555</v>
      </c>
      <c r="N252" s="101" t="s">
        <v>17</v>
      </c>
      <c r="O252" s="101" t="s">
        <v>17</v>
      </c>
      <c r="P252" s="24" t="s">
        <v>121</v>
      </c>
      <c r="Q252" s="24" t="s">
        <v>120</v>
      </c>
      <c r="R252" s="24" t="s">
        <v>120</v>
      </c>
      <c r="S252" s="24" t="s">
        <v>120</v>
      </c>
      <c r="T252" s="24" t="s">
        <v>120</v>
      </c>
      <c r="U252" s="24" t="s">
        <v>120</v>
      </c>
      <c r="V252" s="44" t="s">
        <v>373</v>
      </c>
      <c r="W252" s="18" t="s">
        <v>554</v>
      </c>
      <c r="X252" s="130" t="s">
        <v>120</v>
      </c>
      <c r="Y252" s="44" t="s">
        <v>373</v>
      </c>
      <c r="Z252" s="24" t="s">
        <v>120</v>
      </c>
      <c r="AA252" s="19"/>
      <c r="AB252" s="158" t="s">
        <v>556</v>
      </c>
      <c r="AC252" s="19"/>
      <c r="AD252" s="19"/>
      <c r="AE252" s="19"/>
      <c r="AF252" s="33">
        <v>0.0</v>
      </c>
      <c r="AG252" s="23" t="s">
        <v>356</v>
      </c>
      <c r="AH252" s="19"/>
      <c r="AI252" s="23" t="s">
        <v>356</v>
      </c>
      <c r="AJ252" s="23" t="s">
        <v>356</v>
      </c>
      <c r="AK252" s="23" t="s">
        <v>356</v>
      </c>
      <c r="AL252" s="23" t="s">
        <v>356</v>
      </c>
      <c r="AM252" s="32" t="s">
        <v>361</v>
      </c>
      <c r="AN252" s="23" t="s">
        <v>356</v>
      </c>
    </row>
    <row r="253">
      <c r="A253" s="17" t="s">
        <v>120</v>
      </c>
      <c r="B253" s="18" t="s">
        <v>552</v>
      </c>
      <c r="C253" s="19" t="s">
        <v>119</v>
      </c>
      <c r="D253" s="20" t="s">
        <v>547</v>
      </c>
      <c r="E253" s="33" t="s">
        <v>7</v>
      </c>
      <c r="F253" s="19" t="s">
        <v>8</v>
      </c>
      <c r="G253" s="22" t="s">
        <v>354</v>
      </c>
      <c r="H253" s="22" t="s">
        <v>354</v>
      </c>
      <c r="I253" s="22" t="s">
        <v>354</v>
      </c>
      <c r="J253" s="22" t="s">
        <v>354</v>
      </c>
      <c r="K253" s="22" t="s">
        <v>354</v>
      </c>
      <c r="L253" s="78">
        <v>0.0</v>
      </c>
      <c r="M253" s="78" t="s">
        <v>555</v>
      </c>
      <c r="N253" s="101" t="s">
        <v>17</v>
      </c>
      <c r="O253" s="101" t="s">
        <v>17</v>
      </c>
      <c r="P253" s="24" t="s">
        <v>121</v>
      </c>
      <c r="Q253" s="24" t="s">
        <v>120</v>
      </c>
      <c r="R253" s="24" t="s">
        <v>120</v>
      </c>
      <c r="S253" s="24" t="s">
        <v>120</v>
      </c>
      <c r="T253" s="24" t="s">
        <v>120</v>
      </c>
      <c r="U253" s="24" t="s">
        <v>120</v>
      </c>
      <c r="V253" s="44" t="s">
        <v>373</v>
      </c>
      <c r="W253" s="18" t="s">
        <v>554</v>
      </c>
      <c r="X253" s="130" t="s">
        <v>120</v>
      </c>
      <c r="Y253" s="44" t="s">
        <v>373</v>
      </c>
      <c r="Z253" s="24" t="s">
        <v>120</v>
      </c>
      <c r="AA253" s="24" t="s">
        <v>120</v>
      </c>
      <c r="AB253" s="158" t="s">
        <v>556</v>
      </c>
      <c r="AC253" s="19"/>
      <c r="AD253" s="19"/>
      <c r="AE253" s="19"/>
      <c r="AF253" s="33">
        <v>0.0</v>
      </c>
      <c r="AG253" s="33" t="s">
        <v>354</v>
      </c>
      <c r="AH253" s="33"/>
      <c r="AI253" s="33" t="s">
        <v>354</v>
      </c>
      <c r="AJ253" s="19"/>
      <c r="AK253" s="19"/>
      <c r="AL253" s="89" t="s">
        <v>356</v>
      </c>
      <c r="AM253" s="89" t="s">
        <v>356</v>
      </c>
      <c r="AN253" s="89" t="s">
        <v>356</v>
      </c>
    </row>
    <row r="254">
      <c r="A254" s="45" t="s">
        <v>123</v>
      </c>
      <c r="B254" s="98" t="s">
        <v>557</v>
      </c>
      <c r="C254" s="46" t="s">
        <v>122</v>
      </c>
      <c r="D254" s="47" t="s">
        <v>547</v>
      </c>
      <c r="E254" s="48" t="s">
        <v>7</v>
      </c>
      <c r="F254" s="46" t="s">
        <v>8</v>
      </c>
      <c r="G254" s="49">
        <v>127.0</v>
      </c>
      <c r="H254" s="49">
        <v>325.0</v>
      </c>
      <c r="I254" s="57" t="s">
        <v>354</v>
      </c>
      <c r="J254" s="57" t="s">
        <v>354</v>
      </c>
      <c r="K254" s="57" t="s">
        <v>354</v>
      </c>
      <c r="L254" s="57">
        <v>0.0</v>
      </c>
      <c r="M254" s="57" t="s">
        <v>354</v>
      </c>
      <c r="N254" s="101" t="s">
        <v>17</v>
      </c>
      <c r="O254" s="101" t="s">
        <v>17</v>
      </c>
      <c r="P254" s="24" t="s">
        <v>124</v>
      </c>
      <c r="Q254" s="46"/>
      <c r="R254" s="46"/>
      <c r="S254" s="46"/>
      <c r="T254" s="46"/>
      <c r="U254" s="46"/>
      <c r="V254" s="46"/>
      <c r="W254" s="46"/>
      <c r="X254" s="46"/>
      <c r="Y254" s="46"/>
      <c r="Z254" s="46"/>
      <c r="AA254" s="46"/>
      <c r="AB254" s="49" t="s">
        <v>354</v>
      </c>
      <c r="AC254" s="46">
        <v>36326.0</v>
      </c>
      <c r="AD254" s="46"/>
      <c r="AE254" s="46"/>
      <c r="AF254" s="49">
        <v>0.0</v>
      </c>
      <c r="AG254" s="49" t="s">
        <v>356</v>
      </c>
      <c r="AH254" s="46"/>
      <c r="AI254" s="49" t="s">
        <v>356</v>
      </c>
      <c r="AJ254" s="46"/>
      <c r="AK254" s="46"/>
      <c r="AL254" s="34" t="s">
        <v>357</v>
      </c>
      <c r="AM254" s="54" t="s">
        <v>356</v>
      </c>
      <c r="AN254" s="118" t="s">
        <v>420</v>
      </c>
    </row>
    <row r="255">
      <c r="A255" s="45" t="s">
        <v>123</v>
      </c>
      <c r="B255" s="98" t="s">
        <v>557</v>
      </c>
      <c r="C255" s="46" t="s">
        <v>122</v>
      </c>
      <c r="D255" s="47" t="s">
        <v>547</v>
      </c>
      <c r="E255" s="48" t="s">
        <v>7</v>
      </c>
      <c r="F255" s="46" t="s">
        <v>8</v>
      </c>
      <c r="G255" s="57" t="s">
        <v>354</v>
      </c>
      <c r="H255" s="49">
        <v>265.0</v>
      </c>
      <c r="I255" s="57" t="s">
        <v>354</v>
      </c>
      <c r="J255" s="57" t="s">
        <v>354</v>
      </c>
      <c r="K255" s="57" t="s">
        <v>354</v>
      </c>
      <c r="L255" s="49">
        <v>1.0</v>
      </c>
      <c r="M255" s="57" t="s">
        <v>354</v>
      </c>
      <c r="N255" s="101" t="s">
        <v>17</v>
      </c>
      <c r="O255" s="101" t="s">
        <v>17</v>
      </c>
      <c r="P255" s="24" t="s">
        <v>124</v>
      </c>
      <c r="Q255" s="24" t="s">
        <v>123</v>
      </c>
      <c r="R255" s="46"/>
      <c r="S255" s="46"/>
      <c r="T255" s="46"/>
      <c r="U255" s="46"/>
      <c r="V255" s="46"/>
      <c r="W255" s="46"/>
      <c r="X255" s="46"/>
      <c r="Y255" s="46"/>
      <c r="Z255" s="46"/>
      <c r="AA255" s="46"/>
      <c r="AB255" s="49" t="s">
        <v>558</v>
      </c>
      <c r="AC255" s="46">
        <v>36608.0</v>
      </c>
      <c r="AD255" s="46"/>
      <c r="AE255" s="46"/>
      <c r="AF255" s="55">
        <v>31.37</v>
      </c>
      <c r="AG255" s="56" t="s">
        <v>365</v>
      </c>
      <c r="AH255" s="49" t="s">
        <v>366</v>
      </c>
      <c r="AI255" s="26" t="s">
        <v>357</v>
      </c>
      <c r="AJ255" s="46"/>
      <c r="AK255" s="46"/>
      <c r="AL255" s="59" t="s">
        <v>357</v>
      </c>
      <c r="AM255" s="38" t="s">
        <v>357</v>
      </c>
      <c r="AN255" s="75" t="s">
        <v>357</v>
      </c>
    </row>
    <row r="256">
      <c r="A256" s="45" t="s">
        <v>123</v>
      </c>
      <c r="B256" s="98" t="s">
        <v>557</v>
      </c>
      <c r="C256" s="46" t="s">
        <v>122</v>
      </c>
      <c r="D256" s="47" t="s">
        <v>547</v>
      </c>
      <c r="E256" s="48" t="s">
        <v>7</v>
      </c>
      <c r="F256" s="46" t="s">
        <v>8</v>
      </c>
      <c r="G256" s="57" t="s">
        <v>354</v>
      </c>
      <c r="H256" s="49">
        <v>245.0</v>
      </c>
      <c r="I256" s="57" t="s">
        <v>354</v>
      </c>
      <c r="J256" s="57" t="s">
        <v>354</v>
      </c>
      <c r="K256" s="57" t="s">
        <v>354</v>
      </c>
      <c r="L256" s="57">
        <v>0.0</v>
      </c>
      <c r="M256" s="57" t="s">
        <v>354</v>
      </c>
      <c r="N256" s="101" t="s">
        <v>17</v>
      </c>
      <c r="O256" s="101" t="s">
        <v>17</v>
      </c>
      <c r="P256" s="24" t="s">
        <v>124</v>
      </c>
      <c r="Q256" s="24" t="s">
        <v>123</v>
      </c>
      <c r="R256" s="24" t="s">
        <v>123</v>
      </c>
      <c r="S256" s="44" t="s">
        <v>373</v>
      </c>
      <c r="T256" s="44" t="s">
        <v>373</v>
      </c>
      <c r="U256" s="61" t="s">
        <v>373</v>
      </c>
      <c r="V256" s="62" t="s">
        <v>381</v>
      </c>
      <c r="W256" s="62" t="s">
        <v>381</v>
      </c>
      <c r="X256" s="62" t="s">
        <v>381</v>
      </c>
      <c r="Y256" s="62" t="s">
        <v>381</v>
      </c>
      <c r="Z256" s="62" t="s">
        <v>381</v>
      </c>
      <c r="AA256" s="62" t="s">
        <v>381</v>
      </c>
      <c r="AB256" s="62" t="s">
        <v>559</v>
      </c>
      <c r="AC256" s="46"/>
      <c r="AD256" s="46"/>
      <c r="AE256" s="46"/>
      <c r="AF256" s="49">
        <v>0.0</v>
      </c>
      <c r="AG256" s="49" t="s">
        <v>356</v>
      </c>
      <c r="AH256" s="46"/>
      <c r="AI256" s="49" t="s">
        <v>356</v>
      </c>
      <c r="AJ256" s="46"/>
      <c r="AK256" s="46"/>
      <c r="AL256" s="79" t="s">
        <v>361</v>
      </c>
      <c r="AM256" s="80" t="s">
        <v>356</v>
      </c>
      <c r="AN256" s="76" t="s">
        <v>356</v>
      </c>
    </row>
    <row r="257">
      <c r="A257" s="95" t="s">
        <v>560</v>
      </c>
      <c r="B257" s="18" t="s">
        <v>561</v>
      </c>
      <c r="C257" s="19" t="s">
        <v>125</v>
      </c>
      <c r="D257" s="20" t="s">
        <v>547</v>
      </c>
      <c r="E257" s="21" t="s">
        <v>7</v>
      </c>
      <c r="F257" s="19" t="s">
        <v>8</v>
      </c>
      <c r="G257" s="23">
        <v>120.0</v>
      </c>
      <c r="H257" s="23">
        <v>265.0</v>
      </c>
      <c r="I257" s="23" t="s">
        <v>354</v>
      </c>
      <c r="J257" s="22" t="s">
        <v>354</v>
      </c>
      <c r="K257" s="22" t="s">
        <v>354</v>
      </c>
      <c r="L257" s="23">
        <v>0.0</v>
      </c>
      <c r="M257" s="22" t="s">
        <v>354</v>
      </c>
      <c r="N257" s="101" t="s">
        <v>17</v>
      </c>
      <c r="O257" s="101" t="s">
        <v>17</v>
      </c>
      <c r="P257" s="24" t="s">
        <v>127</v>
      </c>
      <c r="Q257" s="19"/>
      <c r="R257" s="19"/>
      <c r="S257" s="19"/>
      <c r="T257" s="19"/>
      <c r="U257" s="19"/>
      <c r="V257" s="19"/>
      <c r="W257" s="19"/>
      <c r="X257" s="19"/>
      <c r="Y257" s="19"/>
      <c r="Z257" s="19"/>
      <c r="AA257" s="19"/>
      <c r="AB257" s="22" t="s">
        <v>354</v>
      </c>
      <c r="AC257" s="19">
        <v>36327.0</v>
      </c>
      <c r="AD257" s="19"/>
      <c r="AE257" s="19"/>
      <c r="AF257" s="66">
        <v>37.35</v>
      </c>
      <c r="AG257" s="36" t="s">
        <v>365</v>
      </c>
      <c r="AH257" s="19"/>
      <c r="AI257" s="36" t="s">
        <v>365</v>
      </c>
      <c r="AJ257" s="19"/>
      <c r="AK257" s="19"/>
      <c r="AL257" s="88" t="s">
        <v>358</v>
      </c>
      <c r="AM257" s="149" t="s">
        <v>363</v>
      </c>
      <c r="AN257" s="88" t="s">
        <v>358</v>
      </c>
    </row>
    <row r="258">
      <c r="A258" s="95" t="s">
        <v>560</v>
      </c>
      <c r="B258" s="18" t="s">
        <v>561</v>
      </c>
      <c r="C258" s="19" t="s">
        <v>125</v>
      </c>
      <c r="D258" s="20" t="s">
        <v>547</v>
      </c>
      <c r="E258" s="21" t="s">
        <v>7</v>
      </c>
      <c r="F258" s="19" t="s">
        <v>8</v>
      </c>
      <c r="G258" s="23" t="s">
        <v>354</v>
      </c>
      <c r="H258" s="23">
        <v>215.0</v>
      </c>
      <c r="I258" s="23" t="s">
        <v>354</v>
      </c>
      <c r="J258" s="22" t="s">
        <v>354</v>
      </c>
      <c r="K258" s="22" t="s">
        <v>354</v>
      </c>
      <c r="L258" s="23">
        <v>0.0</v>
      </c>
      <c r="M258" s="22" t="s">
        <v>354</v>
      </c>
      <c r="N258" s="101" t="s">
        <v>17</v>
      </c>
      <c r="O258" s="101" t="s">
        <v>17</v>
      </c>
      <c r="P258" s="24" t="s">
        <v>127</v>
      </c>
      <c r="Q258" s="24" t="s">
        <v>126</v>
      </c>
      <c r="R258" s="19"/>
      <c r="S258" s="19"/>
      <c r="T258" s="19"/>
      <c r="U258" s="19"/>
      <c r="V258" s="19"/>
      <c r="W258" s="19"/>
      <c r="X258" s="19"/>
      <c r="Y258" s="19"/>
      <c r="Z258" s="19"/>
      <c r="AA258" s="19"/>
      <c r="AB258" s="22" t="s">
        <v>354</v>
      </c>
      <c r="AC258" s="19">
        <v>36609.0</v>
      </c>
      <c r="AD258" s="19"/>
      <c r="AE258" s="19"/>
      <c r="AF258" s="33">
        <v>0.0</v>
      </c>
      <c r="AG258" s="23" t="s">
        <v>356</v>
      </c>
      <c r="AH258" s="19"/>
      <c r="AI258" s="23" t="s">
        <v>356</v>
      </c>
      <c r="AJ258" s="19"/>
      <c r="AK258" s="19"/>
      <c r="AL258" s="70" t="s">
        <v>361</v>
      </c>
      <c r="AM258" s="149" t="s">
        <v>363</v>
      </c>
      <c r="AN258" s="161" t="s">
        <v>389</v>
      </c>
    </row>
    <row r="259">
      <c r="A259" s="95" t="s">
        <v>560</v>
      </c>
      <c r="B259" s="18" t="s">
        <v>561</v>
      </c>
      <c r="C259" s="19" t="s">
        <v>125</v>
      </c>
      <c r="D259" s="20" t="s">
        <v>547</v>
      </c>
      <c r="E259" s="21" t="s">
        <v>7</v>
      </c>
      <c r="F259" s="19" t="s">
        <v>8</v>
      </c>
      <c r="G259" s="23" t="s">
        <v>354</v>
      </c>
      <c r="H259" s="23">
        <v>205.0</v>
      </c>
      <c r="I259" s="23" t="s">
        <v>354</v>
      </c>
      <c r="J259" s="22" t="s">
        <v>354</v>
      </c>
      <c r="K259" s="22" t="s">
        <v>354</v>
      </c>
      <c r="L259" s="22">
        <v>0.0</v>
      </c>
      <c r="M259" s="22" t="s">
        <v>354</v>
      </c>
      <c r="N259" s="101" t="s">
        <v>17</v>
      </c>
      <c r="O259" s="101" t="s">
        <v>17</v>
      </c>
      <c r="P259" s="24" t="s">
        <v>127</v>
      </c>
      <c r="Q259" s="24" t="s">
        <v>126</v>
      </c>
      <c r="R259" s="24" t="s">
        <v>126</v>
      </c>
      <c r="S259" s="19"/>
      <c r="T259" s="19"/>
      <c r="U259" s="19"/>
      <c r="V259" s="19"/>
      <c r="W259" s="19"/>
      <c r="X259" s="19"/>
      <c r="Y259" s="19"/>
      <c r="Z259" s="19"/>
      <c r="AA259" s="19"/>
      <c r="AB259" s="22" t="s">
        <v>354</v>
      </c>
      <c r="AC259" s="19"/>
      <c r="AD259" s="19"/>
      <c r="AE259" s="19"/>
      <c r="AF259" s="33">
        <v>0.0</v>
      </c>
      <c r="AG259" s="23" t="s">
        <v>356</v>
      </c>
      <c r="AH259" s="19"/>
      <c r="AI259" s="23" t="s">
        <v>356</v>
      </c>
      <c r="AJ259" s="19"/>
      <c r="AK259" s="19"/>
      <c r="AL259" s="19" t="s">
        <v>356</v>
      </c>
      <c r="AM259" s="19" t="s">
        <v>356</v>
      </c>
      <c r="AN259" s="31" t="s">
        <v>356</v>
      </c>
    </row>
    <row r="260">
      <c r="A260" s="95" t="s">
        <v>560</v>
      </c>
      <c r="B260" s="18" t="s">
        <v>561</v>
      </c>
      <c r="C260" s="19" t="s">
        <v>125</v>
      </c>
      <c r="D260" s="20" t="s">
        <v>547</v>
      </c>
      <c r="E260" s="21" t="s">
        <v>7</v>
      </c>
      <c r="F260" s="19" t="s">
        <v>8</v>
      </c>
      <c r="G260" s="23" t="s">
        <v>354</v>
      </c>
      <c r="H260" s="23">
        <v>205.0</v>
      </c>
      <c r="I260" s="23" t="s">
        <v>354</v>
      </c>
      <c r="J260" s="22" t="s">
        <v>354</v>
      </c>
      <c r="K260" s="22" t="s">
        <v>354</v>
      </c>
      <c r="L260" s="22">
        <v>0.0</v>
      </c>
      <c r="M260" s="22" t="s">
        <v>354</v>
      </c>
      <c r="N260" s="101" t="s">
        <v>17</v>
      </c>
      <c r="O260" s="101" t="s">
        <v>17</v>
      </c>
      <c r="P260" s="24" t="s">
        <v>127</v>
      </c>
      <c r="Q260" s="24" t="s">
        <v>126</v>
      </c>
      <c r="R260" s="24" t="s">
        <v>126</v>
      </c>
      <c r="S260" s="24" t="s">
        <v>126</v>
      </c>
      <c r="T260" s="19"/>
      <c r="U260" s="19"/>
      <c r="V260" s="19"/>
      <c r="W260" s="19"/>
      <c r="X260" s="19"/>
      <c r="Y260" s="19"/>
      <c r="Z260" s="19"/>
      <c r="AA260" s="19"/>
      <c r="AB260" s="23" t="s">
        <v>502</v>
      </c>
      <c r="AC260" s="19"/>
      <c r="AD260" s="19"/>
      <c r="AE260" s="19"/>
      <c r="AF260" s="23">
        <v>0.0</v>
      </c>
      <c r="AG260" s="23" t="s">
        <v>354</v>
      </c>
      <c r="AH260" s="19"/>
      <c r="AI260" s="23" t="s">
        <v>354</v>
      </c>
      <c r="AJ260" s="19"/>
      <c r="AK260" s="19"/>
      <c r="AL260" s="19" t="s">
        <v>356</v>
      </c>
      <c r="AM260" s="162" t="s">
        <v>363</v>
      </c>
      <c r="AN260" s="162" t="s">
        <v>363</v>
      </c>
    </row>
    <row r="261">
      <c r="A261" s="95" t="s">
        <v>560</v>
      </c>
      <c r="B261" s="18" t="s">
        <v>561</v>
      </c>
      <c r="C261" s="19" t="s">
        <v>125</v>
      </c>
      <c r="D261" s="20" t="s">
        <v>547</v>
      </c>
      <c r="E261" s="21" t="s">
        <v>7</v>
      </c>
      <c r="F261" s="19" t="s">
        <v>8</v>
      </c>
      <c r="G261" s="23" t="s">
        <v>354</v>
      </c>
      <c r="H261" s="23">
        <v>220.0</v>
      </c>
      <c r="I261" s="23" t="s">
        <v>354</v>
      </c>
      <c r="J261" s="22" t="s">
        <v>354</v>
      </c>
      <c r="K261" s="22" t="s">
        <v>354</v>
      </c>
      <c r="L261" s="22">
        <v>0.0</v>
      </c>
      <c r="M261" s="22" t="s">
        <v>354</v>
      </c>
      <c r="N261" s="101" t="s">
        <v>17</v>
      </c>
      <c r="O261" s="101" t="s">
        <v>17</v>
      </c>
      <c r="P261" s="24" t="s">
        <v>127</v>
      </c>
      <c r="Q261" s="24" t="s">
        <v>126</v>
      </c>
      <c r="R261" s="24" t="s">
        <v>126</v>
      </c>
      <c r="S261" s="24" t="s">
        <v>126</v>
      </c>
      <c r="T261" s="24" t="s">
        <v>126</v>
      </c>
      <c r="U261" s="19"/>
      <c r="V261" s="19"/>
      <c r="W261" s="19"/>
      <c r="X261" s="19"/>
      <c r="Y261" s="19"/>
      <c r="Z261" s="19"/>
      <c r="AA261" s="19"/>
      <c r="AB261" s="22" t="s">
        <v>354</v>
      </c>
      <c r="AC261" s="19"/>
      <c r="AD261" s="19"/>
      <c r="AE261" s="19"/>
      <c r="AF261" s="23">
        <v>0.0</v>
      </c>
      <c r="AG261" s="23" t="s">
        <v>354</v>
      </c>
      <c r="AH261" s="19"/>
      <c r="AI261" s="23" t="s">
        <v>354</v>
      </c>
      <c r="AJ261" s="19"/>
      <c r="AK261" s="19"/>
      <c r="AL261" s="162" t="s">
        <v>363</v>
      </c>
      <c r="AM261" s="162" t="s">
        <v>363</v>
      </c>
      <c r="AN261" s="162" t="s">
        <v>363</v>
      </c>
    </row>
    <row r="262">
      <c r="A262" s="95" t="s">
        <v>560</v>
      </c>
      <c r="B262" s="18" t="s">
        <v>561</v>
      </c>
      <c r="C262" s="19" t="s">
        <v>125</v>
      </c>
      <c r="D262" s="20" t="s">
        <v>547</v>
      </c>
      <c r="E262" s="21" t="s">
        <v>7</v>
      </c>
      <c r="F262" s="19" t="s">
        <v>8</v>
      </c>
      <c r="G262" s="23" t="s">
        <v>354</v>
      </c>
      <c r="H262" s="23">
        <v>210.0</v>
      </c>
      <c r="I262" s="23" t="s">
        <v>354</v>
      </c>
      <c r="J262" s="22" t="s">
        <v>354</v>
      </c>
      <c r="K262" s="22" t="s">
        <v>354</v>
      </c>
      <c r="L262" s="22">
        <v>0.0</v>
      </c>
      <c r="M262" s="22" t="s">
        <v>354</v>
      </c>
      <c r="N262" s="101" t="s">
        <v>17</v>
      </c>
      <c r="O262" s="101" t="s">
        <v>17</v>
      </c>
      <c r="P262" s="24" t="s">
        <v>127</v>
      </c>
      <c r="Q262" s="24" t="s">
        <v>126</v>
      </c>
      <c r="R262" s="24" t="s">
        <v>126</v>
      </c>
      <c r="S262" s="24" t="s">
        <v>126</v>
      </c>
      <c r="T262" s="24" t="s">
        <v>126</v>
      </c>
      <c r="U262" s="24" t="s">
        <v>126</v>
      </c>
      <c r="V262" s="19"/>
      <c r="W262" s="23"/>
      <c r="X262" s="23"/>
      <c r="Y262" s="23"/>
      <c r="Z262" s="23"/>
      <c r="AA262" s="19"/>
      <c r="AB262" s="22" t="s">
        <v>354</v>
      </c>
      <c r="AC262" s="19"/>
      <c r="AD262" s="19"/>
      <c r="AE262" s="19"/>
      <c r="AF262" s="23">
        <v>0.0</v>
      </c>
      <c r="AG262" s="23" t="s">
        <v>354</v>
      </c>
      <c r="AH262" s="19"/>
      <c r="AI262" s="23" t="s">
        <v>354</v>
      </c>
      <c r="AJ262" s="19"/>
      <c r="AK262" s="19"/>
      <c r="AL262" s="162" t="s">
        <v>363</v>
      </c>
      <c r="AM262" s="162" t="s">
        <v>363</v>
      </c>
      <c r="AN262" s="162" t="s">
        <v>363</v>
      </c>
    </row>
    <row r="263">
      <c r="A263" s="95" t="s">
        <v>560</v>
      </c>
      <c r="B263" s="18" t="s">
        <v>561</v>
      </c>
      <c r="C263" s="19" t="s">
        <v>125</v>
      </c>
      <c r="D263" s="20" t="s">
        <v>547</v>
      </c>
      <c r="E263" s="21" t="s">
        <v>7</v>
      </c>
      <c r="F263" s="19" t="s">
        <v>8</v>
      </c>
      <c r="G263" s="23" t="s">
        <v>354</v>
      </c>
      <c r="H263" s="23">
        <v>210.0</v>
      </c>
      <c r="I263" s="23" t="s">
        <v>354</v>
      </c>
      <c r="J263" s="22" t="s">
        <v>354</v>
      </c>
      <c r="K263" s="22" t="s">
        <v>354</v>
      </c>
      <c r="L263" s="22">
        <v>0.0</v>
      </c>
      <c r="M263" s="22" t="s">
        <v>354</v>
      </c>
      <c r="N263" s="101" t="s">
        <v>17</v>
      </c>
      <c r="O263" s="101" t="s">
        <v>17</v>
      </c>
      <c r="P263" s="24" t="s">
        <v>127</v>
      </c>
      <c r="Q263" s="24" t="s">
        <v>126</v>
      </c>
      <c r="R263" s="24" t="s">
        <v>126</v>
      </c>
      <c r="S263" s="24" t="s">
        <v>126</v>
      </c>
      <c r="T263" s="24" t="s">
        <v>126</v>
      </c>
      <c r="U263" s="24" t="s">
        <v>126</v>
      </c>
      <c r="V263" s="18" t="s">
        <v>562</v>
      </c>
      <c r="W263" s="23"/>
      <c r="X263" s="23"/>
      <c r="Y263" s="23"/>
      <c r="Z263" s="23"/>
      <c r="AA263" s="19"/>
      <c r="AB263" s="22" t="s">
        <v>354</v>
      </c>
      <c r="AC263" s="19"/>
      <c r="AD263" s="19"/>
      <c r="AE263" s="19"/>
      <c r="AF263" s="23">
        <v>0.0</v>
      </c>
      <c r="AG263" s="23" t="s">
        <v>354</v>
      </c>
      <c r="AH263" s="19"/>
      <c r="AI263" s="23" t="s">
        <v>354</v>
      </c>
      <c r="AJ263" s="19"/>
      <c r="AK263" s="19"/>
      <c r="AL263" s="19" t="s">
        <v>356</v>
      </c>
      <c r="AM263" s="19" t="s">
        <v>356</v>
      </c>
      <c r="AN263" s="19" t="s">
        <v>356</v>
      </c>
    </row>
    <row r="264">
      <c r="A264" s="95" t="s">
        <v>560</v>
      </c>
      <c r="B264" s="18" t="s">
        <v>561</v>
      </c>
      <c r="C264" s="19" t="s">
        <v>125</v>
      </c>
      <c r="D264" s="20" t="s">
        <v>547</v>
      </c>
      <c r="E264" s="21" t="s">
        <v>7</v>
      </c>
      <c r="F264" s="19" t="s">
        <v>8</v>
      </c>
      <c r="G264" s="23">
        <v>122.0</v>
      </c>
      <c r="H264" s="23">
        <v>225.0</v>
      </c>
      <c r="I264" s="23" t="s">
        <v>354</v>
      </c>
      <c r="J264" s="22" t="s">
        <v>354</v>
      </c>
      <c r="K264" s="22" t="s">
        <v>354</v>
      </c>
      <c r="L264" s="22">
        <v>0.0</v>
      </c>
      <c r="M264" s="22" t="s">
        <v>354</v>
      </c>
      <c r="N264" s="101" t="s">
        <v>17</v>
      </c>
      <c r="O264" s="101" t="s">
        <v>17</v>
      </c>
      <c r="P264" s="24" t="s">
        <v>127</v>
      </c>
      <c r="Q264" s="24" t="s">
        <v>126</v>
      </c>
      <c r="R264" s="24" t="s">
        <v>126</v>
      </c>
      <c r="S264" s="24" t="s">
        <v>126</v>
      </c>
      <c r="T264" s="24" t="s">
        <v>126</v>
      </c>
      <c r="U264" s="24" t="s">
        <v>126</v>
      </c>
      <c r="V264" s="18" t="s">
        <v>562</v>
      </c>
      <c r="W264" s="18" t="s">
        <v>563</v>
      </c>
      <c r="X264" s="23"/>
      <c r="Y264" s="23"/>
      <c r="Z264" s="23"/>
      <c r="AA264" s="19"/>
      <c r="AB264" s="22" t="s">
        <v>354</v>
      </c>
      <c r="AC264" s="19"/>
      <c r="AD264" s="19"/>
      <c r="AE264" s="19"/>
      <c r="AF264" s="23">
        <v>0.0</v>
      </c>
      <c r="AG264" s="23" t="s">
        <v>354</v>
      </c>
      <c r="AH264" s="19"/>
      <c r="AI264" s="23" t="s">
        <v>354</v>
      </c>
      <c r="AJ264" s="19"/>
      <c r="AK264" s="19"/>
      <c r="AL264" s="19" t="s">
        <v>356</v>
      </c>
      <c r="AM264" s="19" t="s">
        <v>356</v>
      </c>
      <c r="AN264" s="19" t="s">
        <v>356</v>
      </c>
    </row>
    <row r="265">
      <c r="A265" s="95" t="s">
        <v>560</v>
      </c>
      <c r="B265" s="18" t="s">
        <v>561</v>
      </c>
      <c r="C265" s="19" t="s">
        <v>125</v>
      </c>
      <c r="D265" s="20" t="s">
        <v>547</v>
      </c>
      <c r="E265" s="21" t="s">
        <v>7</v>
      </c>
      <c r="F265" s="19" t="s">
        <v>8</v>
      </c>
      <c r="G265" s="23" t="s">
        <v>354</v>
      </c>
      <c r="H265" s="23" t="s">
        <v>354</v>
      </c>
      <c r="I265" s="23" t="s">
        <v>354</v>
      </c>
      <c r="J265" s="22" t="s">
        <v>354</v>
      </c>
      <c r="K265" s="22" t="s">
        <v>354</v>
      </c>
      <c r="L265" s="41">
        <v>0.0</v>
      </c>
      <c r="M265" s="41" t="s">
        <v>354</v>
      </c>
      <c r="N265" s="101" t="s">
        <v>17</v>
      </c>
      <c r="O265" s="101" t="s">
        <v>17</v>
      </c>
      <c r="P265" s="24" t="s">
        <v>127</v>
      </c>
      <c r="Q265" s="24" t="s">
        <v>126</v>
      </c>
      <c r="R265" s="24" t="s">
        <v>126</v>
      </c>
      <c r="S265" s="24" t="s">
        <v>126</v>
      </c>
      <c r="T265" s="24" t="s">
        <v>126</v>
      </c>
      <c r="U265" s="24" t="s">
        <v>126</v>
      </c>
      <c r="V265" s="18" t="s">
        <v>562</v>
      </c>
      <c r="W265" s="18" t="s">
        <v>563</v>
      </c>
      <c r="X265" s="18" t="s">
        <v>562</v>
      </c>
      <c r="Y265" s="23"/>
      <c r="Z265" s="23"/>
      <c r="AA265" s="19"/>
      <c r="AB265" s="41" t="s">
        <v>371</v>
      </c>
      <c r="AC265" s="19"/>
      <c r="AD265" s="19"/>
      <c r="AE265" s="19"/>
      <c r="AF265" s="23">
        <v>0.0</v>
      </c>
      <c r="AG265" s="23" t="s">
        <v>354</v>
      </c>
      <c r="AH265" s="19"/>
      <c r="AI265" s="23" t="s">
        <v>354</v>
      </c>
      <c r="AJ265" s="23"/>
      <c r="AK265" s="23"/>
      <c r="AL265" s="116" t="s">
        <v>407</v>
      </c>
      <c r="AM265" s="89" t="s">
        <v>356</v>
      </c>
      <c r="AN265" s="67" t="s">
        <v>356</v>
      </c>
    </row>
    <row r="266">
      <c r="A266" s="95" t="s">
        <v>560</v>
      </c>
      <c r="B266" s="18" t="s">
        <v>561</v>
      </c>
      <c r="C266" s="19" t="s">
        <v>125</v>
      </c>
      <c r="D266" s="20" t="s">
        <v>547</v>
      </c>
      <c r="E266" s="21" t="s">
        <v>7</v>
      </c>
      <c r="F266" s="19" t="s">
        <v>8</v>
      </c>
      <c r="G266" s="23" t="s">
        <v>354</v>
      </c>
      <c r="H266" s="23" t="s">
        <v>354</v>
      </c>
      <c r="I266" s="23" t="s">
        <v>354</v>
      </c>
      <c r="J266" s="22" t="s">
        <v>354</v>
      </c>
      <c r="K266" s="22" t="s">
        <v>354</v>
      </c>
      <c r="L266" s="41">
        <v>0.0</v>
      </c>
      <c r="M266" s="41" t="s">
        <v>354</v>
      </c>
      <c r="N266" s="101" t="s">
        <v>17</v>
      </c>
      <c r="O266" s="101" t="s">
        <v>17</v>
      </c>
      <c r="P266" s="24" t="s">
        <v>127</v>
      </c>
      <c r="Q266" s="24" t="s">
        <v>126</v>
      </c>
      <c r="R266" s="24" t="s">
        <v>126</v>
      </c>
      <c r="S266" s="24" t="s">
        <v>126</v>
      </c>
      <c r="T266" s="24" t="s">
        <v>126</v>
      </c>
      <c r="U266" s="24" t="s">
        <v>126</v>
      </c>
      <c r="V266" s="18" t="s">
        <v>562</v>
      </c>
      <c r="W266" s="18" t="s">
        <v>563</v>
      </c>
      <c r="X266" s="18" t="s">
        <v>562</v>
      </c>
      <c r="Y266" s="18" t="s">
        <v>562</v>
      </c>
      <c r="Z266" s="23"/>
      <c r="AA266" s="19"/>
      <c r="AB266" s="41" t="s">
        <v>371</v>
      </c>
      <c r="AC266" s="19"/>
      <c r="AD266" s="19"/>
      <c r="AE266" s="19"/>
      <c r="AF266" s="23">
        <v>0.0</v>
      </c>
      <c r="AG266" s="23" t="s">
        <v>354</v>
      </c>
      <c r="AH266" s="19"/>
      <c r="AI266" s="23" t="s">
        <v>354</v>
      </c>
      <c r="AJ266" s="19"/>
      <c r="AK266" s="19"/>
      <c r="AL266" s="19" t="s">
        <v>356</v>
      </c>
      <c r="AM266" s="19" t="s">
        <v>356</v>
      </c>
      <c r="AN266" s="19" t="s">
        <v>356</v>
      </c>
    </row>
    <row r="267">
      <c r="A267" s="95" t="s">
        <v>560</v>
      </c>
      <c r="B267" s="18" t="s">
        <v>561</v>
      </c>
      <c r="C267" s="19" t="s">
        <v>125</v>
      </c>
      <c r="D267" s="20" t="s">
        <v>547</v>
      </c>
      <c r="E267" s="21" t="s">
        <v>7</v>
      </c>
      <c r="F267" s="19" t="s">
        <v>8</v>
      </c>
      <c r="G267" s="23" t="s">
        <v>354</v>
      </c>
      <c r="H267" s="23" t="s">
        <v>354</v>
      </c>
      <c r="I267" s="23" t="s">
        <v>354</v>
      </c>
      <c r="J267" s="22" t="s">
        <v>354</v>
      </c>
      <c r="K267" s="22" t="s">
        <v>354</v>
      </c>
      <c r="L267" s="41">
        <v>0.0</v>
      </c>
      <c r="M267" s="41" t="s">
        <v>354</v>
      </c>
      <c r="N267" s="101" t="s">
        <v>17</v>
      </c>
      <c r="O267" s="101" t="s">
        <v>17</v>
      </c>
      <c r="P267" s="24" t="s">
        <v>127</v>
      </c>
      <c r="Q267" s="24" t="s">
        <v>126</v>
      </c>
      <c r="R267" s="24" t="s">
        <v>126</v>
      </c>
      <c r="S267" s="24" t="s">
        <v>126</v>
      </c>
      <c r="T267" s="24" t="s">
        <v>126</v>
      </c>
      <c r="U267" s="24" t="s">
        <v>126</v>
      </c>
      <c r="V267" s="18" t="s">
        <v>562</v>
      </c>
      <c r="W267" s="18" t="s">
        <v>563</v>
      </c>
      <c r="X267" s="18" t="s">
        <v>562</v>
      </c>
      <c r="Y267" s="18" t="s">
        <v>562</v>
      </c>
      <c r="Z267" s="18" t="s">
        <v>562</v>
      </c>
      <c r="AA267" s="19"/>
      <c r="AB267" s="41" t="s">
        <v>371</v>
      </c>
      <c r="AC267" s="19"/>
      <c r="AD267" s="19"/>
      <c r="AE267" s="19"/>
      <c r="AF267" s="33">
        <v>0.0</v>
      </c>
      <c r="AG267" s="23" t="s">
        <v>356</v>
      </c>
      <c r="AH267" s="23"/>
      <c r="AI267" s="23" t="s">
        <v>356</v>
      </c>
      <c r="AJ267" s="23" t="s">
        <v>356</v>
      </c>
      <c r="AK267" s="23" t="s">
        <v>356</v>
      </c>
      <c r="AL267" s="43" t="s">
        <v>361</v>
      </c>
      <c r="AM267" s="19" t="s">
        <v>356</v>
      </c>
      <c r="AN267" s="23" t="s">
        <v>356</v>
      </c>
    </row>
    <row r="268">
      <c r="A268" s="95" t="s">
        <v>560</v>
      </c>
      <c r="B268" s="18" t="s">
        <v>561</v>
      </c>
      <c r="C268" s="19" t="s">
        <v>125</v>
      </c>
      <c r="D268" s="20" t="s">
        <v>547</v>
      </c>
      <c r="E268" s="21" t="s">
        <v>7</v>
      </c>
      <c r="F268" s="19" t="s">
        <v>8</v>
      </c>
      <c r="G268" s="23" t="s">
        <v>354</v>
      </c>
      <c r="H268" s="23" t="s">
        <v>354</v>
      </c>
      <c r="I268" s="23" t="s">
        <v>354</v>
      </c>
      <c r="J268" s="22" t="s">
        <v>354</v>
      </c>
      <c r="K268" s="22" t="s">
        <v>354</v>
      </c>
      <c r="L268" s="41">
        <v>0.0</v>
      </c>
      <c r="M268" s="41" t="s">
        <v>354</v>
      </c>
      <c r="N268" s="101" t="s">
        <v>17</v>
      </c>
      <c r="O268" s="101" t="s">
        <v>17</v>
      </c>
      <c r="P268" s="24" t="s">
        <v>127</v>
      </c>
      <c r="Q268" s="24" t="s">
        <v>126</v>
      </c>
      <c r="R268" s="24" t="s">
        <v>126</v>
      </c>
      <c r="S268" s="24" t="s">
        <v>126</v>
      </c>
      <c r="T268" s="24" t="s">
        <v>126</v>
      </c>
      <c r="U268" s="24" t="s">
        <v>126</v>
      </c>
      <c r="V268" s="18" t="s">
        <v>562</v>
      </c>
      <c r="W268" s="18" t="s">
        <v>563</v>
      </c>
      <c r="X268" s="18" t="s">
        <v>562</v>
      </c>
      <c r="Y268" s="18" t="s">
        <v>562</v>
      </c>
      <c r="Z268" s="18" t="s">
        <v>562</v>
      </c>
      <c r="AA268" s="18" t="s">
        <v>562</v>
      </c>
      <c r="AB268" s="41" t="s">
        <v>371</v>
      </c>
      <c r="AC268" s="19"/>
      <c r="AD268" s="19"/>
      <c r="AE268" s="19"/>
      <c r="AF268" s="23">
        <v>0.0</v>
      </c>
      <c r="AG268" s="23" t="s">
        <v>354</v>
      </c>
      <c r="AH268" s="19"/>
      <c r="AI268" s="23" t="s">
        <v>354</v>
      </c>
      <c r="AJ268" s="19"/>
      <c r="AK268" s="19"/>
      <c r="AL268" s="19" t="s">
        <v>356</v>
      </c>
      <c r="AM268" s="19" t="s">
        <v>356</v>
      </c>
      <c r="AN268" s="19" t="s">
        <v>356</v>
      </c>
    </row>
    <row r="269">
      <c r="A269" s="45" t="s">
        <v>129</v>
      </c>
      <c r="B269" s="18" t="s">
        <v>564</v>
      </c>
      <c r="C269" s="46" t="s">
        <v>128</v>
      </c>
      <c r="D269" s="47" t="s">
        <v>547</v>
      </c>
      <c r="E269" s="48" t="s">
        <v>7</v>
      </c>
      <c r="F269" s="46" t="s">
        <v>8</v>
      </c>
      <c r="G269" s="49">
        <v>122.0</v>
      </c>
      <c r="H269" s="49">
        <v>295.0</v>
      </c>
      <c r="I269" s="57" t="s">
        <v>354</v>
      </c>
      <c r="J269" s="57" t="s">
        <v>354</v>
      </c>
      <c r="K269" s="57" t="s">
        <v>354</v>
      </c>
      <c r="L269" s="57">
        <v>0.0</v>
      </c>
      <c r="M269" s="57" t="s">
        <v>354</v>
      </c>
      <c r="N269" s="101" t="s">
        <v>17</v>
      </c>
      <c r="O269" s="101" t="s">
        <v>17</v>
      </c>
      <c r="P269" s="24" t="s">
        <v>130</v>
      </c>
      <c r="Q269" s="46"/>
      <c r="R269" s="46"/>
      <c r="S269" s="46"/>
      <c r="T269" s="46"/>
      <c r="U269" s="46"/>
      <c r="V269" s="46"/>
      <c r="W269" s="46"/>
      <c r="X269" s="46"/>
      <c r="Y269" s="46"/>
      <c r="Z269" s="46"/>
      <c r="AA269" s="46"/>
      <c r="AB269" s="57" t="s">
        <v>354</v>
      </c>
      <c r="AC269" s="46">
        <v>36328.0</v>
      </c>
      <c r="AD269" s="46" t="s">
        <v>565</v>
      </c>
      <c r="AE269" s="46"/>
      <c r="AF269" s="49">
        <v>0.0</v>
      </c>
      <c r="AG269" s="49" t="s">
        <v>356</v>
      </c>
      <c r="AH269" s="46"/>
      <c r="AI269" s="49" t="s">
        <v>356</v>
      </c>
      <c r="AJ269" s="46"/>
      <c r="AK269" s="46"/>
      <c r="AL269" s="49" t="s">
        <v>356</v>
      </c>
      <c r="AM269" s="49" t="s">
        <v>356</v>
      </c>
      <c r="AN269" s="49" t="s">
        <v>356</v>
      </c>
    </row>
    <row r="270">
      <c r="A270" s="45" t="s">
        <v>129</v>
      </c>
      <c r="B270" s="18" t="s">
        <v>564</v>
      </c>
      <c r="C270" s="46" t="s">
        <v>128</v>
      </c>
      <c r="D270" s="47" t="s">
        <v>547</v>
      </c>
      <c r="E270" s="48" t="s">
        <v>7</v>
      </c>
      <c r="F270" s="46" t="s">
        <v>8</v>
      </c>
      <c r="G270" s="57" t="s">
        <v>354</v>
      </c>
      <c r="H270" s="49">
        <v>225.0</v>
      </c>
      <c r="I270" s="57" t="s">
        <v>354</v>
      </c>
      <c r="J270" s="57" t="s">
        <v>354</v>
      </c>
      <c r="K270" s="57" t="s">
        <v>354</v>
      </c>
      <c r="L270" s="57">
        <v>0.0</v>
      </c>
      <c r="M270" s="57" t="s">
        <v>354</v>
      </c>
      <c r="N270" s="101" t="s">
        <v>17</v>
      </c>
      <c r="O270" s="101" t="s">
        <v>17</v>
      </c>
      <c r="P270" s="24" t="s">
        <v>130</v>
      </c>
      <c r="Q270" s="24" t="s">
        <v>129</v>
      </c>
      <c r="R270" s="46"/>
      <c r="S270" s="46"/>
      <c r="T270" s="46"/>
      <c r="U270" s="46"/>
      <c r="V270" s="46"/>
      <c r="W270" s="46"/>
      <c r="X270" s="46"/>
      <c r="Y270" s="46"/>
      <c r="Z270" s="46"/>
      <c r="AA270" s="46"/>
      <c r="AB270" s="57" t="s">
        <v>354</v>
      </c>
      <c r="AC270" s="46">
        <v>36610.0</v>
      </c>
      <c r="AD270" s="46"/>
      <c r="AE270" s="46"/>
      <c r="AF270" s="55">
        <v>30.79</v>
      </c>
      <c r="AG270" s="49" t="s">
        <v>356</v>
      </c>
      <c r="AH270" s="46"/>
      <c r="AI270" s="49" t="s">
        <v>356</v>
      </c>
      <c r="AJ270" s="46"/>
      <c r="AK270" s="46"/>
      <c r="AL270" s="109" t="s">
        <v>420</v>
      </c>
      <c r="AM270" s="120" t="s">
        <v>356</v>
      </c>
      <c r="AN270" s="37" t="s">
        <v>363</v>
      </c>
    </row>
    <row r="271">
      <c r="A271" s="45" t="s">
        <v>129</v>
      </c>
      <c r="B271" s="18" t="s">
        <v>564</v>
      </c>
      <c r="C271" s="46" t="s">
        <v>128</v>
      </c>
      <c r="D271" s="47" t="s">
        <v>547</v>
      </c>
      <c r="E271" s="48" t="s">
        <v>7</v>
      </c>
      <c r="F271" s="46" t="s">
        <v>8</v>
      </c>
      <c r="G271" s="57" t="s">
        <v>354</v>
      </c>
      <c r="H271" s="49">
        <v>240.0</v>
      </c>
      <c r="I271" s="57" t="s">
        <v>354</v>
      </c>
      <c r="J271" s="57" t="s">
        <v>354</v>
      </c>
      <c r="K271" s="57" t="s">
        <v>354</v>
      </c>
      <c r="L271" s="57">
        <v>0.0</v>
      </c>
      <c r="M271" s="57" t="s">
        <v>354</v>
      </c>
      <c r="N271" s="101" t="s">
        <v>17</v>
      </c>
      <c r="O271" s="101" t="s">
        <v>17</v>
      </c>
      <c r="P271" s="24" t="s">
        <v>130</v>
      </c>
      <c r="Q271" s="24" t="s">
        <v>129</v>
      </c>
      <c r="R271" s="24" t="s">
        <v>129</v>
      </c>
      <c r="S271" s="46"/>
      <c r="T271" s="46"/>
      <c r="U271" s="46"/>
      <c r="V271" s="46"/>
      <c r="W271" s="46"/>
      <c r="X271" s="46"/>
      <c r="Y271" s="46"/>
      <c r="Z271" s="46"/>
      <c r="AA271" s="46"/>
      <c r="AB271" s="57" t="s">
        <v>354</v>
      </c>
      <c r="AC271" s="46"/>
      <c r="AD271" s="46"/>
      <c r="AE271" s="46"/>
      <c r="AF271" s="49">
        <v>0.0</v>
      </c>
      <c r="AG271" s="49" t="s">
        <v>356</v>
      </c>
      <c r="AH271" s="46"/>
      <c r="AI271" s="49" t="s">
        <v>356</v>
      </c>
      <c r="AJ271" s="46"/>
      <c r="AK271" s="46"/>
      <c r="AL271" s="92" t="s">
        <v>361</v>
      </c>
      <c r="AM271" s="46" t="s">
        <v>356</v>
      </c>
      <c r="AN271" s="54" t="s">
        <v>356</v>
      </c>
    </row>
    <row r="272">
      <c r="A272" s="45" t="s">
        <v>129</v>
      </c>
      <c r="B272" s="18" t="s">
        <v>564</v>
      </c>
      <c r="C272" s="46" t="s">
        <v>128</v>
      </c>
      <c r="D272" s="47" t="s">
        <v>547</v>
      </c>
      <c r="E272" s="48" t="s">
        <v>7</v>
      </c>
      <c r="F272" s="46" t="s">
        <v>8</v>
      </c>
      <c r="G272" s="57" t="s">
        <v>354</v>
      </c>
      <c r="H272" s="49">
        <v>265.0</v>
      </c>
      <c r="I272" s="57" t="s">
        <v>354</v>
      </c>
      <c r="J272" s="57" t="s">
        <v>354</v>
      </c>
      <c r="K272" s="57" t="s">
        <v>354</v>
      </c>
      <c r="L272" s="57">
        <v>0.0</v>
      </c>
      <c r="M272" s="57" t="s">
        <v>354</v>
      </c>
      <c r="N272" s="101" t="s">
        <v>17</v>
      </c>
      <c r="O272" s="101" t="s">
        <v>17</v>
      </c>
      <c r="P272" s="24" t="s">
        <v>130</v>
      </c>
      <c r="Q272" s="24" t="s">
        <v>129</v>
      </c>
      <c r="R272" s="24" t="s">
        <v>129</v>
      </c>
      <c r="S272" s="24" t="s">
        <v>129</v>
      </c>
      <c r="T272" s="46"/>
      <c r="U272" s="46"/>
      <c r="V272" s="46"/>
      <c r="W272" s="46"/>
      <c r="X272" s="46"/>
      <c r="Y272" s="46"/>
      <c r="Z272" s="46"/>
      <c r="AA272" s="46"/>
      <c r="AB272" s="57" t="s">
        <v>354</v>
      </c>
      <c r="AC272" s="46"/>
      <c r="AD272" s="46"/>
      <c r="AE272" s="46"/>
      <c r="AF272" s="49">
        <v>0.0</v>
      </c>
      <c r="AG272" s="49" t="s">
        <v>354</v>
      </c>
      <c r="AH272" s="46"/>
      <c r="AI272" s="49" t="s">
        <v>354</v>
      </c>
      <c r="AJ272" s="46"/>
      <c r="AK272" s="46"/>
      <c r="AL272" s="57" t="s">
        <v>356</v>
      </c>
      <c r="AM272" s="57" t="s">
        <v>356</v>
      </c>
      <c r="AN272" s="57" t="s">
        <v>356</v>
      </c>
    </row>
    <row r="273">
      <c r="A273" s="45" t="s">
        <v>129</v>
      </c>
      <c r="B273" s="18" t="s">
        <v>564</v>
      </c>
      <c r="C273" s="46" t="s">
        <v>128</v>
      </c>
      <c r="D273" s="47" t="s">
        <v>547</v>
      </c>
      <c r="E273" s="48" t="s">
        <v>7</v>
      </c>
      <c r="F273" s="46" t="s">
        <v>8</v>
      </c>
      <c r="G273" s="57" t="s">
        <v>354</v>
      </c>
      <c r="H273" s="49">
        <v>220.0</v>
      </c>
      <c r="I273" s="57" t="s">
        <v>354</v>
      </c>
      <c r="J273" s="57" t="s">
        <v>354</v>
      </c>
      <c r="K273" s="57" t="s">
        <v>354</v>
      </c>
      <c r="L273" s="57">
        <v>0.0</v>
      </c>
      <c r="M273" s="57" t="s">
        <v>354</v>
      </c>
      <c r="N273" s="101" t="s">
        <v>17</v>
      </c>
      <c r="O273" s="101" t="s">
        <v>17</v>
      </c>
      <c r="P273" s="24" t="s">
        <v>130</v>
      </c>
      <c r="Q273" s="24" t="s">
        <v>129</v>
      </c>
      <c r="R273" s="24" t="s">
        <v>129</v>
      </c>
      <c r="S273" s="24" t="s">
        <v>129</v>
      </c>
      <c r="T273" s="24" t="s">
        <v>129</v>
      </c>
      <c r="U273" s="46"/>
      <c r="V273" s="46"/>
      <c r="W273" s="46"/>
      <c r="X273" s="46"/>
      <c r="Y273" s="46"/>
      <c r="Z273" s="46"/>
      <c r="AA273" s="46"/>
      <c r="AB273" s="57" t="s">
        <v>354</v>
      </c>
      <c r="AC273" s="46"/>
      <c r="AD273" s="46"/>
      <c r="AE273" s="46"/>
      <c r="AF273" s="49">
        <v>0.0</v>
      </c>
      <c r="AG273" s="49" t="s">
        <v>354</v>
      </c>
      <c r="AH273" s="46"/>
      <c r="AI273" s="49" t="s">
        <v>354</v>
      </c>
      <c r="AJ273" s="46"/>
      <c r="AK273" s="46"/>
      <c r="AL273" s="59" t="s">
        <v>357</v>
      </c>
      <c r="AM273" s="80" t="s">
        <v>356</v>
      </c>
      <c r="AN273" s="80" t="s">
        <v>356</v>
      </c>
    </row>
    <row r="274">
      <c r="A274" s="45" t="s">
        <v>129</v>
      </c>
      <c r="B274" s="18" t="s">
        <v>564</v>
      </c>
      <c r="C274" s="46" t="s">
        <v>128</v>
      </c>
      <c r="D274" s="47" t="s">
        <v>547</v>
      </c>
      <c r="E274" s="48" t="s">
        <v>7</v>
      </c>
      <c r="F274" s="46" t="s">
        <v>8</v>
      </c>
      <c r="G274" s="57" t="s">
        <v>354</v>
      </c>
      <c r="H274" s="49">
        <v>230.0</v>
      </c>
      <c r="I274" s="57" t="s">
        <v>354</v>
      </c>
      <c r="J274" s="57" t="s">
        <v>354</v>
      </c>
      <c r="K274" s="57" t="s">
        <v>354</v>
      </c>
      <c r="L274" s="57">
        <v>0.0</v>
      </c>
      <c r="M274" s="57" t="s">
        <v>354</v>
      </c>
      <c r="N274" s="101" t="s">
        <v>17</v>
      </c>
      <c r="O274" s="101" t="s">
        <v>17</v>
      </c>
      <c r="P274" s="24" t="s">
        <v>130</v>
      </c>
      <c r="Q274" s="24" t="s">
        <v>129</v>
      </c>
      <c r="R274" s="24" t="s">
        <v>129</v>
      </c>
      <c r="S274" s="24" t="s">
        <v>129</v>
      </c>
      <c r="T274" s="24" t="s">
        <v>129</v>
      </c>
      <c r="U274" s="24" t="s">
        <v>129</v>
      </c>
      <c r="V274" s="46"/>
      <c r="W274" s="46"/>
      <c r="X274" s="46"/>
      <c r="Y274" s="46"/>
      <c r="Z274" s="46"/>
      <c r="AA274" s="46"/>
      <c r="AB274" s="57" t="s">
        <v>354</v>
      </c>
      <c r="AC274" s="46"/>
      <c r="AD274" s="46"/>
      <c r="AE274" s="46"/>
      <c r="AF274" s="49">
        <v>0.0</v>
      </c>
      <c r="AG274" s="49" t="s">
        <v>354</v>
      </c>
      <c r="AH274" s="46"/>
      <c r="AI274" s="49" t="s">
        <v>354</v>
      </c>
      <c r="AJ274" s="46"/>
      <c r="AK274" s="46"/>
      <c r="AL274" s="80" t="s">
        <v>356</v>
      </c>
      <c r="AM274" s="80" t="s">
        <v>356</v>
      </c>
      <c r="AN274" s="80" t="s">
        <v>356</v>
      </c>
    </row>
    <row r="275">
      <c r="A275" s="45" t="s">
        <v>129</v>
      </c>
      <c r="B275" s="18" t="s">
        <v>564</v>
      </c>
      <c r="C275" s="46" t="s">
        <v>128</v>
      </c>
      <c r="D275" s="47" t="s">
        <v>547</v>
      </c>
      <c r="E275" s="48" t="s">
        <v>7</v>
      </c>
      <c r="F275" s="46" t="s">
        <v>8</v>
      </c>
      <c r="G275" s="57" t="s">
        <v>354</v>
      </c>
      <c r="H275" s="49">
        <v>255.0</v>
      </c>
      <c r="I275" s="57" t="s">
        <v>354</v>
      </c>
      <c r="J275" s="57" t="s">
        <v>354</v>
      </c>
      <c r="K275" s="57" t="s">
        <v>354</v>
      </c>
      <c r="L275" s="57">
        <v>0.0</v>
      </c>
      <c r="M275" s="57" t="s">
        <v>354</v>
      </c>
      <c r="N275" s="101" t="s">
        <v>17</v>
      </c>
      <c r="O275" s="101" t="s">
        <v>17</v>
      </c>
      <c r="P275" s="24" t="s">
        <v>130</v>
      </c>
      <c r="Q275" s="24" t="s">
        <v>129</v>
      </c>
      <c r="R275" s="24" t="s">
        <v>129</v>
      </c>
      <c r="S275" s="24" t="s">
        <v>129</v>
      </c>
      <c r="T275" s="24" t="s">
        <v>129</v>
      </c>
      <c r="U275" s="24" t="s">
        <v>129</v>
      </c>
      <c r="V275" s="24" t="s">
        <v>129</v>
      </c>
      <c r="W275" s="46"/>
      <c r="X275" s="46"/>
      <c r="Y275" s="46"/>
      <c r="Z275" s="46"/>
      <c r="AA275" s="46"/>
      <c r="AB275" s="57" t="s">
        <v>354</v>
      </c>
      <c r="AC275" s="46"/>
      <c r="AD275" s="46"/>
      <c r="AE275" s="46"/>
      <c r="AF275" s="57">
        <v>0.0</v>
      </c>
      <c r="AG275" s="57" t="s">
        <v>354</v>
      </c>
      <c r="AH275" s="46"/>
      <c r="AI275" s="57" t="s">
        <v>354</v>
      </c>
      <c r="AJ275" s="46"/>
      <c r="AK275" s="46"/>
      <c r="AL275" s="46" t="s">
        <v>356</v>
      </c>
      <c r="AM275" s="46" t="s">
        <v>356</v>
      </c>
      <c r="AN275" s="46" t="s">
        <v>356</v>
      </c>
    </row>
    <row r="276">
      <c r="A276" s="45" t="s">
        <v>129</v>
      </c>
      <c r="B276" s="18" t="s">
        <v>564</v>
      </c>
      <c r="C276" s="46" t="s">
        <v>128</v>
      </c>
      <c r="D276" s="47" t="s">
        <v>547</v>
      </c>
      <c r="E276" s="48" t="s">
        <v>7</v>
      </c>
      <c r="F276" s="46" t="s">
        <v>8</v>
      </c>
      <c r="G276" s="57" t="s">
        <v>354</v>
      </c>
      <c r="H276" s="49">
        <v>275.0</v>
      </c>
      <c r="I276" s="57" t="s">
        <v>354</v>
      </c>
      <c r="J276" s="57" t="s">
        <v>354</v>
      </c>
      <c r="K276" s="57" t="s">
        <v>354</v>
      </c>
      <c r="L276" s="57">
        <v>0.0</v>
      </c>
      <c r="M276" s="57" t="s">
        <v>354</v>
      </c>
      <c r="N276" s="101" t="s">
        <v>17</v>
      </c>
      <c r="O276" s="101" t="s">
        <v>17</v>
      </c>
      <c r="P276" s="24" t="s">
        <v>130</v>
      </c>
      <c r="Q276" s="24" t="s">
        <v>129</v>
      </c>
      <c r="R276" s="24" t="s">
        <v>129</v>
      </c>
      <c r="S276" s="24" t="s">
        <v>129</v>
      </c>
      <c r="T276" s="24" t="s">
        <v>129</v>
      </c>
      <c r="U276" s="24" t="s">
        <v>129</v>
      </c>
      <c r="V276" s="24" t="s">
        <v>129</v>
      </c>
      <c r="W276" s="18" t="s">
        <v>566</v>
      </c>
      <c r="X276" s="46"/>
      <c r="Y276" s="46"/>
      <c r="Z276" s="46"/>
      <c r="AA276" s="46"/>
      <c r="AB276" s="41" t="s">
        <v>567</v>
      </c>
      <c r="AC276" s="46"/>
      <c r="AD276" s="46"/>
      <c r="AE276" s="46"/>
      <c r="AF276" s="57">
        <v>0.0</v>
      </c>
      <c r="AG276" s="57" t="s">
        <v>354</v>
      </c>
      <c r="AH276" s="46"/>
      <c r="AI276" s="57" t="s">
        <v>354</v>
      </c>
      <c r="AJ276" s="46"/>
      <c r="AK276" s="46"/>
      <c r="AL276" s="46" t="s">
        <v>356</v>
      </c>
      <c r="AM276" s="46" t="s">
        <v>356</v>
      </c>
      <c r="AN276" s="46" t="s">
        <v>356</v>
      </c>
    </row>
    <row r="277">
      <c r="A277" s="45" t="s">
        <v>129</v>
      </c>
      <c r="B277" s="18" t="s">
        <v>564</v>
      </c>
      <c r="C277" s="46" t="s">
        <v>128</v>
      </c>
      <c r="D277" s="47" t="s">
        <v>547</v>
      </c>
      <c r="E277" s="48" t="s">
        <v>7</v>
      </c>
      <c r="F277" s="46" t="s">
        <v>8</v>
      </c>
      <c r="G277" s="57" t="s">
        <v>354</v>
      </c>
      <c r="H277" s="57" t="s">
        <v>354</v>
      </c>
      <c r="I277" s="57" t="s">
        <v>354</v>
      </c>
      <c r="J277" s="57" t="s">
        <v>354</v>
      </c>
      <c r="K277" s="57" t="s">
        <v>354</v>
      </c>
      <c r="L277" s="41">
        <v>0.0</v>
      </c>
      <c r="M277" s="41" t="s">
        <v>568</v>
      </c>
      <c r="N277" s="101" t="s">
        <v>17</v>
      </c>
      <c r="O277" s="101" t="s">
        <v>17</v>
      </c>
      <c r="P277" s="24" t="s">
        <v>130</v>
      </c>
      <c r="Q277" s="24" t="s">
        <v>129</v>
      </c>
      <c r="R277" s="24" t="s">
        <v>129</v>
      </c>
      <c r="S277" s="24" t="s">
        <v>129</v>
      </c>
      <c r="T277" s="24" t="s">
        <v>129</v>
      </c>
      <c r="U277" s="24" t="s">
        <v>129</v>
      </c>
      <c r="V277" s="24" t="s">
        <v>129</v>
      </c>
      <c r="W277" s="18" t="s">
        <v>566</v>
      </c>
      <c r="X277" s="83" t="s">
        <v>129</v>
      </c>
      <c r="Y277" s="49"/>
      <c r="Z277" s="49"/>
      <c r="AA277" s="46"/>
      <c r="AB277" s="41" t="s">
        <v>569</v>
      </c>
      <c r="AC277" s="46"/>
      <c r="AD277" s="46"/>
      <c r="AE277" s="46"/>
      <c r="AF277" s="57">
        <v>0.0</v>
      </c>
      <c r="AG277" s="57" t="s">
        <v>354</v>
      </c>
      <c r="AH277" s="46"/>
      <c r="AI277" s="57" t="s">
        <v>354</v>
      </c>
      <c r="AJ277" s="50"/>
      <c r="AK277" s="49"/>
      <c r="AL277" s="46" t="s">
        <v>356</v>
      </c>
      <c r="AM277" s="46" t="s">
        <v>356</v>
      </c>
      <c r="AN277" s="75" t="s">
        <v>357</v>
      </c>
    </row>
    <row r="278">
      <c r="A278" s="45" t="s">
        <v>129</v>
      </c>
      <c r="B278" s="18" t="s">
        <v>564</v>
      </c>
      <c r="C278" s="46" t="s">
        <v>128</v>
      </c>
      <c r="D278" s="47" t="s">
        <v>547</v>
      </c>
      <c r="E278" s="48" t="s">
        <v>7</v>
      </c>
      <c r="F278" s="46" t="s">
        <v>8</v>
      </c>
      <c r="G278" s="57" t="s">
        <v>354</v>
      </c>
      <c r="H278" s="57" t="s">
        <v>354</v>
      </c>
      <c r="I278" s="57" t="s">
        <v>354</v>
      </c>
      <c r="J278" s="57" t="s">
        <v>354</v>
      </c>
      <c r="K278" s="57" t="s">
        <v>354</v>
      </c>
      <c r="L278" s="41">
        <v>0.0</v>
      </c>
      <c r="M278" s="41" t="s">
        <v>568</v>
      </c>
      <c r="N278" s="101" t="s">
        <v>17</v>
      </c>
      <c r="O278" s="101" t="s">
        <v>17</v>
      </c>
      <c r="P278" s="24" t="s">
        <v>130</v>
      </c>
      <c r="Q278" s="24" t="s">
        <v>129</v>
      </c>
      <c r="R278" s="24" t="s">
        <v>129</v>
      </c>
      <c r="S278" s="24" t="s">
        <v>129</v>
      </c>
      <c r="T278" s="24" t="s">
        <v>129</v>
      </c>
      <c r="U278" s="24" t="s">
        <v>129</v>
      </c>
      <c r="V278" s="24" t="s">
        <v>129</v>
      </c>
      <c r="W278" s="18" t="s">
        <v>566</v>
      </c>
      <c r="X278" s="83" t="s">
        <v>129</v>
      </c>
      <c r="Y278" s="18" t="s">
        <v>129</v>
      </c>
      <c r="Z278" s="49"/>
      <c r="AA278" s="46"/>
      <c r="AB278" s="41" t="s">
        <v>567</v>
      </c>
      <c r="AC278" s="46"/>
      <c r="AD278" s="46"/>
      <c r="AE278" s="46"/>
      <c r="AF278" s="57">
        <v>0.0</v>
      </c>
      <c r="AG278" s="57" t="s">
        <v>354</v>
      </c>
      <c r="AH278" s="46"/>
      <c r="AI278" s="57" t="s">
        <v>354</v>
      </c>
      <c r="AJ278" s="50"/>
      <c r="AK278" s="49"/>
      <c r="AL278" s="46" t="s">
        <v>356</v>
      </c>
      <c r="AM278" s="46" t="s">
        <v>356</v>
      </c>
      <c r="AN278" s="133" t="s">
        <v>420</v>
      </c>
    </row>
    <row r="279">
      <c r="A279" s="45" t="s">
        <v>129</v>
      </c>
      <c r="B279" s="18" t="s">
        <v>564</v>
      </c>
      <c r="C279" s="46" t="s">
        <v>128</v>
      </c>
      <c r="D279" s="47" t="s">
        <v>547</v>
      </c>
      <c r="E279" s="48" t="s">
        <v>7</v>
      </c>
      <c r="F279" s="46" t="s">
        <v>8</v>
      </c>
      <c r="G279" s="57" t="s">
        <v>354</v>
      </c>
      <c r="H279" s="57" t="s">
        <v>354</v>
      </c>
      <c r="I279" s="57" t="s">
        <v>354</v>
      </c>
      <c r="J279" s="57" t="s">
        <v>354</v>
      </c>
      <c r="K279" s="57" t="s">
        <v>354</v>
      </c>
      <c r="L279" s="78">
        <v>1.0</v>
      </c>
      <c r="M279" s="78" t="s">
        <v>568</v>
      </c>
      <c r="N279" s="101" t="s">
        <v>17</v>
      </c>
      <c r="O279" s="101" t="s">
        <v>17</v>
      </c>
      <c r="P279" s="24" t="s">
        <v>130</v>
      </c>
      <c r="Q279" s="24" t="s">
        <v>129</v>
      </c>
      <c r="R279" s="24" t="s">
        <v>129</v>
      </c>
      <c r="S279" s="24" t="s">
        <v>129</v>
      </c>
      <c r="T279" s="24" t="s">
        <v>129</v>
      </c>
      <c r="U279" s="24" t="s">
        <v>129</v>
      </c>
      <c r="V279" s="24" t="s">
        <v>129</v>
      </c>
      <c r="W279" s="18" t="s">
        <v>566</v>
      </c>
      <c r="X279" s="83" t="s">
        <v>129</v>
      </c>
      <c r="Y279" s="18" t="s">
        <v>129</v>
      </c>
      <c r="Z279" s="18" t="s">
        <v>570</v>
      </c>
      <c r="AA279" s="44" t="s">
        <v>373</v>
      </c>
      <c r="AB279" s="78" t="s">
        <v>571</v>
      </c>
      <c r="AC279" s="46"/>
      <c r="AD279" s="46"/>
      <c r="AE279" s="46"/>
      <c r="AF279" s="57">
        <v>0.0</v>
      </c>
      <c r="AG279" s="49" t="s">
        <v>356</v>
      </c>
      <c r="AH279" s="46"/>
      <c r="AI279" s="49" t="s">
        <v>356</v>
      </c>
      <c r="AJ279" s="50" t="s">
        <v>361</v>
      </c>
      <c r="AK279" s="49" t="s">
        <v>356</v>
      </c>
      <c r="AL279" s="49" t="s">
        <v>356</v>
      </c>
      <c r="AM279" s="92" t="s">
        <v>361</v>
      </c>
      <c r="AN279" s="49" t="s">
        <v>356</v>
      </c>
    </row>
    <row r="280">
      <c r="A280" s="95" t="s">
        <v>572</v>
      </c>
      <c r="B280" s="18" t="s">
        <v>573</v>
      </c>
      <c r="C280" s="19" t="s">
        <v>131</v>
      </c>
      <c r="D280" s="20" t="s">
        <v>547</v>
      </c>
      <c r="E280" s="21" t="s">
        <v>7</v>
      </c>
      <c r="F280" s="19" t="s">
        <v>67</v>
      </c>
      <c r="G280" s="23">
        <v>120.0</v>
      </c>
      <c r="H280" s="23">
        <v>255.0</v>
      </c>
      <c r="I280" s="23" t="s">
        <v>574</v>
      </c>
      <c r="J280" s="19">
        <v>26.0</v>
      </c>
      <c r="K280" s="23">
        <v>1.0</v>
      </c>
      <c r="L280" s="23">
        <v>0.0</v>
      </c>
      <c r="M280" s="22" t="s">
        <v>354</v>
      </c>
      <c r="N280" s="101" t="s">
        <v>17</v>
      </c>
      <c r="O280" s="101" t="s">
        <v>17</v>
      </c>
      <c r="P280" s="24" t="s">
        <v>133</v>
      </c>
      <c r="Q280" s="19"/>
      <c r="R280" s="19"/>
      <c r="S280" s="19"/>
      <c r="T280" s="19"/>
      <c r="U280" s="19"/>
      <c r="V280" s="19"/>
      <c r="W280" s="19"/>
      <c r="X280" s="19"/>
      <c r="Y280" s="19"/>
      <c r="Z280" s="19"/>
      <c r="AA280" s="19"/>
      <c r="AB280" s="23" t="s">
        <v>575</v>
      </c>
      <c r="AC280" s="19">
        <v>36329.0</v>
      </c>
      <c r="AD280" s="19"/>
      <c r="AE280" s="19"/>
      <c r="AF280" s="23">
        <v>0.0</v>
      </c>
      <c r="AG280" s="23" t="s">
        <v>356</v>
      </c>
      <c r="AH280" s="19"/>
      <c r="AI280" s="23" t="s">
        <v>356</v>
      </c>
      <c r="AJ280" s="19"/>
      <c r="AK280" s="19"/>
      <c r="AL280" s="38" t="s">
        <v>357</v>
      </c>
      <c r="AM280" s="38" t="s">
        <v>357</v>
      </c>
      <c r="AN280" s="38" t="s">
        <v>357</v>
      </c>
    </row>
    <row r="281">
      <c r="A281" s="95" t="s">
        <v>572</v>
      </c>
      <c r="B281" s="18" t="s">
        <v>573</v>
      </c>
      <c r="C281" s="19" t="s">
        <v>131</v>
      </c>
      <c r="D281" s="20" t="s">
        <v>547</v>
      </c>
      <c r="E281" s="21" t="s">
        <v>7</v>
      </c>
      <c r="F281" s="19" t="s">
        <v>67</v>
      </c>
      <c r="G281" s="23" t="s">
        <v>354</v>
      </c>
      <c r="H281" s="23">
        <v>240.0</v>
      </c>
      <c r="I281" s="23" t="s">
        <v>574</v>
      </c>
      <c r="J281" s="19">
        <v>21.0</v>
      </c>
      <c r="K281" s="23">
        <v>1.0</v>
      </c>
      <c r="L281" s="23">
        <v>1.0</v>
      </c>
      <c r="M281" s="22" t="s">
        <v>354</v>
      </c>
      <c r="N281" s="101" t="s">
        <v>17</v>
      </c>
      <c r="O281" s="101" t="s">
        <v>17</v>
      </c>
      <c r="P281" s="24" t="s">
        <v>133</v>
      </c>
      <c r="Q281" s="24" t="s">
        <v>132</v>
      </c>
      <c r="R281" s="19"/>
      <c r="S281" s="19"/>
      <c r="T281" s="19"/>
      <c r="U281" s="19"/>
      <c r="V281" s="19"/>
      <c r="W281" s="19"/>
      <c r="X281" s="19"/>
      <c r="Y281" s="19"/>
      <c r="Z281" s="19"/>
      <c r="AA281" s="19"/>
      <c r="AB281" s="23" t="s">
        <v>575</v>
      </c>
      <c r="AC281" s="19">
        <v>36611.0</v>
      </c>
      <c r="AD281" s="19"/>
      <c r="AE281" s="19"/>
      <c r="AF281" s="66">
        <v>29.87</v>
      </c>
      <c r="AG281" s="23" t="s">
        <v>356</v>
      </c>
      <c r="AH281" s="19"/>
      <c r="AI281" s="23" t="s">
        <v>356</v>
      </c>
      <c r="AJ281" s="19"/>
      <c r="AK281" s="19"/>
      <c r="AL281" s="28" t="s">
        <v>358</v>
      </c>
      <c r="AM281" s="27" t="s">
        <v>358</v>
      </c>
      <c r="AN281" s="115" t="s">
        <v>358</v>
      </c>
    </row>
    <row r="282">
      <c r="A282" s="95" t="s">
        <v>572</v>
      </c>
      <c r="B282" s="18" t="s">
        <v>573</v>
      </c>
      <c r="C282" s="19" t="s">
        <v>131</v>
      </c>
      <c r="D282" s="20" t="s">
        <v>547</v>
      </c>
      <c r="E282" s="21" t="s">
        <v>7</v>
      </c>
      <c r="F282" s="19" t="s">
        <v>67</v>
      </c>
      <c r="G282" s="23" t="s">
        <v>354</v>
      </c>
      <c r="H282" s="23">
        <v>230.0</v>
      </c>
      <c r="I282" s="23" t="s">
        <v>574</v>
      </c>
      <c r="J282" s="19">
        <v>19.0</v>
      </c>
      <c r="K282" s="23">
        <v>0.0</v>
      </c>
      <c r="L282" s="23">
        <v>0.0</v>
      </c>
      <c r="M282" s="22" t="s">
        <v>354</v>
      </c>
      <c r="N282" s="101" t="s">
        <v>17</v>
      </c>
      <c r="O282" s="101" t="s">
        <v>17</v>
      </c>
      <c r="P282" s="24" t="s">
        <v>133</v>
      </c>
      <c r="Q282" s="24" t="s">
        <v>132</v>
      </c>
      <c r="R282" s="24" t="s">
        <v>132</v>
      </c>
      <c r="S282" s="19"/>
      <c r="T282" s="19"/>
      <c r="U282" s="19"/>
      <c r="V282" s="19"/>
      <c r="W282" s="19"/>
      <c r="X282" s="19"/>
      <c r="Y282" s="19"/>
      <c r="Z282" s="19"/>
      <c r="AA282" s="19"/>
      <c r="AB282" s="23" t="s">
        <v>576</v>
      </c>
      <c r="AC282" s="19"/>
      <c r="AD282" s="19"/>
      <c r="AE282" s="19"/>
      <c r="AF282" s="23">
        <v>0.0</v>
      </c>
      <c r="AG282" s="23" t="s">
        <v>356</v>
      </c>
      <c r="AH282" s="19"/>
      <c r="AI282" s="23" t="s">
        <v>356</v>
      </c>
      <c r="AJ282" s="19"/>
      <c r="AK282" s="19"/>
      <c r="AL282" s="19" t="s">
        <v>356</v>
      </c>
      <c r="AM282" s="19" t="s">
        <v>356</v>
      </c>
      <c r="AN282" s="34" t="s">
        <v>357</v>
      </c>
    </row>
    <row r="283">
      <c r="A283" s="95" t="s">
        <v>572</v>
      </c>
      <c r="B283" s="18" t="s">
        <v>573</v>
      </c>
      <c r="C283" s="19" t="s">
        <v>131</v>
      </c>
      <c r="D283" s="20" t="s">
        <v>547</v>
      </c>
      <c r="E283" s="21" t="s">
        <v>7</v>
      </c>
      <c r="F283" s="19" t="s">
        <v>67</v>
      </c>
      <c r="G283" s="23" t="s">
        <v>354</v>
      </c>
      <c r="H283" s="23">
        <v>215.0</v>
      </c>
      <c r="I283" s="23" t="s">
        <v>574</v>
      </c>
      <c r="J283" s="19">
        <v>19.0</v>
      </c>
      <c r="K283" s="23">
        <v>0.0</v>
      </c>
      <c r="L283" s="23">
        <v>0.0</v>
      </c>
      <c r="M283" s="22" t="s">
        <v>354</v>
      </c>
      <c r="N283" s="101" t="s">
        <v>17</v>
      </c>
      <c r="O283" s="101" t="s">
        <v>17</v>
      </c>
      <c r="P283" s="24" t="s">
        <v>133</v>
      </c>
      <c r="Q283" s="24" t="s">
        <v>132</v>
      </c>
      <c r="R283" s="24" t="s">
        <v>132</v>
      </c>
      <c r="S283" s="24" t="s">
        <v>132</v>
      </c>
      <c r="T283" s="19"/>
      <c r="U283" s="19"/>
      <c r="V283" s="19"/>
      <c r="W283" s="19"/>
      <c r="X283" s="19"/>
      <c r="Y283" s="19"/>
      <c r="Z283" s="19"/>
      <c r="AA283" s="19"/>
      <c r="AB283" s="23" t="s">
        <v>577</v>
      </c>
      <c r="AC283" s="19"/>
      <c r="AD283" s="19"/>
      <c r="AE283" s="19"/>
      <c r="AF283" s="36">
        <v>30.51</v>
      </c>
      <c r="AG283" s="33" t="s">
        <v>354</v>
      </c>
      <c r="AH283" s="33"/>
      <c r="AI283" s="33" t="s">
        <v>354</v>
      </c>
      <c r="AJ283" s="19"/>
      <c r="AK283" s="19"/>
      <c r="AL283" s="40" t="s">
        <v>357</v>
      </c>
      <c r="AM283" s="40" t="s">
        <v>357</v>
      </c>
      <c r="AN283" s="40" t="s">
        <v>357</v>
      </c>
    </row>
    <row r="284">
      <c r="A284" s="95" t="s">
        <v>572</v>
      </c>
      <c r="B284" s="18" t="s">
        <v>573</v>
      </c>
      <c r="C284" s="19" t="s">
        <v>131</v>
      </c>
      <c r="D284" s="20" t="s">
        <v>547</v>
      </c>
      <c r="E284" s="21" t="s">
        <v>7</v>
      </c>
      <c r="F284" s="19" t="s">
        <v>67</v>
      </c>
      <c r="G284" s="23" t="s">
        <v>354</v>
      </c>
      <c r="H284" s="23">
        <v>200.0</v>
      </c>
      <c r="I284" s="23" t="s">
        <v>574</v>
      </c>
      <c r="J284" s="19">
        <v>22.0</v>
      </c>
      <c r="K284" s="23">
        <v>0.0</v>
      </c>
      <c r="L284" s="23">
        <v>0.0</v>
      </c>
      <c r="M284" s="22" t="s">
        <v>354</v>
      </c>
      <c r="N284" s="101" t="s">
        <v>17</v>
      </c>
      <c r="O284" s="101" t="s">
        <v>17</v>
      </c>
      <c r="P284" s="24" t="s">
        <v>133</v>
      </c>
      <c r="Q284" s="24" t="s">
        <v>132</v>
      </c>
      <c r="R284" s="24" t="s">
        <v>132</v>
      </c>
      <c r="S284" s="24" t="s">
        <v>132</v>
      </c>
      <c r="T284" s="24" t="s">
        <v>132</v>
      </c>
      <c r="U284" s="19"/>
      <c r="V284" s="19"/>
      <c r="W284" s="19"/>
      <c r="X284" s="19"/>
      <c r="Y284" s="19"/>
      <c r="Z284" s="19"/>
      <c r="AA284" s="19"/>
      <c r="AB284" s="23" t="s">
        <v>578</v>
      </c>
      <c r="AC284" s="19"/>
      <c r="AD284" s="19"/>
      <c r="AE284" s="19"/>
      <c r="AF284" s="33">
        <v>0.0</v>
      </c>
      <c r="AG284" s="33" t="s">
        <v>354</v>
      </c>
      <c r="AH284" s="33"/>
      <c r="AI284" s="33" t="s">
        <v>354</v>
      </c>
      <c r="AJ284" s="19"/>
      <c r="AK284" s="19"/>
      <c r="AL284" s="59" t="s">
        <v>357</v>
      </c>
      <c r="AM284" s="59" t="s">
        <v>357</v>
      </c>
      <c r="AN284" s="28" t="s">
        <v>358</v>
      </c>
    </row>
    <row r="285">
      <c r="A285" s="95" t="s">
        <v>572</v>
      </c>
      <c r="B285" s="18" t="s">
        <v>573</v>
      </c>
      <c r="C285" s="19" t="s">
        <v>131</v>
      </c>
      <c r="D285" s="20" t="s">
        <v>547</v>
      </c>
      <c r="E285" s="21" t="s">
        <v>7</v>
      </c>
      <c r="F285" s="19" t="s">
        <v>67</v>
      </c>
      <c r="G285" s="23" t="s">
        <v>354</v>
      </c>
      <c r="H285" s="23">
        <v>210.0</v>
      </c>
      <c r="I285" s="23" t="s">
        <v>574</v>
      </c>
      <c r="J285" s="19">
        <v>21.0</v>
      </c>
      <c r="K285" s="23">
        <v>1.0</v>
      </c>
      <c r="L285" s="23">
        <v>0.0</v>
      </c>
      <c r="M285" s="22" t="s">
        <v>354</v>
      </c>
      <c r="N285" s="101" t="s">
        <v>17</v>
      </c>
      <c r="O285" s="101" t="s">
        <v>17</v>
      </c>
      <c r="P285" s="24" t="s">
        <v>133</v>
      </c>
      <c r="Q285" s="24" t="s">
        <v>132</v>
      </c>
      <c r="R285" s="24" t="s">
        <v>132</v>
      </c>
      <c r="S285" s="24" t="s">
        <v>132</v>
      </c>
      <c r="T285" s="24" t="s">
        <v>132</v>
      </c>
      <c r="U285" s="24" t="s">
        <v>132</v>
      </c>
      <c r="V285" s="19"/>
      <c r="W285" s="23"/>
      <c r="X285" s="23"/>
      <c r="Y285" s="23"/>
      <c r="Z285" s="23"/>
      <c r="AA285" s="19"/>
      <c r="AB285" s="22" t="s">
        <v>354</v>
      </c>
      <c r="AC285" s="19"/>
      <c r="AD285" s="19"/>
      <c r="AE285" s="19"/>
      <c r="AF285" s="33">
        <v>0.0</v>
      </c>
      <c r="AG285" s="33" t="s">
        <v>354</v>
      </c>
      <c r="AH285" s="33"/>
      <c r="AI285" s="33" t="s">
        <v>354</v>
      </c>
      <c r="AJ285" s="19"/>
      <c r="AK285" s="19"/>
      <c r="AL285" s="59" t="s">
        <v>357</v>
      </c>
      <c r="AM285" s="59" t="s">
        <v>357</v>
      </c>
      <c r="AN285" s="28" t="s">
        <v>358</v>
      </c>
    </row>
    <row r="286">
      <c r="A286" s="95" t="s">
        <v>572</v>
      </c>
      <c r="B286" s="18" t="s">
        <v>573</v>
      </c>
      <c r="C286" s="19" t="s">
        <v>131</v>
      </c>
      <c r="D286" s="20" t="s">
        <v>547</v>
      </c>
      <c r="E286" s="21" t="s">
        <v>7</v>
      </c>
      <c r="F286" s="19" t="s">
        <v>67</v>
      </c>
      <c r="G286" s="23" t="s">
        <v>354</v>
      </c>
      <c r="H286" s="23">
        <v>260.0</v>
      </c>
      <c r="I286" s="23" t="s">
        <v>574</v>
      </c>
      <c r="J286" s="19">
        <v>21.0</v>
      </c>
      <c r="K286" s="23">
        <v>1.0</v>
      </c>
      <c r="L286" s="23">
        <v>0.0</v>
      </c>
      <c r="M286" s="22" t="s">
        <v>354</v>
      </c>
      <c r="N286" s="101" t="s">
        <v>17</v>
      </c>
      <c r="O286" s="101" t="s">
        <v>17</v>
      </c>
      <c r="P286" s="24" t="s">
        <v>133</v>
      </c>
      <c r="Q286" s="24" t="s">
        <v>132</v>
      </c>
      <c r="R286" s="24" t="s">
        <v>132</v>
      </c>
      <c r="S286" s="24" t="s">
        <v>132</v>
      </c>
      <c r="T286" s="24" t="s">
        <v>132</v>
      </c>
      <c r="U286" s="24" t="s">
        <v>132</v>
      </c>
      <c r="V286" s="24" t="s">
        <v>132</v>
      </c>
      <c r="W286" s="23"/>
      <c r="X286" s="23"/>
      <c r="Y286" s="23"/>
      <c r="Z286" s="23"/>
      <c r="AA286" s="19"/>
      <c r="AB286" s="22" t="s">
        <v>354</v>
      </c>
      <c r="AC286" s="19"/>
      <c r="AD286" s="19"/>
      <c r="AE286" s="19"/>
      <c r="AF286" s="33">
        <v>0.0</v>
      </c>
      <c r="AG286" s="33" t="s">
        <v>354</v>
      </c>
      <c r="AH286" s="33"/>
      <c r="AI286" s="33" t="s">
        <v>354</v>
      </c>
      <c r="AJ286" s="19"/>
      <c r="AK286" s="19"/>
      <c r="AL286" s="23" t="s">
        <v>356</v>
      </c>
      <c r="AM286" s="23" t="s">
        <v>356</v>
      </c>
      <c r="AN286" s="23" t="s">
        <v>356</v>
      </c>
    </row>
    <row r="287">
      <c r="A287" s="95" t="s">
        <v>572</v>
      </c>
      <c r="B287" s="18" t="s">
        <v>573</v>
      </c>
      <c r="C287" s="19" t="s">
        <v>131</v>
      </c>
      <c r="D287" s="20" t="s">
        <v>547</v>
      </c>
      <c r="E287" s="21" t="s">
        <v>7</v>
      </c>
      <c r="F287" s="19" t="s">
        <v>67</v>
      </c>
      <c r="G287" s="23">
        <v>104.0</v>
      </c>
      <c r="H287" s="23">
        <v>190.0</v>
      </c>
      <c r="I287" s="23" t="s">
        <v>574</v>
      </c>
      <c r="J287" s="19">
        <v>21.0</v>
      </c>
      <c r="K287" s="23">
        <v>0.0</v>
      </c>
      <c r="L287" s="23">
        <v>0.0</v>
      </c>
      <c r="M287" s="22" t="s">
        <v>354</v>
      </c>
      <c r="N287" s="101" t="s">
        <v>17</v>
      </c>
      <c r="O287" s="101" t="s">
        <v>17</v>
      </c>
      <c r="P287" s="24" t="s">
        <v>133</v>
      </c>
      <c r="Q287" s="24" t="s">
        <v>132</v>
      </c>
      <c r="R287" s="24" t="s">
        <v>132</v>
      </c>
      <c r="S287" s="24" t="s">
        <v>132</v>
      </c>
      <c r="T287" s="24" t="s">
        <v>132</v>
      </c>
      <c r="U287" s="24" t="s">
        <v>132</v>
      </c>
      <c r="V287" s="24" t="s">
        <v>132</v>
      </c>
      <c r="W287" s="18" t="s">
        <v>579</v>
      </c>
      <c r="X287" s="23"/>
      <c r="Y287" s="23"/>
      <c r="Z287" s="23"/>
      <c r="AA287" s="19"/>
      <c r="AB287" s="158" t="s">
        <v>580</v>
      </c>
      <c r="AC287" s="19"/>
      <c r="AD287" s="19"/>
      <c r="AE287" s="19"/>
      <c r="AF287" s="33">
        <v>0.0</v>
      </c>
      <c r="AG287" s="33" t="s">
        <v>354</v>
      </c>
      <c r="AH287" s="33"/>
      <c r="AI287" s="33" t="s">
        <v>354</v>
      </c>
      <c r="AJ287" s="19"/>
      <c r="AK287" s="19"/>
      <c r="AL287" s="23" t="s">
        <v>356</v>
      </c>
      <c r="AM287" s="23" t="s">
        <v>356</v>
      </c>
      <c r="AN287" s="23" t="s">
        <v>356</v>
      </c>
    </row>
    <row r="288">
      <c r="A288" s="95" t="s">
        <v>572</v>
      </c>
      <c r="B288" s="18" t="s">
        <v>573</v>
      </c>
      <c r="C288" s="19" t="s">
        <v>131</v>
      </c>
      <c r="D288" s="20" t="s">
        <v>547</v>
      </c>
      <c r="E288" s="21" t="s">
        <v>7</v>
      </c>
      <c r="F288" s="19" t="s">
        <v>67</v>
      </c>
      <c r="G288" s="23" t="s">
        <v>354</v>
      </c>
      <c r="H288" s="23" t="s">
        <v>354</v>
      </c>
      <c r="I288" s="23" t="s">
        <v>574</v>
      </c>
      <c r="J288" s="19">
        <v>21.0</v>
      </c>
      <c r="K288" s="23">
        <v>1.0</v>
      </c>
      <c r="L288" s="78">
        <v>1.0</v>
      </c>
      <c r="M288" s="78" t="s">
        <v>581</v>
      </c>
      <c r="N288" s="101" t="s">
        <v>17</v>
      </c>
      <c r="O288" s="101" t="s">
        <v>17</v>
      </c>
      <c r="P288" s="24" t="s">
        <v>133</v>
      </c>
      <c r="Q288" s="24" t="s">
        <v>132</v>
      </c>
      <c r="R288" s="24" t="s">
        <v>132</v>
      </c>
      <c r="S288" s="24" t="s">
        <v>132</v>
      </c>
      <c r="T288" s="24" t="s">
        <v>132</v>
      </c>
      <c r="U288" s="24" t="s">
        <v>132</v>
      </c>
      <c r="V288" s="24" t="s">
        <v>132</v>
      </c>
      <c r="W288" s="18" t="s">
        <v>579</v>
      </c>
      <c r="X288" s="18" t="s">
        <v>582</v>
      </c>
      <c r="Y288" s="23"/>
      <c r="Z288" s="23"/>
      <c r="AA288" s="19"/>
      <c r="AB288" s="158" t="s">
        <v>580</v>
      </c>
      <c r="AC288" s="19"/>
      <c r="AD288" s="19"/>
      <c r="AE288" s="19"/>
      <c r="AF288" s="33">
        <v>0.0</v>
      </c>
      <c r="AG288" s="33" t="s">
        <v>354</v>
      </c>
      <c r="AH288" s="33"/>
      <c r="AI288" s="33" t="s">
        <v>354</v>
      </c>
      <c r="AJ288" s="23"/>
      <c r="AK288" s="23"/>
      <c r="AL288" s="23" t="s">
        <v>356</v>
      </c>
      <c r="AM288" s="23" t="s">
        <v>356</v>
      </c>
      <c r="AN288" s="23" t="s">
        <v>356</v>
      </c>
    </row>
    <row r="289">
      <c r="A289" s="95" t="s">
        <v>572</v>
      </c>
      <c r="B289" s="18" t="s">
        <v>573</v>
      </c>
      <c r="C289" s="19" t="s">
        <v>131</v>
      </c>
      <c r="D289" s="20" t="s">
        <v>547</v>
      </c>
      <c r="E289" s="21" t="s">
        <v>7</v>
      </c>
      <c r="F289" s="19" t="s">
        <v>67</v>
      </c>
      <c r="G289" s="23" t="s">
        <v>354</v>
      </c>
      <c r="H289" s="23" t="s">
        <v>354</v>
      </c>
      <c r="I289" s="23" t="s">
        <v>574</v>
      </c>
      <c r="J289" s="19">
        <v>21.0</v>
      </c>
      <c r="K289" s="23">
        <v>1.0</v>
      </c>
      <c r="L289" s="78">
        <v>1.0</v>
      </c>
      <c r="M289" s="78" t="s">
        <v>581</v>
      </c>
      <c r="N289" s="101" t="s">
        <v>17</v>
      </c>
      <c r="O289" s="101" t="s">
        <v>17</v>
      </c>
      <c r="P289" s="24" t="s">
        <v>133</v>
      </c>
      <c r="Q289" s="24" t="s">
        <v>132</v>
      </c>
      <c r="R289" s="24" t="s">
        <v>132</v>
      </c>
      <c r="S289" s="24" t="s">
        <v>132</v>
      </c>
      <c r="T289" s="24" t="s">
        <v>132</v>
      </c>
      <c r="U289" s="24" t="s">
        <v>132</v>
      </c>
      <c r="V289" s="24" t="s">
        <v>132</v>
      </c>
      <c r="W289" s="18" t="s">
        <v>579</v>
      </c>
      <c r="X289" s="18" t="s">
        <v>582</v>
      </c>
      <c r="Y289" s="18" t="s">
        <v>583</v>
      </c>
      <c r="Z289" s="23"/>
      <c r="AA289" s="19"/>
      <c r="AB289" s="158" t="s">
        <v>580</v>
      </c>
      <c r="AC289" s="19"/>
      <c r="AD289" s="19"/>
      <c r="AE289" s="19"/>
      <c r="AF289" s="33">
        <v>0.0</v>
      </c>
      <c r="AG289" s="33" t="s">
        <v>354</v>
      </c>
      <c r="AH289" s="33"/>
      <c r="AI289" s="33" t="s">
        <v>354</v>
      </c>
      <c r="AJ289" s="23"/>
      <c r="AK289" s="23"/>
      <c r="AL289" s="59" t="s">
        <v>357</v>
      </c>
      <c r="AM289" s="19" t="s">
        <v>356</v>
      </c>
      <c r="AN289" s="31" t="s">
        <v>356</v>
      </c>
    </row>
    <row r="290">
      <c r="A290" s="95" t="s">
        <v>572</v>
      </c>
      <c r="B290" s="18" t="s">
        <v>573</v>
      </c>
      <c r="C290" s="19" t="s">
        <v>131</v>
      </c>
      <c r="D290" s="20" t="s">
        <v>547</v>
      </c>
      <c r="E290" s="21" t="s">
        <v>7</v>
      </c>
      <c r="F290" s="19" t="s">
        <v>67</v>
      </c>
      <c r="G290" s="23" t="s">
        <v>354</v>
      </c>
      <c r="H290" s="23" t="s">
        <v>354</v>
      </c>
      <c r="I290" s="23" t="s">
        <v>574</v>
      </c>
      <c r="J290" s="19">
        <v>21.0</v>
      </c>
      <c r="K290" s="23">
        <v>1.0</v>
      </c>
      <c r="L290" s="78">
        <v>1.0</v>
      </c>
      <c r="M290" s="78" t="s">
        <v>581</v>
      </c>
      <c r="N290" s="101" t="s">
        <v>17</v>
      </c>
      <c r="O290" s="101" t="s">
        <v>17</v>
      </c>
      <c r="P290" s="24" t="s">
        <v>133</v>
      </c>
      <c r="Q290" s="24" t="s">
        <v>132</v>
      </c>
      <c r="R290" s="24" t="s">
        <v>132</v>
      </c>
      <c r="S290" s="24" t="s">
        <v>132</v>
      </c>
      <c r="T290" s="24" t="s">
        <v>132</v>
      </c>
      <c r="U290" s="24" t="s">
        <v>132</v>
      </c>
      <c r="V290" s="24" t="s">
        <v>132</v>
      </c>
      <c r="W290" s="18" t="s">
        <v>579</v>
      </c>
      <c r="X290" s="18" t="s">
        <v>582</v>
      </c>
      <c r="Y290" s="18" t="s">
        <v>583</v>
      </c>
      <c r="Z290" s="18" t="s">
        <v>584</v>
      </c>
      <c r="AA290" s="19"/>
      <c r="AB290" s="158" t="s">
        <v>585</v>
      </c>
      <c r="AC290" s="19"/>
      <c r="AD290" s="19"/>
      <c r="AE290" s="19"/>
      <c r="AF290" s="23">
        <v>0.0</v>
      </c>
      <c r="AG290" s="36" t="s">
        <v>365</v>
      </c>
      <c r="AH290" s="19"/>
      <c r="AI290" s="87" t="s">
        <v>413</v>
      </c>
      <c r="AJ290" s="23" t="s">
        <v>356</v>
      </c>
      <c r="AK290" s="23" t="s">
        <v>356</v>
      </c>
      <c r="AL290" s="23" t="s">
        <v>356</v>
      </c>
      <c r="AM290" s="23" t="s">
        <v>356</v>
      </c>
      <c r="AN290" s="23" t="s">
        <v>356</v>
      </c>
    </row>
    <row r="291">
      <c r="A291" s="95" t="s">
        <v>572</v>
      </c>
      <c r="B291" s="18" t="s">
        <v>573</v>
      </c>
      <c r="C291" s="19" t="s">
        <v>131</v>
      </c>
      <c r="D291" s="20" t="s">
        <v>547</v>
      </c>
      <c r="E291" s="21" t="s">
        <v>7</v>
      </c>
      <c r="F291" s="19" t="s">
        <v>67</v>
      </c>
      <c r="G291" s="23" t="s">
        <v>354</v>
      </c>
      <c r="H291" s="23" t="s">
        <v>354</v>
      </c>
      <c r="I291" s="23" t="s">
        <v>574</v>
      </c>
      <c r="J291" s="19">
        <v>21.0</v>
      </c>
      <c r="K291" s="23">
        <v>1.0</v>
      </c>
      <c r="L291" s="78">
        <v>1.0</v>
      </c>
      <c r="M291" s="78" t="s">
        <v>581</v>
      </c>
      <c r="N291" s="101" t="s">
        <v>17</v>
      </c>
      <c r="O291" s="101" t="s">
        <v>17</v>
      </c>
      <c r="P291" s="24" t="s">
        <v>133</v>
      </c>
      <c r="Q291" s="24" t="s">
        <v>132</v>
      </c>
      <c r="R291" s="24" t="s">
        <v>132</v>
      </c>
      <c r="S291" s="24" t="s">
        <v>132</v>
      </c>
      <c r="T291" s="24" t="s">
        <v>132</v>
      </c>
      <c r="U291" s="24" t="s">
        <v>132</v>
      </c>
      <c r="V291" s="24" t="s">
        <v>132</v>
      </c>
      <c r="W291" s="18" t="s">
        <v>579</v>
      </c>
      <c r="X291" s="18" t="s">
        <v>582</v>
      </c>
      <c r="Y291" s="18" t="s">
        <v>583</v>
      </c>
      <c r="Z291" s="18" t="s">
        <v>584</v>
      </c>
      <c r="AA291" s="18" t="s">
        <v>583</v>
      </c>
      <c r="AB291" s="158" t="s">
        <v>586</v>
      </c>
      <c r="AC291" s="19"/>
      <c r="AD291" s="19"/>
      <c r="AE291" s="19"/>
      <c r="AF291" s="33">
        <v>0.0</v>
      </c>
      <c r="AG291" s="33" t="s">
        <v>354</v>
      </c>
      <c r="AH291" s="33"/>
      <c r="AI291" s="33" t="s">
        <v>354</v>
      </c>
      <c r="AJ291" s="23"/>
      <c r="AK291" s="23"/>
      <c r="AL291" s="23" t="s">
        <v>356</v>
      </c>
      <c r="AM291" s="23" t="s">
        <v>356</v>
      </c>
      <c r="AN291" s="23" t="s">
        <v>356</v>
      </c>
    </row>
    <row r="292">
      <c r="A292" s="121" t="s">
        <v>587</v>
      </c>
      <c r="B292" s="18" t="s">
        <v>588</v>
      </c>
      <c r="C292" s="122" t="s">
        <v>305</v>
      </c>
      <c r="D292" s="123" t="s">
        <v>490</v>
      </c>
      <c r="E292" s="124" t="s">
        <v>491</v>
      </c>
      <c r="F292" s="122" t="s">
        <v>67</v>
      </c>
      <c r="G292" s="147" t="s">
        <v>354</v>
      </c>
      <c r="H292" s="147" t="s">
        <v>354</v>
      </c>
      <c r="I292" s="125" t="s">
        <v>574</v>
      </c>
      <c r="J292" s="122">
        <v>66.0</v>
      </c>
      <c r="K292" s="147" t="s">
        <v>354</v>
      </c>
      <c r="L292" s="147">
        <v>0.0</v>
      </c>
      <c r="M292" s="147" t="s">
        <v>354</v>
      </c>
      <c r="N292" s="101" t="s">
        <v>17</v>
      </c>
      <c r="O292" s="101" t="s">
        <v>17</v>
      </c>
      <c r="P292" s="101" t="s">
        <v>17</v>
      </c>
      <c r="Q292" s="101" t="s">
        <v>17</v>
      </c>
      <c r="R292" s="24" t="s">
        <v>306</v>
      </c>
      <c r="S292" s="122"/>
      <c r="T292" s="122"/>
      <c r="U292" s="122"/>
      <c r="V292" s="122"/>
      <c r="W292" s="122"/>
      <c r="X292" s="122"/>
      <c r="Y292" s="122"/>
      <c r="Z292" s="122"/>
      <c r="AA292" s="122"/>
      <c r="AB292" s="125" t="s">
        <v>589</v>
      </c>
      <c r="AC292" s="122"/>
      <c r="AD292" s="122"/>
      <c r="AE292" s="122"/>
      <c r="AF292" s="125">
        <v>0.0</v>
      </c>
      <c r="AG292" s="125" t="s">
        <v>356</v>
      </c>
      <c r="AH292" s="122"/>
      <c r="AI292" s="125" t="s">
        <v>356</v>
      </c>
      <c r="AJ292" s="122"/>
      <c r="AK292" s="122"/>
      <c r="AL292" s="125" t="s">
        <v>356</v>
      </c>
      <c r="AM292" s="125" t="s">
        <v>356</v>
      </c>
      <c r="AN292" s="125" t="s">
        <v>356</v>
      </c>
    </row>
    <row r="293">
      <c r="A293" s="121" t="s">
        <v>587</v>
      </c>
      <c r="B293" s="18" t="s">
        <v>588</v>
      </c>
      <c r="C293" s="122" t="s">
        <v>305</v>
      </c>
      <c r="D293" s="123" t="s">
        <v>490</v>
      </c>
      <c r="E293" s="124" t="s">
        <v>62</v>
      </c>
      <c r="F293" s="122" t="s">
        <v>67</v>
      </c>
      <c r="G293" s="125">
        <v>86.0</v>
      </c>
      <c r="H293" s="125">
        <v>55.0</v>
      </c>
      <c r="I293" s="125" t="s">
        <v>574</v>
      </c>
      <c r="J293" s="122">
        <v>63.0</v>
      </c>
      <c r="K293" s="147" t="s">
        <v>354</v>
      </c>
      <c r="L293" s="147">
        <v>0.0</v>
      </c>
      <c r="M293" s="147" t="s">
        <v>354</v>
      </c>
      <c r="N293" s="101" t="s">
        <v>17</v>
      </c>
      <c r="O293" s="101" t="s">
        <v>17</v>
      </c>
      <c r="P293" s="101" t="s">
        <v>17</v>
      </c>
      <c r="Q293" s="101" t="s">
        <v>17</v>
      </c>
      <c r="R293" s="24" t="s">
        <v>306</v>
      </c>
      <c r="S293" s="24" t="s">
        <v>307</v>
      </c>
      <c r="T293" s="122"/>
      <c r="U293" s="122"/>
      <c r="V293" s="122"/>
      <c r="W293" s="122"/>
      <c r="X293" s="122"/>
      <c r="Y293" s="122"/>
      <c r="Z293" s="122"/>
      <c r="AA293" s="122"/>
      <c r="AB293" s="125" t="s">
        <v>590</v>
      </c>
      <c r="AC293" s="122"/>
      <c r="AD293" s="122"/>
      <c r="AE293" s="122"/>
      <c r="AF293" s="125">
        <v>0.0</v>
      </c>
      <c r="AG293" s="125" t="s">
        <v>354</v>
      </c>
      <c r="AH293" s="122"/>
      <c r="AI293" s="125" t="s">
        <v>354</v>
      </c>
      <c r="AJ293" s="122"/>
      <c r="AK293" s="122"/>
      <c r="AL293" s="126" t="s">
        <v>361</v>
      </c>
      <c r="AM293" s="127" t="s">
        <v>356</v>
      </c>
      <c r="AN293" s="127" t="s">
        <v>356</v>
      </c>
    </row>
    <row r="294">
      <c r="A294" s="121" t="s">
        <v>587</v>
      </c>
      <c r="B294" s="18" t="s">
        <v>588</v>
      </c>
      <c r="C294" s="122" t="s">
        <v>305</v>
      </c>
      <c r="D294" s="123" t="s">
        <v>490</v>
      </c>
      <c r="E294" s="124" t="s">
        <v>62</v>
      </c>
      <c r="F294" s="122" t="s">
        <v>67</v>
      </c>
      <c r="G294" s="125">
        <v>96.0</v>
      </c>
      <c r="H294" s="125">
        <v>90.0</v>
      </c>
      <c r="I294" s="125" t="s">
        <v>574</v>
      </c>
      <c r="J294" s="122">
        <v>64.0</v>
      </c>
      <c r="K294" s="147" t="s">
        <v>354</v>
      </c>
      <c r="L294" s="147">
        <v>0.0</v>
      </c>
      <c r="M294" s="147" t="s">
        <v>354</v>
      </c>
      <c r="N294" s="101" t="s">
        <v>17</v>
      </c>
      <c r="O294" s="101" t="s">
        <v>17</v>
      </c>
      <c r="P294" s="101" t="s">
        <v>17</v>
      </c>
      <c r="Q294" s="101" t="s">
        <v>17</v>
      </c>
      <c r="R294" s="24" t="s">
        <v>306</v>
      </c>
      <c r="S294" s="24" t="s">
        <v>307</v>
      </c>
      <c r="T294" s="24" t="s">
        <v>308</v>
      </c>
      <c r="U294" s="122"/>
      <c r="V294" s="122"/>
      <c r="W294" s="122"/>
      <c r="X294" s="122"/>
      <c r="Y294" s="122"/>
      <c r="Z294" s="122"/>
      <c r="AA294" s="122"/>
      <c r="AB294" s="125" t="s">
        <v>590</v>
      </c>
      <c r="AC294" s="122"/>
      <c r="AD294" s="122"/>
      <c r="AE294" s="122"/>
      <c r="AF294" s="125">
        <v>0.0</v>
      </c>
      <c r="AG294" s="125" t="s">
        <v>354</v>
      </c>
      <c r="AH294" s="122"/>
      <c r="AI294" s="125" t="s">
        <v>354</v>
      </c>
      <c r="AJ294" s="122"/>
      <c r="AK294" s="122"/>
      <c r="AL294" s="127" t="s">
        <v>356</v>
      </c>
      <c r="AM294" s="127" t="s">
        <v>356</v>
      </c>
      <c r="AN294" s="127" t="s">
        <v>356</v>
      </c>
    </row>
    <row r="295">
      <c r="A295" s="121" t="s">
        <v>587</v>
      </c>
      <c r="B295" s="18" t="s">
        <v>588</v>
      </c>
      <c r="C295" s="122" t="s">
        <v>305</v>
      </c>
      <c r="D295" s="123" t="s">
        <v>490</v>
      </c>
      <c r="E295" s="124" t="s">
        <v>62</v>
      </c>
      <c r="F295" s="122" t="s">
        <v>67</v>
      </c>
      <c r="G295" s="125">
        <v>95.0</v>
      </c>
      <c r="H295" s="125">
        <v>105.0</v>
      </c>
      <c r="I295" s="125" t="s">
        <v>574</v>
      </c>
      <c r="J295" s="122"/>
      <c r="K295" s="147" t="s">
        <v>354</v>
      </c>
      <c r="L295" s="147">
        <v>0.0</v>
      </c>
      <c r="M295" s="147" t="s">
        <v>354</v>
      </c>
      <c r="N295" s="101" t="s">
        <v>17</v>
      </c>
      <c r="O295" s="101" t="s">
        <v>17</v>
      </c>
      <c r="P295" s="101" t="s">
        <v>17</v>
      </c>
      <c r="Q295" s="101" t="s">
        <v>17</v>
      </c>
      <c r="R295" s="24" t="s">
        <v>306</v>
      </c>
      <c r="S295" s="24" t="s">
        <v>307</v>
      </c>
      <c r="T295" s="24" t="s">
        <v>308</v>
      </c>
      <c r="U295" s="18" t="s">
        <v>591</v>
      </c>
      <c r="V295" s="122"/>
      <c r="W295" s="122"/>
      <c r="X295" s="122"/>
      <c r="Y295" s="122"/>
      <c r="Z295" s="122"/>
      <c r="AA295" s="122"/>
      <c r="AB295" s="125" t="s">
        <v>592</v>
      </c>
      <c r="AC295" s="122"/>
      <c r="AD295" s="122"/>
      <c r="AE295" s="122"/>
      <c r="AF295" s="125">
        <v>0.0</v>
      </c>
      <c r="AG295" s="125" t="s">
        <v>354</v>
      </c>
      <c r="AH295" s="122"/>
      <c r="AI295" s="125" t="s">
        <v>354</v>
      </c>
      <c r="AJ295" s="122"/>
      <c r="AK295" s="122"/>
      <c r="AL295" s="127" t="s">
        <v>356</v>
      </c>
      <c r="AM295" s="127" t="s">
        <v>356</v>
      </c>
      <c r="AN295" s="127" t="s">
        <v>356</v>
      </c>
    </row>
    <row r="296">
      <c r="A296" s="121" t="s">
        <v>587</v>
      </c>
      <c r="B296" s="18" t="s">
        <v>588</v>
      </c>
      <c r="C296" s="122" t="s">
        <v>305</v>
      </c>
      <c r="D296" s="123" t="s">
        <v>490</v>
      </c>
      <c r="E296" s="124" t="s">
        <v>37</v>
      </c>
      <c r="F296" s="122" t="s">
        <v>67</v>
      </c>
      <c r="G296" s="125">
        <v>114.0</v>
      </c>
      <c r="H296" s="125">
        <v>180.0</v>
      </c>
      <c r="I296" s="125" t="s">
        <v>574</v>
      </c>
      <c r="J296" s="122"/>
      <c r="K296" s="147" t="s">
        <v>354</v>
      </c>
      <c r="L296" s="147">
        <v>0.0</v>
      </c>
      <c r="M296" s="147" t="s">
        <v>354</v>
      </c>
      <c r="N296" s="101" t="s">
        <v>17</v>
      </c>
      <c r="O296" s="101" t="s">
        <v>17</v>
      </c>
      <c r="P296" s="101" t="s">
        <v>17</v>
      </c>
      <c r="Q296" s="101" t="s">
        <v>17</v>
      </c>
      <c r="R296" s="24" t="s">
        <v>306</v>
      </c>
      <c r="S296" s="24" t="s">
        <v>307</v>
      </c>
      <c r="T296" s="24" t="s">
        <v>308</v>
      </c>
      <c r="U296" s="18" t="s">
        <v>591</v>
      </c>
      <c r="V296" s="18" t="s">
        <v>593</v>
      </c>
      <c r="W296" s="122"/>
      <c r="X296" s="122"/>
      <c r="Y296" s="122"/>
      <c r="Z296" s="122"/>
      <c r="AA296" s="122"/>
      <c r="AB296" s="147" t="s">
        <v>354</v>
      </c>
      <c r="AC296" s="122"/>
      <c r="AD296" s="122"/>
      <c r="AE296" s="122"/>
      <c r="AF296" s="125">
        <v>0.0</v>
      </c>
      <c r="AG296" s="125" t="s">
        <v>354</v>
      </c>
      <c r="AH296" s="122"/>
      <c r="AI296" s="125" t="s">
        <v>354</v>
      </c>
      <c r="AJ296" s="122"/>
      <c r="AK296" s="122"/>
      <c r="AL296" s="127" t="s">
        <v>356</v>
      </c>
      <c r="AM296" s="127" t="s">
        <v>356</v>
      </c>
      <c r="AN296" s="127" t="s">
        <v>356</v>
      </c>
    </row>
    <row r="297">
      <c r="A297" s="121" t="s">
        <v>587</v>
      </c>
      <c r="B297" s="18" t="s">
        <v>588</v>
      </c>
      <c r="C297" s="122" t="s">
        <v>305</v>
      </c>
      <c r="D297" s="123" t="s">
        <v>490</v>
      </c>
      <c r="E297" s="124" t="s">
        <v>37</v>
      </c>
      <c r="F297" s="122" t="s">
        <v>67</v>
      </c>
      <c r="G297" s="147" t="s">
        <v>354</v>
      </c>
      <c r="H297" s="147" t="s">
        <v>354</v>
      </c>
      <c r="I297" s="125" t="s">
        <v>574</v>
      </c>
      <c r="J297" s="122"/>
      <c r="K297" s="147" t="s">
        <v>354</v>
      </c>
      <c r="L297" s="147">
        <v>0.0</v>
      </c>
      <c r="M297" s="147" t="s">
        <v>354</v>
      </c>
      <c r="N297" s="101" t="s">
        <v>17</v>
      </c>
      <c r="O297" s="101" t="s">
        <v>17</v>
      </c>
      <c r="P297" s="101" t="s">
        <v>17</v>
      </c>
      <c r="Q297" s="101" t="s">
        <v>17</v>
      </c>
      <c r="R297" s="24" t="s">
        <v>306</v>
      </c>
      <c r="S297" s="24" t="s">
        <v>307</v>
      </c>
      <c r="T297" s="24" t="s">
        <v>308</v>
      </c>
      <c r="U297" s="18" t="s">
        <v>591</v>
      </c>
      <c r="V297" s="18" t="s">
        <v>593</v>
      </c>
      <c r="W297" s="18" t="s">
        <v>594</v>
      </c>
      <c r="X297" s="122"/>
      <c r="Y297" s="122"/>
      <c r="Z297" s="122"/>
      <c r="AA297" s="122"/>
      <c r="AB297" s="158" t="s">
        <v>455</v>
      </c>
      <c r="AC297" s="122"/>
      <c r="AD297" s="122"/>
      <c r="AE297" s="122"/>
      <c r="AF297" s="125">
        <v>0.0</v>
      </c>
      <c r="AG297" s="125" t="s">
        <v>354</v>
      </c>
      <c r="AH297" s="122"/>
      <c r="AI297" s="125" t="s">
        <v>354</v>
      </c>
      <c r="AJ297" s="122"/>
      <c r="AK297" s="122"/>
      <c r="AL297" s="127" t="s">
        <v>356</v>
      </c>
      <c r="AM297" s="127" t="s">
        <v>356</v>
      </c>
      <c r="AN297" s="127" t="s">
        <v>356</v>
      </c>
    </row>
    <row r="298">
      <c r="A298" s="121" t="s">
        <v>587</v>
      </c>
      <c r="B298" s="18" t="s">
        <v>588</v>
      </c>
      <c r="C298" s="122" t="s">
        <v>305</v>
      </c>
      <c r="D298" s="123" t="s">
        <v>490</v>
      </c>
      <c r="E298" s="124" t="s">
        <v>37</v>
      </c>
      <c r="F298" s="122" t="s">
        <v>67</v>
      </c>
      <c r="G298" s="147" t="s">
        <v>354</v>
      </c>
      <c r="H298" s="147" t="s">
        <v>354</v>
      </c>
      <c r="I298" s="125" t="s">
        <v>574</v>
      </c>
      <c r="J298" s="122"/>
      <c r="K298" s="147" t="s">
        <v>354</v>
      </c>
      <c r="L298" s="78">
        <v>1.0</v>
      </c>
      <c r="M298" s="78" t="s">
        <v>399</v>
      </c>
      <c r="N298" s="101" t="s">
        <v>17</v>
      </c>
      <c r="O298" s="101" t="s">
        <v>17</v>
      </c>
      <c r="P298" s="101" t="s">
        <v>17</v>
      </c>
      <c r="Q298" s="101" t="s">
        <v>17</v>
      </c>
      <c r="R298" s="24" t="s">
        <v>306</v>
      </c>
      <c r="S298" s="24" t="s">
        <v>307</v>
      </c>
      <c r="T298" s="24" t="s">
        <v>308</v>
      </c>
      <c r="U298" s="18" t="s">
        <v>591</v>
      </c>
      <c r="V298" s="18" t="s">
        <v>593</v>
      </c>
      <c r="W298" s="18" t="s">
        <v>594</v>
      </c>
      <c r="X298" s="18" t="s">
        <v>593</v>
      </c>
      <c r="Y298" s="125"/>
      <c r="Z298" s="125"/>
      <c r="AA298" s="122"/>
      <c r="AB298" s="158" t="s">
        <v>455</v>
      </c>
      <c r="AC298" s="122"/>
      <c r="AD298" s="122"/>
      <c r="AE298" s="122"/>
      <c r="AF298" s="125">
        <v>0.0</v>
      </c>
      <c r="AG298" s="125" t="s">
        <v>354</v>
      </c>
      <c r="AH298" s="122"/>
      <c r="AI298" s="125" t="s">
        <v>354</v>
      </c>
      <c r="AJ298" s="122"/>
      <c r="AK298" s="122"/>
      <c r="AL298" s="127" t="s">
        <v>356</v>
      </c>
      <c r="AM298" s="127" t="s">
        <v>356</v>
      </c>
      <c r="AN298" s="127" t="s">
        <v>356</v>
      </c>
    </row>
    <row r="299">
      <c r="A299" s="121" t="s">
        <v>587</v>
      </c>
      <c r="B299" s="18" t="s">
        <v>588</v>
      </c>
      <c r="C299" s="122" t="s">
        <v>305</v>
      </c>
      <c r="D299" s="123" t="s">
        <v>490</v>
      </c>
      <c r="E299" s="124" t="s">
        <v>37</v>
      </c>
      <c r="F299" s="122" t="s">
        <v>67</v>
      </c>
      <c r="G299" s="147" t="s">
        <v>354</v>
      </c>
      <c r="H299" s="147" t="s">
        <v>354</v>
      </c>
      <c r="I299" s="125" t="s">
        <v>574</v>
      </c>
      <c r="J299" s="122"/>
      <c r="K299" s="147" t="s">
        <v>354</v>
      </c>
      <c r="L299" s="78">
        <v>1.0</v>
      </c>
      <c r="M299" s="78" t="s">
        <v>399</v>
      </c>
      <c r="N299" s="101" t="s">
        <v>17</v>
      </c>
      <c r="O299" s="101" t="s">
        <v>17</v>
      </c>
      <c r="P299" s="101" t="s">
        <v>17</v>
      </c>
      <c r="Q299" s="101" t="s">
        <v>17</v>
      </c>
      <c r="R299" s="24" t="s">
        <v>306</v>
      </c>
      <c r="S299" s="24" t="s">
        <v>307</v>
      </c>
      <c r="T299" s="24" t="s">
        <v>308</v>
      </c>
      <c r="U299" s="18" t="s">
        <v>591</v>
      </c>
      <c r="V299" s="18" t="s">
        <v>593</v>
      </c>
      <c r="W299" s="18" t="s">
        <v>594</v>
      </c>
      <c r="X299" s="18" t="s">
        <v>593</v>
      </c>
      <c r="Y299" s="18" t="s">
        <v>593</v>
      </c>
      <c r="Z299" s="125"/>
      <c r="AA299" s="122"/>
      <c r="AB299" s="158" t="s">
        <v>455</v>
      </c>
      <c r="AC299" s="122"/>
      <c r="AD299" s="122"/>
      <c r="AE299" s="122"/>
      <c r="AF299" s="125">
        <v>0.0</v>
      </c>
      <c r="AG299" s="125" t="s">
        <v>354</v>
      </c>
      <c r="AH299" s="122"/>
      <c r="AI299" s="125" t="s">
        <v>354</v>
      </c>
      <c r="AJ299" s="125"/>
      <c r="AK299" s="125"/>
      <c r="AL299" s="91" t="s">
        <v>413</v>
      </c>
      <c r="AM299" s="103" t="s">
        <v>389</v>
      </c>
      <c r="AN299" s="104" t="s">
        <v>389</v>
      </c>
    </row>
    <row r="300">
      <c r="A300" s="121" t="s">
        <v>587</v>
      </c>
      <c r="B300" s="18" t="s">
        <v>588</v>
      </c>
      <c r="C300" s="122" t="s">
        <v>305</v>
      </c>
      <c r="D300" s="123" t="s">
        <v>490</v>
      </c>
      <c r="E300" s="124" t="s">
        <v>37</v>
      </c>
      <c r="F300" s="122" t="s">
        <v>67</v>
      </c>
      <c r="G300" s="147" t="s">
        <v>354</v>
      </c>
      <c r="H300" s="147" t="s">
        <v>354</v>
      </c>
      <c r="I300" s="125" t="s">
        <v>574</v>
      </c>
      <c r="J300" s="122"/>
      <c r="K300" s="147" t="s">
        <v>354</v>
      </c>
      <c r="L300" s="78">
        <v>1.0</v>
      </c>
      <c r="M300" s="78" t="s">
        <v>399</v>
      </c>
      <c r="N300" s="101" t="s">
        <v>17</v>
      </c>
      <c r="O300" s="101" t="s">
        <v>17</v>
      </c>
      <c r="P300" s="101" t="s">
        <v>17</v>
      </c>
      <c r="Q300" s="101" t="s">
        <v>17</v>
      </c>
      <c r="R300" s="24" t="s">
        <v>306</v>
      </c>
      <c r="S300" s="24" t="s">
        <v>307</v>
      </c>
      <c r="T300" s="24" t="s">
        <v>308</v>
      </c>
      <c r="U300" s="18" t="s">
        <v>591</v>
      </c>
      <c r="V300" s="18" t="s">
        <v>593</v>
      </c>
      <c r="W300" s="18" t="s">
        <v>594</v>
      </c>
      <c r="X300" s="18" t="s">
        <v>593</v>
      </c>
      <c r="Y300" s="18" t="s">
        <v>593</v>
      </c>
      <c r="Z300" s="18" t="s">
        <v>595</v>
      </c>
      <c r="AA300" s="44" t="s">
        <v>373</v>
      </c>
      <c r="AB300" s="158" t="s">
        <v>455</v>
      </c>
      <c r="AC300" s="122"/>
      <c r="AD300" s="122"/>
      <c r="AE300" s="122"/>
      <c r="AF300" s="125">
        <v>0.0</v>
      </c>
      <c r="AG300" s="125" t="s">
        <v>356</v>
      </c>
      <c r="AH300" s="122"/>
      <c r="AI300" s="125" t="s">
        <v>356</v>
      </c>
      <c r="AJ300" s="125" t="s">
        <v>356</v>
      </c>
      <c r="AK300" s="125" t="s">
        <v>356</v>
      </c>
      <c r="AL300" s="125" t="s">
        <v>356</v>
      </c>
      <c r="AM300" s="125" t="s">
        <v>356</v>
      </c>
      <c r="AN300" s="125" t="s">
        <v>356</v>
      </c>
    </row>
    <row r="301">
      <c r="A301" s="45" t="s">
        <v>135</v>
      </c>
      <c r="B301" s="18" t="s">
        <v>596</v>
      </c>
      <c r="C301" s="46" t="s">
        <v>134</v>
      </c>
      <c r="D301" s="47" t="s">
        <v>547</v>
      </c>
      <c r="E301" s="48" t="s">
        <v>7</v>
      </c>
      <c r="F301" s="46" t="s">
        <v>8</v>
      </c>
      <c r="G301" s="49">
        <v>122.0</v>
      </c>
      <c r="H301" s="49">
        <v>290.0</v>
      </c>
      <c r="I301" s="57" t="s">
        <v>354</v>
      </c>
      <c r="J301" s="57" t="s">
        <v>354</v>
      </c>
      <c r="K301" s="57" t="s">
        <v>354</v>
      </c>
      <c r="L301" s="57">
        <v>0.0</v>
      </c>
      <c r="M301" s="57" t="s">
        <v>354</v>
      </c>
      <c r="N301" s="101" t="s">
        <v>17</v>
      </c>
      <c r="O301" s="101" t="s">
        <v>17</v>
      </c>
      <c r="P301" s="24" t="s">
        <v>136</v>
      </c>
      <c r="Q301" s="46"/>
      <c r="R301" s="46"/>
      <c r="S301" s="46"/>
      <c r="T301" s="46"/>
      <c r="U301" s="46"/>
      <c r="V301" s="46"/>
      <c r="W301" s="46"/>
      <c r="X301" s="46"/>
      <c r="Y301" s="46"/>
      <c r="Z301" s="46"/>
      <c r="AA301" s="46"/>
      <c r="AB301" s="57" t="s">
        <v>354</v>
      </c>
      <c r="AC301" s="46">
        <v>36330.0</v>
      </c>
      <c r="AD301" s="46"/>
      <c r="AE301" s="46"/>
      <c r="AF301" s="52">
        <v>40.3</v>
      </c>
      <c r="AG301" s="56" t="s">
        <v>365</v>
      </c>
      <c r="AH301" s="49" t="s">
        <v>597</v>
      </c>
      <c r="AI301" s="65" t="s">
        <v>387</v>
      </c>
      <c r="AJ301" s="46"/>
      <c r="AK301" s="46"/>
      <c r="AL301" s="160" t="s">
        <v>413</v>
      </c>
      <c r="AM301" s="160" t="s">
        <v>413</v>
      </c>
      <c r="AN301" s="114" t="s">
        <v>413</v>
      </c>
    </row>
    <row r="302">
      <c r="A302" s="45" t="s">
        <v>135</v>
      </c>
      <c r="B302" s="18" t="s">
        <v>596</v>
      </c>
      <c r="C302" s="46" t="s">
        <v>134</v>
      </c>
      <c r="D302" s="47" t="s">
        <v>547</v>
      </c>
      <c r="E302" s="48" t="s">
        <v>7</v>
      </c>
      <c r="F302" s="46" t="s">
        <v>8</v>
      </c>
      <c r="G302" s="49">
        <v>121.0</v>
      </c>
      <c r="H302" s="49">
        <v>250.0</v>
      </c>
      <c r="I302" s="57" t="s">
        <v>354</v>
      </c>
      <c r="J302" s="57" t="s">
        <v>354</v>
      </c>
      <c r="K302" s="57" t="s">
        <v>354</v>
      </c>
      <c r="L302" s="49">
        <v>1.0</v>
      </c>
      <c r="M302" s="57" t="s">
        <v>354</v>
      </c>
      <c r="N302" s="101" t="s">
        <v>17</v>
      </c>
      <c r="O302" s="101" t="s">
        <v>17</v>
      </c>
      <c r="P302" s="24" t="s">
        <v>136</v>
      </c>
      <c r="Q302" s="24" t="s">
        <v>135</v>
      </c>
      <c r="R302" s="46"/>
      <c r="S302" s="46"/>
      <c r="T302" s="46"/>
      <c r="U302" s="46"/>
      <c r="V302" s="46"/>
      <c r="W302" s="46"/>
      <c r="X302" s="46"/>
      <c r="Y302" s="46"/>
      <c r="Z302" s="46"/>
      <c r="AA302" s="46"/>
      <c r="AB302" s="49" t="s">
        <v>598</v>
      </c>
      <c r="AC302" s="46">
        <v>36612.0</v>
      </c>
      <c r="AD302" s="46"/>
      <c r="AE302" s="46"/>
      <c r="AF302" s="55">
        <v>31.62</v>
      </c>
      <c r="AG302" s="56" t="s">
        <v>365</v>
      </c>
      <c r="AH302" s="49" t="s">
        <v>597</v>
      </c>
      <c r="AI302" s="65" t="s">
        <v>387</v>
      </c>
      <c r="AJ302" s="46"/>
      <c r="AK302" s="46"/>
      <c r="AL302" s="59" t="s">
        <v>357</v>
      </c>
      <c r="AM302" s="38" t="s">
        <v>357</v>
      </c>
      <c r="AN302" s="37" t="s">
        <v>363</v>
      </c>
    </row>
    <row r="303">
      <c r="A303" s="45" t="s">
        <v>135</v>
      </c>
      <c r="B303" s="18" t="s">
        <v>596</v>
      </c>
      <c r="C303" s="46" t="s">
        <v>134</v>
      </c>
      <c r="D303" s="47" t="s">
        <v>547</v>
      </c>
      <c r="E303" s="48" t="s">
        <v>7</v>
      </c>
      <c r="F303" s="46" t="s">
        <v>8</v>
      </c>
      <c r="G303" s="57" t="s">
        <v>354</v>
      </c>
      <c r="H303" s="49">
        <v>210.0</v>
      </c>
      <c r="I303" s="57" t="s">
        <v>354</v>
      </c>
      <c r="J303" s="57" t="s">
        <v>354</v>
      </c>
      <c r="K303" s="57" t="s">
        <v>354</v>
      </c>
      <c r="L303" s="57">
        <v>0.0</v>
      </c>
      <c r="M303" s="57" t="s">
        <v>354</v>
      </c>
      <c r="N303" s="101" t="s">
        <v>17</v>
      </c>
      <c r="O303" s="101" t="s">
        <v>17</v>
      </c>
      <c r="P303" s="24" t="s">
        <v>136</v>
      </c>
      <c r="Q303" s="24" t="s">
        <v>135</v>
      </c>
      <c r="R303" s="24" t="s">
        <v>135</v>
      </c>
      <c r="S303" s="46"/>
      <c r="T303" s="46"/>
      <c r="U303" s="46"/>
      <c r="V303" s="46"/>
      <c r="W303" s="46"/>
      <c r="X303" s="46"/>
      <c r="Y303" s="46"/>
      <c r="Z303" s="46"/>
      <c r="AA303" s="46"/>
      <c r="AB303" s="57" t="s">
        <v>354</v>
      </c>
      <c r="AC303" s="46"/>
      <c r="AD303" s="46"/>
      <c r="AE303" s="46"/>
      <c r="AF303" s="49">
        <v>0.0</v>
      </c>
      <c r="AG303" s="49" t="s">
        <v>356</v>
      </c>
      <c r="AH303" s="46"/>
      <c r="AI303" s="49" t="s">
        <v>356</v>
      </c>
      <c r="AJ303" s="46"/>
      <c r="AK303" s="46"/>
      <c r="AL303" s="79" t="s">
        <v>361</v>
      </c>
      <c r="AM303" s="80" t="s">
        <v>356</v>
      </c>
      <c r="AN303" s="76" t="s">
        <v>356</v>
      </c>
    </row>
    <row r="304">
      <c r="A304" s="45" t="s">
        <v>135</v>
      </c>
      <c r="B304" s="18" t="s">
        <v>596</v>
      </c>
      <c r="C304" s="46" t="s">
        <v>134</v>
      </c>
      <c r="D304" s="47" t="s">
        <v>547</v>
      </c>
      <c r="E304" s="48" t="s">
        <v>7</v>
      </c>
      <c r="F304" s="46" t="s">
        <v>8</v>
      </c>
      <c r="G304" s="57" t="s">
        <v>354</v>
      </c>
      <c r="H304" s="49">
        <v>250.0</v>
      </c>
      <c r="I304" s="57" t="s">
        <v>354</v>
      </c>
      <c r="J304" s="57" t="s">
        <v>354</v>
      </c>
      <c r="K304" s="57" t="s">
        <v>354</v>
      </c>
      <c r="L304" s="57">
        <v>0.0</v>
      </c>
      <c r="M304" s="57" t="s">
        <v>354</v>
      </c>
      <c r="N304" s="101" t="s">
        <v>17</v>
      </c>
      <c r="O304" s="101" t="s">
        <v>17</v>
      </c>
      <c r="P304" s="24" t="s">
        <v>136</v>
      </c>
      <c r="Q304" s="24" t="s">
        <v>135</v>
      </c>
      <c r="R304" s="24" t="s">
        <v>135</v>
      </c>
      <c r="S304" s="24" t="s">
        <v>135</v>
      </c>
      <c r="T304" s="46"/>
      <c r="U304" s="46"/>
      <c r="V304" s="46"/>
      <c r="W304" s="46"/>
      <c r="X304" s="46"/>
      <c r="Y304" s="46"/>
      <c r="Z304" s="46"/>
      <c r="AA304" s="46"/>
      <c r="AB304" s="57" t="s">
        <v>354</v>
      </c>
      <c r="AC304" s="46"/>
      <c r="AD304" s="46"/>
      <c r="AE304" s="46"/>
      <c r="AF304" s="49">
        <v>0.0</v>
      </c>
      <c r="AG304" s="63" t="s">
        <v>354</v>
      </c>
      <c r="AH304" s="63"/>
      <c r="AI304" s="63" t="s">
        <v>354</v>
      </c>
      <c r="AJ304" s="46"/>
      <c r="AK304" s="46"/>
      <c r="AL304" s="79" t="s">
        <v>361</v>
      </c>
      <c r="AM304" s="40" t="s">
        <v>357</v>
      </c>
      <c r="AN304" s="40" t="s">
        <v>357</v>
      </c>
    </row>
    <row r="305">
      <c r="A305" s="45" t="s">
        <v>135</v>
      </c>
      <c r="B305" s="18" t="s">
        <v>596</v>
      </c>
      <c r="C305" s="46" t="s">
        <v>134</v>
      </c>
      <c r="D305" s="47" t="s">
        <v>547</v>
      </c>
      <c r="E305" s="48" t="s">
        <v>7</v>
      </c>
      <c r="F305" s="46" t="s">
        <v>8</v>
      </c>
      <c r="G305" s="57" t="s">
        <v>354</v>
      </c>
      <c r="H305" s="49">
        <v>240.0</v>
      </c>
      <c r="I305" s="57" t="s">
        <v>354</v>
      </c>
      <c r="J305" s="57" t="s">
        <v>354</v>
      </c>
      <c r="K305" s="57" t="s">
        <v>354</v>
      </c>
      <c r="L305" s="57">
        <v>0.0</v>
      </c>
      <c r="M305" s="57" t="s">
        <v>354</v>
      </c>
      <c r="N305" s="101" t="s">
        <v>17</v>
      </c>
      <c r="O305" s="101" t="s">
        <v>17</v>
      </c>
      <c r="P305" s="24" t="s">
        <v>136</v>
      </c>
      <c r="Q305" s="24" t="s">
        <v>135</v>
      </c>
      <c r="R305" s="24" t="s">
        <v>135</v>
      </c>
      <c r="S305" s="24" t="s">
        <v>135</v>
      </c>
      <c r="T305" s="24" t="s">
        <v>135</v>
      </c>
      <c r="U305" s="46"/>
      <c r="V305" s="46"/>
      <c r="W305" s="46"/>
      <c r="X305" s="46"/>
      <c r="Y305" s="46"/>
      <c r="Z305" s="46"/>
      <c r="AA305" s="46"/>
      <c r="AB305" s="57" t="s">
        <v>354</v>
      </c>
      <c r="AC305" s="46"/>
      <c r="AD305" s="46"/>
      <c r="AE305" s="46"/>
      <c r="AF305" s="49">
        <v>0.0</v>
      </c>
      <c r="AG305" s="63" t="s">
        <v>354</v>
      </c>
      <c r="AH305" s="63"/>
      <c r="AI305" s="63" t="s">
        <v>354</v>
      </c>
      <c r="AJ305" s="46"/>
      <c r="AK305" s="46"/>
      <c r="AL305" s="40" t="s">
        <v>357</v>
      </c>
      <c r="AM305" s="40" t="s">
        <v>357</v>
      </c>
      <c r="AN305" s="40" t="s">
        <v>357</v>
      </c>
    </row>
    <row r="306">
      <c r="A306" s="45" t="s">
        <v>135</v>
      </c>
      <c r="B306" s="18" t="s">
        <v>596</v>
      </c>
      <c r="C306" s="46" t="s">
        <v>134</v>
      </c>
      <c r="D306" s="47" t="s">
        <v>547</v>
      </c>
      <c r="E306" s="48" t="s">
        <v>7</v>
      </c>
      <c r="F306" s="46" t="s">
        <v>8</v>
      </c>
      <c r="G306" s="57" t="s">
        <v>354</v>
      </c>
      <c r="H306" s="49">
        <v>245.0</v>
      </c>
      <c r="I306" s="57" t="s">
        <v>354</v>
      </c>
      <c r="J306" s="57" t="s">
        <v>354</v>
      </c>
      <c r="K306" s="57" t="s">
        <v>354</v>
      </c>
      <c r="L306" s="57">
        <v>0.0</v>
      </c>
      <c r="M306" s="57" t="s">
        <v>354</v>
      </c>
      <c r="N306" s="101" t="s">
        <v>17</v>
      </c>
      <c r="O306" s="101" t="s">
        <v>17</v>
      </c>
      <c r="P306" s="24" t="s">
        <v>136</v>
      </c>
      <c r="Q306" s="24" t="s">
        <v>135</v>
      </c>
      <c r="R306" s="24" t="s">
        <v>135</v>
      </c>
      <c r="S306" s="24" t="s">
        <v>135</v>
      </c>
      <c r="T306" s="24" t="s">
        <v>135</v>
      </c>
      <c r="U306" s="24" t="s">
        <v>135</v>
      </c>
      <c r="V306" s="46"/>
      <c r="W306" s="46"/>
      <c r="X306" s="46"/>
      <c r="Y306" s="46"/>
      <c r="Z306" s="46"/>
      <c r="AA306" s="46"/>
      <c r="AB306" s="57" t="s">
        <v>354</v>
      </c>
      <c r="AC306" s="46"/>
      <c r="AD306" s="46"/>
      <c r="AE306" s="46"/>
      <c r="AF306" s="49">
        <v>0.0</v>
      </c>
      <c r="AG306" s="63" t="s">
        <v>354</v>
      </c>
      <c r="AH306" s="63"/>
      <c r="AI306" s="63" t="s">
        <v>354</v>
      </c>
      <c r="AJ306" s="46"/>
      <c r="AK306" s="46"/>
      <c r="AL306" s="79" t="s">
        <v>361</v>
      </c>
      <c r="AM306" s="80" t="s">
        <v>356</v>
      </c>
      <c r="AN306" s="119" t="s">
        <v>413</v>
      </c>
    </row>
    <row r="307">
      <c r="A307" s="45" t="s">
        <v>135</v>
      </c>
      <c r="B307" s="18" t="s">
        <v>596</v>
      </c>
      <c r="C307" s="46" t="s">
        <v>134</v>
      </c>
      <c r="D307" s="47" t="s">
        <v>547</v>
      </c>
      <c r="E307" s="48" t="s">
        <v>7</v>
      </c>
      <c r="F307" s="46" t="s">
        <v>8</v>
      </c>
      <c r="G307" s="57" t="s">
        <v>354</v>
      </c>
      <c r="H307" s="49">
        <v>250.0</v>
      </c>
      <c r="I307" s="57" t="s">
        <v>354</v>
      </c>
      <c r="J307" s="57" t="s">
        <v>354</v>
      </c>
      <c r="K307" s="57" t="s">
        <v>354</v>
      </c>
      <c r="L307" s="57">
        <v>0.0</v>
      </c>
      <c r="M307" s="57" t="s">
        <v>354</v>
      </c>
      <c r="N307" s="101" t="s">
        <v>17</v>
      </c>
      <c r="O307" s="101" t="s">
        <v>17</v>
      </c>
      <c r="P307" s="24" t="s">
        <v>136</v>
      </c>
      <c r="Q307" s="24" t="s">
        <v>135</v>
      </c>
      <c r="R307" s="24" t="s">
        <v>135</v>
      </c>
      <c r="S307" s="24" t="s">
        <v>135</v>
      </c>
      <c r="T307" s="24" t="s">
        <v>135</v>
      </c>
      <c r="U307" s="24" t="s">
        <v>135</v>
      </c>
      <c r="V307" s="24" t="s">
        <v>135</v>
      </c>
      <c r="W307" s="49"/>
      <c r="X307" s="46"/>
      <c r="Y307" s="46"/>
      <c r="Z307" s="46"/>
      <c r="AA307" s="46"/>
      <c r="AB307" s="57" t="s">
        <v>354</v>
      </c>
      <c r="AC307" s="46"/>
      <c r="AD307" s="46"/>
      <c r="AE307" s="46"/>
      <c r="AF307" s="49">
        <v>0.0</v>
      </c>
      <c r="AG307" s="63" t="s">
        <v>354</v>
      </c>
      <c r="AH307" s="63"/>
      <c r="AI307" s="63" t="s">
        <v>354</v>
      </c>
      <c r="AJ307" s="46"/>
      <c r="AK307" s="46"/>
      <c r="AL307" s="46" t="s">
        <v>356</v>
      </c>
      <c r="AM307" s="40" t="s">
        <v>357</v>
      </c>
      <c r="AN307" s="46" t="s">
        <v>356</v>
      </c>
    </row>
    <row r="308">
      <c r="A308" s="45" t="s">
        <v>135</v>
      </c>
      <c r="B308" s="18" t="s">
        <v>596</v>
      </c>
      <c r="C308" s="46" t="s">
        <v>134</v>
      </c>
      <c r="D308" s="47" t="s">
        <v>547</v>
      </c>
      <c r="E308" s="48" t="s">
        <v>7</v>
      </c>
      <c r="F308" s="46" t="s">
        <v>8</v>
      </c>
      <c r="G308" s="57" t="s">
        <v>354</v>
      </c>
      <c r="H308" s="49">
        <v>245.0</v>
      </c>
      <c r="I308" s="57" t="s">
        <v>354</v>
      </c>
      <c r="J308" s="57" t="s">
        <v>354</v>
      </c>
      <c r="K308" s="57" t="s">
        <v>354</v>
      </c>
      <c r="L308" s="57">
        <v>0.0</v>
      </c>
      <c r="M308" s="57" t="s">
        <v>354</v>
      </c>
      <c r="N308" s="101" t="s">
        <v>17</v>
      </c>
      <c r="O308" s="101" t="s">
        <v>17</v>
      </c>
      <c r="P308" s="24" t="s">
        <v>136</v>
      </c>
      <c r="Q308" s="24" t="s">
        <v>135</v>
      </c>
      <c r="R308" s="24" t="s">
        <v>135</v>
      </c>
      <c r="S308" s="24" t="s">
        <v>135</v>
      </c>
      <c r="T308" s="24" t="s">
        <v>135</v>
      </c>
      <c r="U308" s="24" t="s">
        <v>135</v>
      </c>
      <c r="V308" s="24" t="s">
        <v>135</v>
      </c>
      <c r="W308" s="18" t="s">
        <v>599</v>
      </c>
      <c r="X308" s="46"/>
      <c r="Y308" s="46"/>
      <c r="Z308" s="46"/>
      <c r="AA308" s="46"/>
      <c r="AB308" s="158" t="s">
        <v>600</v>
      </c>
      <c r="AC308" s="46"/>
      <c r="AD308" s="46"/>
      <c r="AE308" s="46"/>
      <c r="AF308" s="49">
        <v>0.0</v>
      </c>
      <c r="AG308" s="63" t="s">
        <v>354</v>
      </c>
      <c r="AH308" s="63"/>
      <c r="AI308" s="63" t="s">
        <v>354</v>
      </c>
      <c r="AJ308" s="46"/>
      <c r="AK308" s="46"/>
      <c r="AL308" s="46" t="s">
        <v>356</v>
      </c>
      <c r="AM308" s="46" t="s">
        <v>356</v>
      </c>
      <c r="AN308" s="46" t="s">
        <v>356</v>
      </c>
    </row>
    <row r="309">
      <c r="A309" s="45" t="s">
        <v>135</v>
      </c>
      <c r="B309" s="18" t="s">
        <v>596</v>
      </c>
      <c r="C309" s="46" t="s">
        <v>134</v>
      </c>
      <c r="D309" s="47" t="s">
        <v>547</v>
      </c>
      <c r="E309" s="48" t="s">
        <v>7</v>
      </c>
      <c r="F309" s="46" t="s">
        <v>8</v>
      </c>
      <c r="G309" s="57" t="s">
        <v>354</v>
      </c>
      <c r="H309" s="57" t="s">
        <v>354</v>
      </c>
      <c r="I309" s="57" t="s">
        <v>354</v>
      </c>
      <c r="J309" s="57" t="s">
        <v>354</v>
      </c>
      <c r="K309" s="57" t="s">
        <v>354</v>
      </c>
      <c r="L309" s="78">
        <v>1.0</v>
      </c>
      <c r="M309" s="78" t="s">
        <v>601</v>
      </c>
      <c r="N309" s="101" t="s">
        <v>17</v>
      </c>
      <c r="O309" s="101" t="s">
        <v>17</v>
      </c>
      <c r="P309" s="24" t="s">
        <v>136</v>
      </c>
      <c r="Q309" s="24" t="s">
        <v>135</v>
      </c>
      <c r="R309" s="24" t="s">
        <v>135</v>
      </c>
      <c r="S309" s="24" t="s">
        <v>135</v>
      </c>
      <c r="T309" s="24" t="s">
        <v>135</v>
      </c>
      <c r="U309" s="24" t="s">
        <v>135</v>
      </c>
      <c r="V309" s="24" t="s">
        <v>135</v>
      </c>
      <c r="W309" s="18" t="s">
        <v>599</v>
      </c>
      <c r="X309" s="24" t="s">
        <v>135</v>
      </c>
      <c r="Y309" s="46"/>
      <c r="Z309" s="46"/>
      <c r="AA309" s="46"/>
      <c r="AB309" s="158" t="s">
        <v>600</v>
      </c>
      <c r="AC309" s="46"/>
      <c r="AD309" s="46"/>
      <c r="AE309" s="46"/>
      <c r="AF309" s="49">
        <v>0.0</v>
      </c>
      <c r="AG309" s="63" t="s">
        <v>354</v>
      </c>
      <c r="AH309" s="63"/>
      <c r="AI309" s="63" t="s">
        <v>354</v>
      </c>
      <c r="AJ309" s="46"/>
      <c r="AK309" s="46"/>
      <c r="AL309" s="46" t="s">
        <v>356</v>
      </c>
      <c r="AM309" s="46" t="s">
        <v>356</v>
      </c>
      <c r="AN309" s="46" t="s">
        <v>356</v>
      </c>
    </row>
    <row r="310">
      <c r="A310" s="45" t="s">
        <v>135</v>
      </c>
      <c r="B310" s="18" t="s">
        <v>596</v>
      </c>
      <c r="C310" s="46" t="s">
        <v>134</v>
      </c>
      <c r="D310" s="47" t="s">
        <v>547</v>
      </c>
      <c r="E310" s="48" t="s">
        <v>7</v>
      </c>
      <c r="F310" s="46" t="s">
        <v>8</v>
      </c>
      <c r="G310" s="57" t="s">
        <v>354</v>
      </c>
      <c r="H310" s="57" t="s">
        <v>354</v>
      </c>
      <c r="I310" s="57" t="s">
        <v>354</v>
      </c>
      <c r="J310" s="57" t="s">
        <v>354</v>
      </c>
      <c r="K310" s="57" t="s">
        <v>354</v>
      </c>
      <c r="L310" s="78">
        <v>1.0</v>
      </c>
      <c r="M310" s="78" t="s">
        <v>601</v>
      </c>
      <c r="N310" s="101" t="s">
        <v>17</v>
      </c>
      <c r="O310" s="101" t="s">
        <v>17</v>
      </c>
      <c r="P310" s="24" t="s">
        <v>136</v>
      </c>
      <c r="Q310" s="24" t="s">
        <v>135</v>
      </c>
      <c r="R310" s="24" t="s">
        <v>135</v>
      </c>
      <c r="S310" s="24" t="s">
        <v>135</v>
      </c>
      <c r="T310" s="24" t="s">
        <v>135</v>
      </c>
      <c r="U310" s="24" t="s">
        <v>135</v>
      </c>
      <c r="V310" s="24" t="s">
        <v>135</v>
      </c>
      <c r="W310" s="18" t="s">
        <v>599</v>
      </c>
      <c r="X310" s="24" t="s">
        <v>135</v>
      </c>
      <c r="Y310" s="24" t="s">
        <v>135</v>
      </c>
      <c r="Z310" s="46"/>
      <c r="AA310" s="46"/>
      <c r="AB310" s="158" t="s">
        <v>600</v>
      </c>
      <c r="AC310" s="46"/>
      <c r="AD310" s="46"/>
      <c r="AE310" s="46"/>
      <c r="AF310" s="49">
        <v>0.0</v>
      </c>
      <c r="AG310" s="63" t="s">
        <v>354</v>
      </c>
      <c r="AH310" s="63"/>
      <c r="AI310" s="63" t="s">
        <v>354</v>
      </c>
      <c r="AJ310" s="46"/>
      <c r="AK310" s="46"/>
      <c r="AL310" s="46" t="s">
        <v>356</v>
      </c>
      <c r="AM310" s="46" t="s">
        <v>356</v>
      </c>
      <c r="AN310" s="46" t="s">
        <v>356</v>
      </c>
    </row>
    <row r="311">
      <c r="A311" s="45" t="s">
        <v>135</v>
      </c>
      <c r="B311" s="18" t="s">
        <v>596</v>
      </c>
      <c r="C311" s="46" t="s">
        <v>134</v>
      </c>
      <c r="D311" s="47" t="s">
        <v>547</v>
      </c>
      <c r="E311" s="48" t="s">
        <v>7</v>
      </c>
      <c r="F311" s="46" t="s">
        <v>8</v>
      </c>
      <c r="G311" s="57" t="s">
        <v>354</v>
      </c>
      <c r="H311" s="57" t="s">
        <v>354</v>
      </c>
      <c r="I311" s="57" t="s">
        <v>354</v>
      </c>
      <c r="J311" s="57" t="s">
        <v>354</v>
      </c>
      <c r="K311" s="57" t="s">
        <v>354</v>
      </c>
      <c r="L311" s="78">
        <v>1.0</v>
      </c>
      <c r="M311" s="78" t="s">
        <v>601</v>
      </c>
      <c r="N311" s="101" t="s">
        <v>17</v>
      </c>
      <c r="O311" s="101" t="s">
        <v>17</v>
      </c>
      <c r="P311" s="24" t="s">
        <v>136</v>
      </c>
      <c r="Q311" s="24" t="s">
        <v>135</v>
      </c>
      <c r="R311" s="24" t="s">
        <v>135</v>
      </c>
      <c r="S311" s="24" t="s">
        <v>135</v>
      </c>
      <c r="T311" s="24" t="s">
        <v>135</v>
      </c>
      <c r="U311" s="24" t="s">
        <v>135</v>
      </c>
      <c r="V311" s="24" t="s">
        <v>135</v>
      </c>
      <c r="W311" s="18" t="s">
        <v>599</v>
      </c>
      <c r="X311" s="24" t="s">
        <v>135</v>
      </c>
      <c r="Y311" s="24" t="s">
        <v>135</v>
      </c>
      <c r="Z311" s="24" t="s">
        <v>135</v>
      </c>
      <c r="AA311" s="46"/>
      <c r="AB311" s="158" t="s">
        <v>600</v>
      </c>
      <c r="AC311" s="46"/>
      <c r="AD311" s="46"/>
      <c r="AE311" s="46"/>
      <c r="AF311" s="49">
        <v>0.0</v>
      </c>
      <c r="AG311" s="49" t="s">
        <v>356</v>
      </c>
      <c r="AH311" s="46"/>
      <c r="AI311" s="49" t="s">
        <v>356</v>
      </c>
      <c r="AJ311" s="49" t="s">
        <v>356</v>
      </c>
      <c r="AK311" s="49"/>
      <c r="AL311" s="53" t="s">
        <v>361</v>
      </c>
      <c r="AM311" s="92" t="s">
        <v>361</v>
      </c>
      <c r="AN311" s="49" t="s">
        <v>356</v>
      </c>
    </row>
    <row r="312">
      <c r="A312" s="45" t="s">
        <v>135</v>
      </c>
      <c r="B312" s="18" t="s">
        <v>596</v>
      </c>
      <c r="C312" s="46" t="s">
        <v>134</v>
      </c>
      <c r="D312" s="47" t="s">
        <v>547</v>
      </c>
      <c r="E312" s="48" t="s">
        <v>7</v>
      </c>
      <c r="F312" s="46" t="s">
        <v>8</v>
      </c>
      <c r="G312" s="57" t="s">
        <v>354</v>
      </c>
      <c r="H312" s="57" t="s">
        <v>354</v>
      </c>
      <c r="I312" s="57" t="s">
        <v>354</v>
      </c>
      <c r="J312" s="57" t="s">
        <v>354</v>
      </c>
      <c r="K312" s="57" t="s">
        <v>354</v>
      </c>
      <c r="L312" s="78">
        <v>1.0</v>
      </c>
      <c r="M312" s="78" t="s">
        <v>601</v>
      </c>
      <c r="N312" s="101" t="s">
        <v>17</v>
      </c>
      <c r="O312" s="101" t="s">
        <v>17</v>
      </c>
      <c r="P312" s="24" t="s">
        <v>136</v>
      </c>
      <c r="Q312" s="24" t="s">
        <v>135</v>
      </c>
      <c r="R312" s="24" t="s">
        <v>135</v>
      </c>
      <c r="S312" s="24" t="s">
        <v>135</v>
      </c>
      <c r="T312" s="24" t="s">
        <v>135</v>
      </c>
      <c r="U312" s="24" t="s">
        <v>135</v>
      </c>
      <c r="V312" s="24" t="s">
        <v>135</v>
      </c>
      <c r="W312" s="18" t="s">
        <v>599</v>
      </c>
      <c r="X312" s="24" t="s">
        <v>135</v>
      </c>
      <c r="Y312" s="24" t="s">
        <v>135</v>
      </c>
      <c r="Z312" s="24" t="s">
        <v>135</v>
      </c>
      <c r="AA312" s="24" t="s">
        <v>135</v>
      </c>
      <c r="AB312" s="158" t="s">
        <v>600</v>
      </c>
      <c r="AC312" s="46"/>
      <c r="AD312" s="46"/>
      <c r="AE312" s="46"/>
      <c r="AF312" s="49">
        <v>0.0</v>
      </c>
      <c r="AG312" s="63" t="s">
        <v>354</v>
      </c>
      <c r="AH312" s="63"/>
      <c r="AI312" s="63" t="s">
        <v>354</v>
      </c>
      <c r="AJ312" s="49"/>
      <c r="AK312" s="49"/>
      <c r="AL312" s="46" t="s">
        <v>356</v>
      </c>
      <c r="AM312" s="92" t="s">
        <v>361</v>
      </c>
      <c r="AN312" s="75" t="s">
        <v>357</v>
      </c>
    </row>
    <row r="313">
      <c r="A313" s="17" t="s">
        <v>138</v>
      </c>
      <c r="B313" s="98" t="s">
        <v>602</v>
      </c>
      <c r="C313" s="19" t="s">
        <v>137</v>
      </c>
      <c r="D313" s="20" t="s">
        <v>547</v>
      </c>
      <c r="E313" s="21" t="s">
        <v>37</v>
      </c>
      <c r="F313" s="19" t="s">
        <v>8</v>
      </c>
      <c r="G313" s="23">
        <v>115.0</v>
      </c>
      <c r="H313" s="23">
        <v>275.0</v>
      </c>
      <c r="I313" s="22" t="s">
        <v>354</v>
      </c>
      <c r="J313" s="22" t="s">
        <v>354</v>
      </c>
      <c r="K313" s="22" t="s">
        <v>354</v>
      </c>
      <c r="L313" s="22">
        <v>0.0</v>
      </c>
      <c r="M313" s="22" t="s">
        <v>354</v>
      </c>
      <c r="N313" s="101" t="s">
        <v>17</v>
      </c>
      <c r="O313" s="101" t="s">
        <v>17</v>
      </c>
      <c r="P313" s="24" t="s">
        <v>139</v>
      </c>
      <c r="Q313" s="19"/>
      <c r="R313" s="19"/>
      <c r="S313" s="19"/>
      <c r="T313" s="19"/>
      <c r="U313" s="19"/>
      <c r="V313" s="19"/>
      <c r="W313" s="19"/>
      <c r="X313" s="19"/>
      <c r="Y313" s="19"/>
      <c r="Z313" s="19"/>
      <c r="AA313" s="19"/>
      <c r="AB313" s="22" t="s">
        <v>354</v>
      </c>
      <c r="AC313" s="19">
        <v>36331.0</v>
      </c>
      <c r="AD313" s="19"/>
      <c r="AE313" s="19"/>
      <c r="AF313" s="23">
        <v>0.0</v>
      </c>
      <c r="AG313" s="36" t="s">
        <v>365</v>
      </c>
      <c r="AH313" s="23" t="s">
        <v>366</v>
      </c>
      <c r="AI313" s="73" t="s">
        <v>357</v>
      </c>
      <c r="AJ313" s="19"/>
      <c r="AK313" s="19"/>
      <c r="AL313" s="73" t="s">
        <v>357</v>
      </c>
      <c r="AM313" s="73" t="s">
        <v>357</v>
      </c>
      <c r="AN313" s="73" t="s">
        <v>357</v>
      </c>
    </row>
    <row r="314">
      <c r="A314" s="17" t="s">
        <v>138</v>
      </c>
      <c r="B314" s="98" t="s">
        <v>602</v>
      </c>
      <c r="C314" s="19" t="s">
        <v>137</v>
      </c>
      <c r="D314" s="20" t="s">
        <v>547</v>
      </c>
      <c r="E314" s="21" t="s">
        <v>37</v>
      </c>
      <c r="F314" s="19" t="s">
        <v>8</v>
      </c>
      <c r="G314" s="23" t="s">
        <v>354</v>
      </c>
      <c r="H314" s="23">
        <v>205.0</v>
      </c>
      <c r="I314" s="22" t="s">
        <v>354</v>
      </c>
      <c r="J314" s="22" t="s">
        <v>354</v>
      </c>
      <c r="K314" s="22" t="s">
        <v>354</v>
      </c>
      <c r="L314" s="23">
        <v>1.0</v>
      </c>
      <c r="M314" s="22" t="s">
        <v>354</v>
      </c>
      <c r="N314" s="101" t="s">
        <v>17</v>
      </c>
      <c r="O314" s="101" t="s">
        <v>17</v>
      </c>
      <c r="P314" s="24" t="s">
        <v>139</v>
      </c>
      <c r="Q314" s="24" t="s">
        <v>138</v>
      </c>
      <c r="R314" s="19"/>
      <c r="S314" s="19"/>
      <c r="T314" s="19"/>
      <c r="U314" s="19"/>
      <c r="V314" s="19"/>
      <c r="W314" s="19"/>
      <c r="X314" s="19"/>
      <c r="Y314" s="19"/>
      <c r="Z314" s="19"/>
      <c r="AA314" s="19"/>
      <c r="AB314" s="22" t="s">
        <v>354</v>
      </c>
      <c r="AC314" s="19">
        <v>36613.0</v>
      </c>
      <c r="AD314" s="19"/>
      <c r="AE314" s="19"/>
      <c r="AF314" s="66">
        <v>39.0</v>
      </c>
      <c r="AG314" s="36" t="s">
        <v>365</v>
      </c>
      <c r="AH314" s="23" t="s">
        <v>366</v>
      </c>
      <c r="AI314" s="73" t="s">
        <v>357</v>
      </c>
      <c r="AJ314" s="19"/>
      <c r="AK314" s="19"/>
      <c r="AL314" s="59" t="s">
        <v>357</v>
      </c>
      <c r="AM314" s="38" t="s">
        <v>357</v>
      </c>
      <c r="AN314" s="59" t="s">
        <v>357</v>
      </c>
    </row>
    <row r="315">
      <c r="A315" s="17" t="s">
        <v>138</v>
      </c>
      <c r="B315" s="98" t="s">
        <v>602</v>
      </c>
      <c r="C315" s="19" t="s">
        <v>137</v>
      </c>
      <c r="D315" s="20" t="s">
        <v>547</v>
      </c>
      <c r="E315" s="33" t="s">
        <v>7</v>
      </c>
      <c r="F315" s="19" t="s">
        <v>8</v>
      </c>
      <c r="G315" s="22" t="s">
        <v>354</v>
      </c>
      <c r="H315" s="23">
        <v>175.0</v>
      </c>
      <c r="I315" s="22" t="s">
        <v>354</v>
      </c>
      <c r="J315" s="22" t="s">
        <v>354</v>
      </c>
      <c r="K315" s="22" t="s">
        <v>354</v>
      </c>
      <c r="L315" s="22">
        <v>0.0</v>
      </c>
      <c r="M315" s="22" t="s">
        <v>354</v>
      </c>
      <c r="N315" s="101" t="s">
        <v>17</v>
      </c>
      <c r="O315" s="101" t="s">
        <v>17</v>
      </c>
      <c r="P315" s="24" t="s">
        <v>139</v>
      </c>
      <c r="Q315" s="24" t="s">
        <v>138</v>
      </c>
      <c r="R315" s="24" t="s">
        <v>138</v>
      </c>
      <c r="S315" s="19"/>
      <c r="T315" s="19"/>
      <c r="U315" s="19"/>
      <c r="V315" s="19"/>
      <c r="W315" s="19"/>
      <c r="X315" s="19"/>
      <c r="Y315" s="19"/>
      <c r="Z315" s="19"/>
      <c r="AA315" s="19"/>
      <c r="AB315" s="23" t="s">
        <v>603</v>
      </c>
      <c r="AC315" s="19"/>
      <c r="AD315" s="19"/>
      <c r="AE315" s="19"/>
      <c r="AF315" s="66">
        <v>31.6</v>
      </c>
      <c r="AG315" s="36" t="s">
        <v>365</v>
      </c>
      <c r="AH315" s="23" t="s">
        <v>366</v>
      </c>
      <c r="AI315" s="102" t="s">
        <v>357</v>
      </c>
      <c r="AJ315" s="19"/>
      <c r="AK315" s="19"/>
      <c r="AL315" s="102" t="s">
        <v>357</v>
      </c>
      <c r="AM315" s="102" t="s">
        <v>357</v>
      </c>
      <c r="AN315" s="102" t="s">
        <v>357</v>
      </c>
    </row>
    <row r="316">
      <c r="A316" s="17" t="s">
        <v>138</v>
      </c>
      <c r="B316" s="98" t="s">
        <v>602</v>
      </c>
      <c r="C316" s="19" t="s">
        <v>137</v>
      </c>
      <c r="D316" s="20" t="s">
        <v>547</v>
      </c>
      <c r="E316" s="33" t="s">
        <v>7</v>
      </c>
      <c r="F316" s="19" t="s">
        <v>8</v>
      </c>
      <c r="G316" s="22" t="s">
        <v>354</v>
      </c>
      <c r="H316" s="23">
        <v>175.0</v>
      </c>
      <c r="I316" s="22" t="s">
        <v>354</v>
      </c>
      <c r="J316" s="22" t="s">
        <v>354</v>
      </c>
      <c r="K316" s="22" t="s">
        <v>354</v>
      </c>
      <c r="L316" s="22">
        <v>0.0</v>
      </c>
      <c r="M316" s="22" t="s">
        <v>354</v>
      </c>
      <c r="N316" s="101" t="s">
        <v>17</v>
      </c>
      <c r="O316" s="101" t="s">
        <v>17</v>
      </c>
      <c r="P316" s="24" t="s">
        <v>139</v>
      </c>
      <c r="Q316" s="24" t="s">
        <v>138</v>
      </c>
      <c r="R316" s="24" t="s">
        <v>138</v>
      </c>
      <c r="S316" s="24" t="s">
        <v>138</v>
      </c>
      <c r="T316" s="19"/>
      <c r="U316" s="19"/>
      <c r="V316" s="19"/>
      <c r="W316" s="19"/>
      <c r="X316" s="19"/>
      <c r="Y316" s="19"/>
      <c r="Z316" s="19"/>
      <c r="AA316" s="19"/>
      <c r="AB316" s="22" t="s">
        <v>354</v>
      </c>
      <c r="AC316" s="19"/>
      <c r="AD316" s="19"/>
      <c r="AE316" s="19"/>
      <c r="AF316" s="23">
        <v>0.0</v>
      </c>
      <c r="AG316" s="33" t="s">
        <v>354</v>
      </c>
      <c r="AH316" s="33"/>
      <c r="AI316" s="33" t="s">
        <v>354</v>
      </c>
      <c r="AJ316" s="19"/>
      <c r="AK316" s="19"/>
      <c r="AL316" s="59" t="s">
        <v>357</v>
      </c>
      <c r="AM316" s="29" t="s">
        <v>604</v>
      </c>
      <c r="AN316" s="64" t="s">
        <v>363</v>
      </c>
    </row>
    <row r="317">
      <c r="A317" s="17" t="s">
        <v>138</v>
      </c>
      <c r="B317" s="98" t="s">
        <v>602</v>
      </c>
      <c r="C317" s="19" t="s">
        <v>137</v>
      </c>
      <c r="D317" s="20" t="s">
        <v>547</v>
      </c>
      <c r="E317" s="33" t="s">
        <v>7</v>
      </c>
      <c r="F317" s="19" t="s">
        <v>8</v>
      </c>
      <c r="G317" s="23">
        <v>114.0</v>
      </c>
      <c r="H317" s="23">
        <v>180.0</v>
      </c>
      <c r="I317" s="22" t="s">
        <v>354</v>
      </c>
      <c r="J317" s="22" t="s">
        <v>354</v>
      </c>
      <c r="K317" s="22" t="s">
        <v>354</v>
      </c>
      <c r="L317" s="22">
        <v>0.0</v>
      </c>
      <c r="M317" s="22" t="s">
        <v>354</v>
      </c>
      <c r="N317" s="101" t="s">
        <v>17</v>
      </c>
      <c r="O317" s="101" t="s">
        <v>17</v>
      </c>
      <c r="P317" s="24" t="s">
        <v>139</v>
      </c>
      <c r="Q317" s="24" t="s">
        <v>138</v>
      </c>
      <c r="R317" s="24" t="s">
        <v>138</v>
      </c>
      <c r="S317" s="24" t="s">
        <v>138</v>
      </c>
      <c r="T317" s="24" t="s">
        <v>138</v>
      </c>
      <c r="U317" s="19"/>
      <c r="V317" s="19"/>
      <c r="W317" s="19"/>
      <c r="X317" s="19"/>
      <c r="Y317" s="19"/>
      <c r="Z317" s="19"/>
      <c r="AA317" s="19"/>
      <c r="AB317" s="23" t="s">
        <v>442</v>
      </c>
      <c r="AC317" s="19"/>
      <c r="AD317" s="19"/>
      <c r="AE317" s="19"/>
      <c r="AF317" s="23">
        <v>0.0</v>
      </c>
      <c r="AG317" s="33" t="s">
        <v>354</v>
      </c>
      <c r="AH317" s="33"/>
      <c r="AI317" s="33" t="s">
        <v>354</v>
      </c>
      <c r="AJ317" s="19"/>
      <c r="AK317" s="19"/>
      <c r="AL317" s="156" t="s">
        <v>356</v>
      </c>
      <c r="AM317" s="156" t="s">
        <v>356</v>
      </c>
      <c r="AN317" s="156" t="s">
        <v>356</v>
      </c>
    </row>
    <row r="318">
      <c r="A318" s="17" t="s">
        <v>138</v>
      </c>
      <c r="B318" s="98" t="s">
        <v>602</v>
      </c>
      <c r="C318" s="19" t="s">
        <v>137</v>
      </c>
      <c r="D318" s="20" t="s">
        <v>547</v>
      </c>
      <c r="E318" s="33" t="s">
        <v>7</v>
      </c>
      <c r="F318" s="19" t="s">
        <v>8</v>
      </c>
      <c r="G318" s="22" t="s">
        <v>354</v>
      </c>
      <c r="H318" s="23">
        <v>225.0</v>
      </c>
      <c r="I318" s="22" t="s">
        <v>354</v>
      </c>
      <c r="J318" s="22" t="s">
        <v>354</v>
      </c>
      <c r="K318" s="22" t="s">
        <v>354</v>
      </c>
      <c r="L318" s="22">
        <v>0.0</v>
      </c>
      <c r="M318" s="22" t="s">
        <v>354</v>
      </c>
      <c r="N318" s="101" t="s">
        <v>17</v>
      </c>
      <c r="O318" s="101" t="s">
        <v>17</v>
      </c>
      <c r="P318" s="24" t="s">
        <v>139</v>
      </c>
      <c r="Q318" s="24" t="s">
        <v>138</v>
      </c>
      <c r="R318" s="24" t="s">
        <v>138</v>
      </c>
      <c r="S318" s="24" t="s">
        <v>138</v>
      </c>
      <c r="T318" s="24" t="s">
        <v>138</v>
      </c>
      <c r="U318" s="24" t="s">
        <v>138</v>
      </c>
      <c r="V318" s="19"/>
      <c r="W318" s="19"/>
      <c r="X318" s="19"/>
      <c r="Y318" s="19"/>
      <c r="Z318" s="19"/>
      <c r="AA318" s="19"/>
      <c r="AB318" s="23" t="s">
        <v>605</v>
      </c>
      <c r="AC318" s="19"/>
      <c r="AD318" s="19"/>
      <c r="AE318" s="19"/>
      <c r="AF318" s="23">
        <v>0.0</v>
      </c>
      <c r="AG318" s="23" t="s">
        <v>354</v>
      </c>
      <c r="AH318" s="22"/>
      <c r="AI318" s="23" t="s">
        <v>354</v>
      </c>
      <c r="AJ318" s="19"/>
      <c r="AK318" s="19"/>
      <c r="AL318" s="19" t="s">
        <v>356</v>
      </c>
      <c r="AM318" s="19" t="s">
        <v>356</v>
      </c>
      <c r="AN318" s="19" t="s">
        <v>356</v>
      </c>
    </row>
    <row r="319">
      <c r="A319" s="17" t="s">
        <v>138</v>
      </c>
      <c r="B319" s="98" t="s">
        <v>602</v>
      </c>
      <c r="C319" s="19" t="s">
        <v>137</v>
      </c>
      <c r="D319" s="20" t="s">
        <v>547</v>
      </c>
      <c r="E319" s="33" t="s">
        <v>7</v>
      </c>
      <c r="F319" s="19" t="s">
        <v>8</v>
      </c>
      <c r="G319" s="23">
        <v>114.0</v>
      </c>
      <c r="H319" s="23">
        <v>275.0</v>
      </c>
      <c r="I319" s="22" t="s">
        <v>354</v>
      </c>
      <c r="J319" s="22" t="s">
        <v>354</v>
      </c>
      <c r="K319" s="22" t="s">
        <v>354</v>
      </c>
      <c r="L319" s="22">
        <v>0.0</v>
      </c>
      <c r="M319" s="22" t="s">
        <v>354</v>
      </c>
      <c r="N319" s="101" t="s">
        <v>17</v>
      </c>
      <c r="O319" s="101" t="s">
        <v>17</v>
      </c>
      <c r="P319" s="24" t="s">
        <v>139</v>
      </c>
      <c r="Q319" s="24" t="s">
        <v>138</v>
      </c>
      <c r="R319" s="24" t="s">
        <v>138</v>
      </c>
      <c r="S319" s="24" t="s">
        <v>138</v>
      </c>
      <c r="T319" s="24" t="s">
        <v>138</v>
      </c>
      <c r="U319" s="24" t="s">
        <v>138</v>
      </c>
      <c r="V319" s="24" t="s">
        <v>138</v>
      </c>
      <c r="W319" s="19"/>
      <c r="X319" s="23"/>
      <c r="Y319" s="23"/>
      <c r="Z319" s="23"/>
      <c r="AA319" s="19"/>
      <c r="AB319" s="23" t="s">
        <v>514</v>
      </c>
      <c r="AC319" s="19"/>
      <c r="AD319" s="19"/>
      <c r="AE319" s="19"/>
      <c r="AF319" s="23">
        <v>0.0</v>
      </c>
      <c r="AG319" s="23" t="s">
        <v>354</v>
      </c>
      <c r="AH319" s="22"/>
      <c r="AI319" s="23" t="s">
        <v>354</v>
      </c>
      <c r="AJ319" s="19"/>
      <c r="AK319" s="19"/>
      <c r="AL319" s="19" t="s">
        <v>356</v>
      </c>
      <c r="AM319" s="19" t="s">
        <v>356</v>
      </c>
      <c r="AN319" s="19" t="s">
        <v>356</v>
      </c>
    </row>
    <row r="320">
      <c r="A320" s="17" t="s">
        <v>138</v>
      </c>
      <c r="B320" s="98" t="s">
        <v>602</v>
      </c>
      <c r="C320" s="19" t="s">
        <v>137</v>
      </c>
      <c r="D320" s="20" t="s">
        <v>547</v>
      </c>
      <c r="E320" s="33" t="s">
        <v>7</v>
      </c>
      <c r="F320" s="19" t="s">
        <v>8</v>
      </c>
      <c r="G320" s="23">
        <v>115.0</v>
      </c>
      <c r="H320" s="23">
        <v>195.0</v>
      </c>
      <c r="I320" s="22" t="s">
        <v>354</v>
      </c>
      <c r="J320" s="22" t="s">
        <v>354</v>
      </c>
      <c r="K320" s="22" t="s">
        <v>354</v>
      </c>
      <c r="L320" s="22">
        <v>0.0</v>
      </c>
      <c r="M320" s="22" t="s">
        <v>354</v>
      </c>
      <c r="N320" s="101" t="s">
        <v>17</v>
      </c>
      <c r="O320" s="101" t="s">
        <v>17</v>
      </c>
      <c r="P320" s="24" t="s">
        <v>139</v>
      </c>
      <c r="Q320" s="24" t="s">
        <v>138</v>
      </c>
      <c r="R320" s="24" t="s">
        <v>138</v>
      </c>
      <c r="S320" s="24" t="s">
        <v>138</v>
      </c>
      <c r="T320" s="24" t="s">
        <v>138</v>
      </c>
      <c r="U320" s="24" t="s">
        <v>138</v>
      </c>
      <c r="V320" s="24" t="s">
        <v>138</v>
      </c>
      <c r="W320" s="18" t="s">
        <v>606</v>
      </c>
      <c r="X320" s="23"/>
      <c r="Y320" s="23"/>
      <c r="Z320" s="23"/>
      <c r="AA320" s="23"/>
      <c r="AB320" s="23" t="s">
        <v>354</v>
      </c>
      <c r="AC320" s="19"/>
      <c r="AD320" s="19"/>
      <c r="AE320" s="19"/>
      <c r="AF320" s="23">
        <v>0.0</v>
      </c>
      <c r="AG320" s="23" t="s">
        <v>354</v>
      </c>
      <c r="AH320" s="22"/>
      <c r="AI320" s="23" t="s">
        <v>354</v>
      </c>
      <c r="AJ320" s="19"/>
      <c r="AK320" s="19"/>
      <c r="AL320" s="19" t="s">
        <v>356</v>
      </c>
      <c r="AM320" s="19" t="s">
        <v>356</v>
      </c>
      <c r="AN320" s="19" t="s">
        <v>356</v>
      </c>
    </row>
    <row r="321">
      <c r="A321" s="17" t="s">
        <v>138</v>
      </c>
      <c r="B321" s="98" t="s">
        <v>602</v>
      </c>
      <c r="C321" s="19" t="s">
        <v>137</v>
      </c>
      <c r="D321" s="20" t="s">
        <v>547</v>
      </c>
      <c r="E321" s="33" t="s">
        <v>7</v>
      </c>
      <c r="F321" s="19" t="s">
        <v>8</v>
      </c>
      <c r="G321" s="22" t="s">
        <v>354</v>
      </c>
      <c r="H321" s="22" t="s">
        <v>354</v>
      </c>
      <c r="I321" s="22" t="s">
        <v>354</v>
      </c>
      <c r="J321" s="22" t="s">
        <v>354</v>
      </c>
      <c r="K321" s="22" t="s">
        <v>354</v>
      </c>
      <c r="L321" s="23">
        <v>0.0</v>
      </c>
      <c r="M321" s="22" t="s">
        <v>354</v>
      </c>
      <c r="N321" s="101" t="s">
        <v>17</v>
      </c>
      <c r="O321" s="101" t="s">
        <v>17</v>
      </c>
      <c r="P321" s="24" t="s">
        <v>139</v>
      </c>
      <c r="Q321" s="24" t="s">
        <v>138</v>
      </c>
      <c r="R321" s="24" t="s">
        <v>138</v>
      </c>
      <c r="S321" s="24" t="s">
        <v>138</v>
      </c>
      <c r="T321" s="24" t="s">
        <v>138</v>
      </c>
      <c r="U321" s="24" t="s">
        <v>138</v>
      </c>
      <c r="V321" s="24" t="s">
        <v>138</v>
      </c>
      <c r="W321" s="18" t="s">
        <v>606</v>
      </c>
      <c r="X321" s="18" t="s">
        <v>607</v>
      </c>
      <c r="Y321" s="44" t="s">
        <v>373</v>
      </c>
      <c r="Z321" s="61" t="s">
        <v>373</v>
      </c>
      <c r="AA321" s="62" t="s">
        <v>373</v>
      </c>
      <c r="AB321" s="62" t="s">
        <v>608</v>
      </c>
      <c r="AC321" s="19"/>
      <c r="AD321" s="19"/>
      <c r="AE321" s="19"/>
      <c r="AF321" s="23">
        <v>0.0</v>
      </c>
      <c r="AG321" s="36" t="s">
        <v>354</v>
      </c>
      <c r="AH321" s="23"/>
      <c r="AI321" s="23" t="s">
        <v>354</v>
      </c>
      <c r="AJ321" s="19"/>
      <c r="AK321" s="19"/>
      <c r="AL321" s="163" t="s">
        <v>361</v>
      </c>
      <c r="AM321" s="22" t="s">
        <v>356</v>
      </c>
      <c r="AN321" s="22" t="s">
        <v>356</v>
      </c>
    </row>
    <row r="322">
      <c r="A322" s="45" t="s">
        <v>141</v>
      </c>
      <c r="B322" s="18" t="s">
        <v>609</v>
      </c>
      <c r="C322" s="46" t="s">
        <v>140</v>
      </c>
      <c r="D322" s="47" t="s">
        <v>547</v>
      </c>
      <c r="E322" s="48" t="s">
        <v>7</v>
      </c>
      <c r="F322" s="46" t="s">
        <v>8</v>
      </c>
      <c r="G322" s="49">
        <v>119.0</v>
      </c>
      <c r="H322" s="49">
        <v>280.0</v>
      </c>
      <c r="I322" s="57" t="s">
        <v>354</v>
      </c>
      <c r="J322" s="57" t="s">
        <v>354</v>
      </c>
      <c r="K322" s="57" t="s">
        <v>354</v>
      </c>
      <c r="L322" s="57">
        <v>0.0</v>
      </c>
      <c r="M322" s="57" t="s">
        <v>354</v>
      </c>
      <c r="N322" s="101" t="s">
        <v>17</v>
      </c>
      <c r="O322" s="101" t="s">
        <v>17</v>
      </c>
      <c r="P322" s="24" t="s">
        <v>142</v>
      </c>
      <c r="Q322" s="46"/>
      <c r="R322" s="46"/>
      <c r="S322" s="46"/>
      <c r="T322" s="46"/>
      <c r="U322" s="46"/>
      <c r="V322" s="46"/>
      <c r="W322" s="46"/>
      <c r="X322" s="46"/>
      <c r="Y322" s="46"/>
      <c r="Z322" s="46"/>
      <c r="AA322" s="46"/>
      <c r="AB322" s="57" t="s">
        <v>354</v>
      </c>
      <c r="AC322" s="46">
        <v>36332.0</v>
      </c>
      <c r="AD322" s="46"/>
      <c r="AE322" s="46"/>
      <c r="AF322" s="151">
        <v>27.41</v>
      </c>
      <c r="AG322" s="56" t="s">
        <v>365</v>
      </c>
      <c r="AH322" s="49" t="s">
        <v>610</v>
      </c>
      <c r="AI322" s="58" t="s">
        <v>380</v>
      </c>
      <c r="AJ322" s="46"/>
      <c r="AK322" s="46"/>
      <c r="AL322" s="54" t="s">
        <v>356</v>
      </c>
      <c r="AM322" s="54" t="s">
        <v>356</v>
      </c>
      <c r="AN322" s="88" t="s">
        <v>358</v>
      </c>
    </row>
    <row r="323">
      <c r="A323" s="45" t="s">
        <v>141</v>
      </c>
      <c r="B323" s="18" t="s">
        <v>609</v>
      </c>
      <c r="C323" s="46" t="s">
        <v>140</v>
      </c>
      <c r="D323" s="47" t="s">
        <v>547</v>
      </c>
      <c r="E323" s="48" t="s">
        <v>7</v>
      </c>
      <c r="F323" s="46" t="s">
        <v>8</v>
      </c>
      <c r="G323" s="57" t="s">
        <v>354</v>
      </c>
      <c r="H323" s="49">
        <v>230.0</v>
      </c>
      <c r="I323" s="57" t="s">
        <v>354</v>
      </c>
      <c r="J323" s="57" t="s">
        <v>354</v>
      </c>
      <c r="K323" s="57" t="s">
        <v>354</v>
      </c>
      <c r="L323" s="49">
        <v>1.0</v>
      </c>
      <c r="M323" s="57" t="s">
        <v>354</v>
      </c>
      <c r="N323" s="101" t="s">
        <v>17</v>
      </c>
      <c r="O323" s="101" t="s">
        <v>17</v>
      </c>
      <c r="P323" s="24" t="s">
        <v>142</v>
      </c>
      <c r="Q323" s="24" t="s">
        <v>141</v>
      </c>
      <c r="R323" s="46"/>
      <c r="S323" s="46"/>
      <c r="T323" s="46"/>
      <c r="U323" s="46"/>
      <c r="V323" s="46"/>
      <c r="W323" s="46"/>
      <c r="X323" s="46"/>
      <c r="Y323" s="46"/>
      <c r="Z323" s="46"/>
      <c r="AA323" s="46"/>
      <c r="AB323" s="57" t="s">
        <v>354</v>
      </c>
      <c r="AC323" s="46">
        <v>36614.0</v>
      </c>
      <c r="AD323" s="46"/>
      <c r="AE323" s="46"/>
      <c r="AF323" s="55">
        <v>32.13</v>
      </c>
      <c r="AG323" s="56" t="s">
        <v>365</v>
      </c>
      <c r="AH323" s="49" t="s">
        <v>610</v>
      </c>
      <c r="AI323" s="58" t="s">
        <v>380</v>
      </c>
      <c r="AJ323" s="46"/>
      <c r="AK323" s="46"/>
      <c r="AL323" s="46" t="s">
        <v>356</v>
      </c>
      <c r="AM323" s="46" t="s">
        <v>356</v>
      </c>
      <c r="AN323" s="149" t="s">
        <v>363</v>
      </c>
    </row>
    <row r="324">
      <c r="A324" s="45" t="s">
        <v>141</v>
      </c>
      <c r="B324" s="18" t="s">
        <v>609</v>
      </c>
      <c r="C324" s="46" t="s">
        <v>140</v>
      </c>
      <c r="D324" s="47" t="s">
        <v>547</v>
      </c>
      <c r="E324" s="48" t="s">
        <v>7</v>
      </c>
      <c r="F324" s="46" t="s">
        <v>8</v>
      </c>
      <c r="G324" s="57" t="s">
        <v>354</v>
      </c>
      <c r="H324" s="49">
        <v>230.0</v>
      </c>
      <c r="I324" s="57" t="s">
        <v>354</v>
      </c>
      <c r="J324" s="57" t="s">
        <v>354</v>
      </c>
      <c r="K324" s="57" t="s">
        <v>354</v>
      </c>
      <c r="L324" s="57">
        <v>0.0</v>
      </c>
      <c r="M324" s="57" t="s">
        <v>354</v>
      </c>
      <c r="N324" s="101" t="s">
        <v>17</v>
      </c>
      <c r="O324" s="101" t="s">
        <v>17</v>
      </c>
      <c r="P324" s="24" t="s">
        <v>142</v>
      </c>
      <c r="Q324" s="24" t="s">
        <v>141</v>
      </c>
      <c r="R324" s="24" t="s">
        <v>141</v>
      </c>
      <c r="S324" s="46"/>
      <c r="T324" s="46"/>
      <c r="U324" s="46"/>
      <c r="V324" s="46"/>
      <c r="W324" s="46"/>
      <c r="X324" s="46"/>
      <c r="Y324" s="46"/>
      <c r="Z324" s="46"/>
      <c r="AA324" s="46"/>
      <c r="AB324" s="57" t="s">
        <v>354</v>
      </c>
      <c r="AC324" s="46"/>
      <c r="AD324" s="46"/>
      <c r="AE324" s="46"/>
      <c r="AF324" s="63">
        <v>0.0</v>
      </c>
      <c r="AG324" s="49" t="s">
        <v>356</v>
      </c>
      <c r="AH324" s="46"/>
      <c r="AI324" s="46" t="s">
        <v>356</v>
      </c>
      <c r="AJ324" s="46"/>
      <c r="AK324" s="46"/>
      <c r="AL324" s="46" t="s">
        <v>356</v>
      </c>
      <c r="AM324" s="46" t="s">
        <v>356</v>
      </c>
      <c r="AN324" s="37" t="s">
        <v>363</v>
      </c>
    </row>
    <row r="325">
      <c r="A325" s="45" t="s">
        <v>141</v>
      </c>
      <c r="B325" s="18" t="s">
        <v>609</v>
      </c>
      <c r="C325" s="46" t="s">
        <v>140</v>
      </c>
      <c r="D325" s="47" t="s">
        <v>547</v>
      </c>
      <c r="E325" s="48" t="s">
        <v>7</v>
      </c>
      <c r="F325" s="46" t="s">
        <v>8</v>
      </c>
      <c r="G325" s="57" t="s">
        <v>354</v>
      </c>
      <c r="H325" s="49">
        <v>255.0</v>
      </c>
      <c r="I325" s="57" t="s">
        <v>354</v>
      </c>
      <c r="J325" s="57" t="s">
        <v>354</v>
      </c>
      <c r="K325" s="57" t="s">
        <v>354</v>
      </c>
      <c r="L325" s="57">
        <v>0.0</v>
      </c>
      <c r="M325" s="57" t="s">
        <v>354</v>
      </c>
      <c r="N325" s="101" t="s">
        <v>17</v>
      </c>
      <c r="O325" s="101" t="s">
        <v>17</v>
      </c>
      <c r="P325" s="24" t="s">
        <v>142</v>
      </c>
      <c r="Q325" s="24" t="s">
        <v>141</v>
      </c>
      <c r="R325" s="24" t="s">
        <v>141</v>
      </c>
      <c r="S325" s="24" t="s">
        <v>141</v>
      </c>
      <c r="T325" s="46"/>
      <c r="U325" s="46"/>
      <c r="V325" s="46"/>
      <c r="W325" s="46"/>
      <c r="X325" s="46"/>
      <c r="Y325" s="46"/>
      <c r="Z325" s="46"/>
      <c r="AA325" s="46"/>
      <c r="AB325" s="57" t="s">
        <v>354</v>
      </c>
      <c r="AC325" s="46"/>
      <c r="AD325" s="46"/>
      <c r="AE325" s="46"/>
      <c r="AF325" s="63">
        <v>0.0</v>
      </c>
      <c r="AG325" s="49" t="s">
        <v>354</v>
      </c>
      <c r="AH325" s="46"/>
      <c r="AI325" s="49" t="s">
        <v>354</v>
      </c>
      <c r="AJ325" s="46"/>
      <c r="AK325" s="46"/>
      <c r="AL325" s="46" t="s">
        <v>356</v>
      </c>
      <c r="AM325" s="46" t="s">
        <v>356</v>
      </c>
      <c r="AN325" s="46" t="s">
        <v>356</v>
      </c>
    </row>
    <row r="326">
      <c r="A326" s="45" t="s">
        <v>141</v>
      </c>
      <c r="B326" s="18" t="s">
        <v>609</v>
      </c>
      <c r="C326" s="46" t="s">
        <v>140</v>
      </c>
      <c r="D326" s="47" t="s">
        <v>547</v>
      </c>
      <c r="E326" s="48" t="s">
        <v>7</v>
      </c>
      <c r="F326" s="46" t="s">
        <v>8</v>
      </c>
      <c r="G326" s="57" t="s">
        <v>354</v>
      </c>
      <c r="H326" s="49">
        <v>240.0</v>
      </c>
      <c r="I326" s="57" t="s">
        <v>354</v>
      </c>
      <c r="J326" s="57" t="s">
        <v>354</v>
      </c>
      <c r="K326" s="57" t="s">
        <v>354</v>
      </c>
      <c r="L326" s="57">
        <v>0.0</v>
      </c>
      <c r="M326" s="57" t="s">
        <v>354</v>
      </c>
      <c r="N326" s="101" t="s">
        <v>17</v>
      </c>
      <c r="O326" s="101" t="s">
        <v>17</v>
      </c>
      <c r="P326" s="24" t="s">
        <v>142</v>
      </c>
      <c r="Q326" s="24" t="s">
        <v>141</v>
      </c>
      <c r="R326" s="24" t="s">
        <v>141</v>
      </c>
      <c r="S326" s="24" t="s">
        <v>141</v>
      </c>
      <c r="T326" s="24" t="s">
        <v>141</v>
      </c>
      <c r="U326" s="46"/>
      <c r="V326" s="46"/>
      <c r="W326" s="46"/>
      <c r="X326" s="46"/>
      <c r="Y326" s="46"/>
      <c r="Z326" s="46"/>
      <c r="AA326" s="46"/>
      <c r="AB326" s="57" t="s">
        <v>354</v>
      </c>
      <c r="AC326" s="46"/>
      <c r="AD326" s="46"/>
      <c r="AE326" s="46"/>
      <c r="AF326" s="56">
        <v>38.21</v>
      </c>
      <c r="AG326" s="49" t="s">
        <v>354</v>
      </c>
      <c r="AH326" s="46"/>
      <c r="AI326" s="49" t="s">
        <v>354</v>
      </c>
      <c r="AJ326" s="46"/>
      <c r="AK326" s="46"/>
      <c r="AL326" s="80" t="s">
        <v>356</v>
      </c>
      <c r="AM326" s="58" t="s">
        <v>380</v>
      </c>
      <c r="AN326" s="80" t="s">
        <v>356</v>
      </c>
    </row>
    <row r="327">
      <c r="A327" s="45" t="s">
        <v>141</v>
      </c>
      <c r="B327" s="18" t="s">
        <v>609</v>
      </c>
      <c r="C327" s="46" t="s">
        <v>140</v>
      </c>
      <c r="D327" s="47" t="s">
        <v>547</v>
      </c>
      <c r="E327" s="48" t="s">
        <v>7</v>
      </c>
      <c r="F327" s="46" t="s">
        <v>8</v>
      </c>
      <c r="G327" s="57" t="s">
        <v>354</v>
      </c>
      <c r="H327" s="49">
        <v>270.0</v>
      </c>
      <c r="I327" s="57" t="s">
        <v>354</v>
      </c>
      <c r="J327" s="57" t="s">
        <v>354</v>
      </c>
      <c r="K327" s="57" t="s">
        <v>354</v>
      </c>
      <c r="L327" s="57">
        <v>0.0</v>
      </c>
      <c r="M327" s="57" t="s">
        <v>354</v>
      </c>
      <c r="N327" s="101" t="s">
        <v>17</v>
      </c>
      <c r="O327" s="101" t="s">
        <v>17</v>
      </c>
      <c r="P327" s="24" t="s">
        <v>142</v>
      </c>
      <c r="Q327" s="24" t="s">
        <v>141</v>
      </c>
      <c r="R327" s="24" t="s">
        <v>141</v>
      </c>
      <c r="S327" s="24" t="s">
        <v>141</v>
      </c>
      <c r="T327" s="24" t="s">
        <v>141</v>
      </c>
      <c r="U327" s="24" t="s">
        <v>141</v>
      </c>
      <c r="V327" s="46"/>
      <c r="W327" s="46"/>
      <c r="X327" s="46"/>
      <c r="Y327" s="46"/>
      <c r="Z327" s="46"/>
      <c r="AA327" s="46"/>
      <c r="AB327" s="49" t="s">
        <v>611</v>
      </c>
      <c r="AC327" s="46"/>
      <c r="AD327" s="46"/>
      <c r="AE327" s="46"/>
      <c r="AF327" s="49">
        <v>0.0</v>
      </c>
      <c r="AG327" s="49" t="s">
        <v>354</v>
      </c>
      <c r="AH327" s="57"/>
      <c r="AI327" s="49" t="s">
        <v>354</v>
      </c>
      <c r="AJ327" s="46"/>
      <c r="AK327" s="46"/>
      <c r="AL327" s="46" t="s">
        <v>356</v>
      </c>
      <c r="AM327" s="46" t="s">
        <v>356</v>
      </c>
      <c r="AN327" s="46" t="s">
        <v>356</v>
      </c>
    </row>
    <row r="328">
      <c r="A328" s="45" t="s">
        <v>141</v>
      </c>
      <c r="B328" s="18" t="s">
        <v>609</v>
      </c>
      <c r="C328" s="46" t="s">
        <v>140</v>
      </c>
      <c r="D328" s="47" t="s">
        <v>547</v>
      </c>
      <c r="E328" s="48" t="s">
        <v>7</v>
      </c>
      <c r="F328" s="46" t="s">
        <v>8</v>
      </c>
      <c r="G328" s="57" t="s">
        <v>354</v>
      </c>
      <c r="H328" s="49">
        <v>265.0</v>
      </c>
      <c r="I328" s="57" t="s">
        <v>354</v>
      </c>
      <c r="J328" s="57" t="s">
        <v>354</v>
      </c>
      <c r="K328" s="57" t="s">
        <v>354</v>
      </c>
      <c r="L328" s="57">
        <v>0.0</v>
      </c>
      <c r="M328" s="57" t="s">
        <v>354</v>
      </c>
      <c r="N328" s="101" t="s">
        <v>17</v>
      </c>
      <c r="O328" s="101" t="s">
        <v>17</v>
      </c>
      <c r="P328" s="24" t="s">
        <v>142</v>
      </c>
      <c r="Q328" s="24" t="s">
        <v>141</v>
      </c>
      <c r="R328" s="24" t="s">
        <v>141</v>
      </c>
      <c r="S328" s="24" t="s">
        <v>141</v>
      </c>
      <c r="T328" s="24" t="s">
        <v>141</v>
      </c>
      <c r="U328" s="24" t="s">
        <v>141</v>
      </c>
      <c r="V328" s="24" t="s">
        <v>141</v>
      </c>
      <c r="W328" s="46"/>
      <c r="X328" s="49"/>
      <c r="Y328" s="49"/>
      <c r="Z328" s="49"/>
      <c r="AA328" s="46"/>
      <c r="AB328" s="57" t="s">
        <v>354</v>
      </c>
      <c r="AC328" s="46"/>
      <c r="AD328" s="46"/>
      <c r="AE328" s="46"/>
      <c r="AF328" s="49">
        <v>0.0</v>
      </c>
      <c r="AG328" s="49" t="s">
        <v>354</v>
      </c>
      <c r="AH328" s="57"/>
      <c r="AI328" s="49" t="s">
        <v>354</v>
      </c>
      <c r="AJ328" s="46"/>
      <c r="AK328" s="46"/>
      <c r="AL328" s="46" t="s">
        <v>356</v>
      </c>
      <c r="AM328" s="46" t="s">
        <v>356</v>
      </c>
      <c r="AN328" s="46" t="s">
        <v>356</v>
      </c>
    </row>
    <row r="329">
      <c r="A329" s="45" t="s">
        <v>141</v>
      </c>
      <c r="B329" s="18" t="s">
        <v>609</v>
      </c>
      <c r="C329" s="46" t="s">
        <v>140</v>
      </c>
      <c r="D329" s="47" t="s">
        <v>547</v>
      </c>
      <c r="E329" s="48" t="s">
        <v>7</v>
      </c>
      <c r="F329" s="46" t="s">
        <v>8</v>
      </c>
      <c r="G329" s="57" t="s">
        <v>354</v>
      </c>
      <c r="H329" s="49">
        <v>250.0</v>
      </c>
      <c r="I329" s="57" t="s">
        <v>354</v>
      </c>
      <c r="J329" s="57" t="s">
        <v>354</v>
      </c>
      <c r="K329" s="57" t="s">
        <v>354</v>
      </c>
      <c r="L329" s="57">
        <v>0.0</v>
      </c>
      <c r="M329" s="57" t="s">
        <v>354</v>
      </c>
      <c r="N329" s="101" t="s">
        <v>17</v>
      </c>
      <c r="O329" s="101" t="s">
        <v>17</v>
      </c>
      <c r="P329" s="24" t="s">
        <v>142</v>
      </c>
      <c r="Q329" s="24" t="s">
        <v>141</v>
      </c>
      <c r="R329" s="24" t="s">
        <v>141</v>
      </c>
      <c r="S329" s="24" t="s">
        <v>141</v>
      </c>
      <c r="T329" s="24" t="s">
        <v>141</v>
      </c>
      <c r="U329" s="24" t="s">
        <v>141</v>
      </c>
      <c r="V329" s="24" t="s">
        <v>141</v>
      </c>
      <c r="W329" s="18" t="s">
        <v>612</v>
      </c>
      <c r="X329" s="49"/>
      <c r="Y329" s="49"/>
      <c r="Z329" s="49"/>
      <c r="AA329" s="46"/>
      <c r="AB329" s="41" t="s">
        <v>371</v>
      </c>
      <c r="AC329" s="46"/>
      <c r="AD329" s="46"/>
      <c r="AE329" s="46"/>
      <c r="AF329" s="49">
        <v>0.0</v>
      </c>
      <c r="AG329" s="49" t="s">
        <v>354</v>
      </c>
      <c r="AH329" s="57"/>
      <c r="AI329" s="49" t="s">
        <v>354</v>
      </c>
      <c r="AJ329" s="46"/>
      <c r="AK329" s="46"/>
      <c r="AL329" s="46" t="s">
        <v>356</v>
      </c>
      <c r="AM329" s="46" t="s">
        <v>356</v>
      </c>
      <c r="AN329" s="46" t="s">
        <v>356</v>
      </c>
    </row>
    <row r="330">
      <c r="A330" s="45" t="s">
        <v>141</v>
      </c>
      <c r="B330" s="18" t="s">
        <v>609</v>
      </c>
      <c r="C330" s="46" t="s">
        <v>140</v>
      </c>
      <c r="D330" s="47" t="s">
        <v>547</v>
      </c>
      <c r="E330" s="48" t="s">
        <v>7</v>
      </c>
      <c r="F330" s="46" t="s">
        <v>8</v>
      </c>
      <c r="G330" s="57" t="s">
        <v>354</v>
      </c>
      <c r="H330" s="57" t="s">
        <v>354</v>
      </c>
      <c r="I330" s="57" t="s">
        <v>354</v>
      </c>
      <c r="J330" s="57" t="s">
        <v>354</v>
      </c>
      <c r="K330" s="57" t="s">
        <v>354</v>
      </c>
      <c r="L330" s="41">
        <v>0.0</v>
      </c>
      <c r="M330" s="41" t="s">
        <v>354</v>
      </c>
      <c r="N330" s="101" t="s">
        <v>17</v>
      </c>
      <c r="O330" s="101" t="s">
        <v>17</v>
      </c>
      <c r="P330" s="24" t="s">
        <v>142</v>
      </c>
      <c r="Q330" s="24" t="s">
        <v>141</v>
      </c>
      <c r="R330" s="24" t="s">
        <v>141</v>
      </c>
      <c r="S330" s="24" t="s">
        <v>141</v>
      </c>
      <c r="T330" s="24" t="s">
        <v>141</v>
      </c>
      <c r="U330" s="24" t="s">
        <v>141</v>
      </c>
      <c r="V330" s="24" t="s">
        <v>141</v>
      </c>
      <c r="W330" s="18" t="s">
        <v>612</v>
      </c>
      <c r="X330" s="18" t="s">
        <v>613</v>
      </c>
      <c r="Y330" s="49"/>
      <c r="Z330" s="49"/>
      <c r="AA330" s="46"/>
      <c r="AB330" s="41" t="s">
        <v>371</v>
      </c>
      <c r="AC330" s="46"/>
      <c r="AD330" s="46"/>
      <c r="AE330" s="46"/>
      <c r="AF330" s="49">
        <v>0.0</v>
      </c>
      <c r="AG330" s="49" t="s">
        <v>354</v>
      </c>
      <c r="AH330" s="57"/>
      <c r="AI330" s="49" t="s">
        <v>354</v>
      </c>
      <c r="AJ330" s="46"/>
      <c r="AK330" s="46"/>
      <c r="AL330" s="79" t="s">
        <v>407</v>
      </c>
      <c r="AM330" s="80" t="s">
        <v>356</v>
      </c>
      <c r="AN330" s="80" t="s">
        <v>356</v>
      </c>
    </row>
    <row r="331">
      <c r="A331" s="45" t="s">
        <v>141</v>
      </c>
      <c r="B331" s="18" t="s">
        <v>609</v>
      </c>
      <c r="C331" s="46" t="s">
        <v>140</v>
      </c>
      <c r="D331" s="47" t="s">
        <v>547</v>
      </c>
      <c r="E331" s="48" t="s">
        <v>7</v>
      </c>
      <c r="F331" s="46" t="s">
        <v>8</v>
      </c>
      <c r="G331" s="57" t="s">
        <v>354</v>
      </c>
      <c r="H331" s="57" t="s">
        <v>354</v>
      </c>
      <c r="I331" s="57" t="s">
        <v>354</v>
      </c>
      <c r="J331" s="57" t="s">
        <v>354</v>
      </c>
      <c r="K331" s="57" t="s">
        <v>354</v>
      </c>
      <c r="L331" s="41">
        <v>0.0</v>
      </c>
      <c r="M331" s="41" t="s">
        <v>354</v>
      </c>
      <c r="N331" s="101" t="s">
        <v>17</v>
      </c>
      <c r="O331" s="101" t="s">
        <v>17</v>
      </c>
      <c r="P331" s="24" t="s">
        <v>142</v>
      </c>
      <c r="Q331" s="24" t="s">
        <v>141</v>
      </c>
      <c r="R331" s="24" t="s">
        <v>141</v>
      </c>
      <c r="S331" s="24" t="s">
        <v>141</v>
      </c>
      <c r="T331" s="24" t="s">
        <v>141</v>
      </c>
      <c r="U331" s="24" t="s">
        <v>141</v>
      </c>
      <c r="V331" s="24" t="s">
        <v>141</v>
      </c>
      <c r="W331" s="18" t="s">
        <v>612</v>
      </c>
      <c r="X331" s="18" t="s">
        <v>613</v>
      </c>
      <c r="Y331" s="83" t="s">
        <v>141</v>
      </c>
      <c r="Z331" s="49"/>
      <c r="AA331" s="46"/>
      <c r="AB331" s="41" t="s">
        <v>371</v>
      </c>
      <c r="AC331" s="46"/>
      <c r="AD331" s="46"/>
      <c r="AE331" s="46"/>
      <c r="AF331" s="49">
        <v>0.0</v>
      </c>
      <c r="AG331" s="49" t="s">
        <v>354</v>
      </c>
      <c r="AH331" s="57"/>
      <c r="AI331" s="49" t="s">
        <v>354</v>
      </c>
      <c r="AJ331" s="46"/>
      <c r="AK331" s="46"/>
      <c r="AL331" s="46" t="s">
        <v>356</v>
      </c>
      <c r="AM331" s="46" t="s">
        <v>356</v>
      </c>
      <c r="AN331" s="46" t="s">
        <v>356</v>
      </c>
    </row>
    <row r="332">
      <c r="A332" s="45" t="s">
        <v>141</v>
      </c>
      <c r="B332" s="18" t="s">
        <v>609</v>
      </c>
      <c r="C332" s="46" t="s">
        <v>140</v>
      </c>
      <c r="D332" s="47" t="s">
        <v>547</v>
      </c>
      <c r="E332" s="48" t="s">
        <v>7</v>
      </c>
      <c r="F332" s="46" t="s">
        <v>8</v>
      </c>
      <c r="G332" s="57" t="s">
        <v>354</v>
      </c>
      <c r="H332" s="57" t="s">
        <v>354</v>
      </c>
      <c r="I332" s="57" t="s">
        <v>354</v>
      </c>
      <c r="J332" s="57" t="s">
        <v>354</v>
      </c>
      <c r="K332" s="57" t="s">
        <v>354</v>
      </c>
      <c r="L332" s="41">
        <v>0.0</v>
      </c>
      <c r="M332" s="41" t="s">
        <v>354</v>
      </c>
      <c r="N332" s="101" t="s">
        <v>17</v>
      </c>
      <c r="O332" s="101" t="s">
        <v>17</v>
      </c>
      <c r="P332" s="24" t="s">
        <v>142</v>
      </c>
      <c r="Q332" s="24" t="s">
        <v>141</v>
      </c>
      <c r="R332" s="24" t="s">
        <v>141</v>
      </c>
      <c r="S332" s="24" t="s">
        <v>141</v>
      </c>
      <c r="T332" s="24" t="s">
        <v>141</v>
      </c>
      <c r="U332" s="24" t="s">
        <v>141</v>
      </c>
      <c r="V332" s="24" t="s">
        <v>141</v>
      </c>
      <c r="W332" s="18" t="s">
        <v>612</v>
      </c>
      <c r="X332" s="18" t="s">
        <v>613</v>
      </c>
      <c r="Y332" s="83" t="s">
        <v>141</v>
      </c>
      <c r="Z332" s="18" t="s">
        <v>614</v>
      </c>
      <c r="AA332" s="46"/>
      <c r="AB332" s="41" t="s">
        <v>615</v>
      </c>
      <c r="AC332" s="46"/>
      <c r="AD332" s="46"/>
      <c r="AE332" s="46"/>
      <c r="AF332" s="49">
        <v>0.0</v>
      </c>
      <c r="AG332" s="49" t="s">
        <v>354</v>
      </c>
      <c r="AH332" s="57"/>
      <c r="AI332" s="49" t="s">
        <v>354</v>
      </c>
      <c r="AJ332" s="46"/>
      <c r="AK332" s="46"/>
      <c r="AL332" s="46" t="s">
        <v>356</v>
      </c>
      <c r="AM332" s="46" t="s">
        <v>356</v>
      </c>
      <c r="AN332" s="46" t="s">
        <v>356</v>
      </c>
    </row>
    <row r="333">
      <c r="A333" s="45" t="s">
        <v>141</v>
      </c>
      <c r="B333" s="18" t="s">
        <v>609</v>
      </c>
      <c r="C333" s="46" t="s">
        <v>140</v>
      </c>
      <c r="D333" s="47" t="s">
        <v>547</v>
      </c>
      <c r="E333" s="48" t="s">
        <v>7</v>
      </c>
      <c r="F333" s="46" t="s">
        <v>8</v>
      </c>
      <c r="G333" s="57" t="s">
        <v>354</v>
      </c>
      <c r="H333" s="57" t="s">
        <v>354</v>
      </c>
      <c r="I333" s="57" t="s">
        <v>354</v>
      </c>
      <c r="J333" s="57" t="s">
        <v>354</v>
      </c>
      <c r="K333" s="57" t="s">
        <v>354</v>
      </c>
      <c r="L333" s="41">
        <v>0.0</v>
      </c>
      <c r="M333" s="41" t="s">
        <v>354</v>
      </c>
      <c r="N333" s="101" t="s">
        <v>17</v>
      </c>
      <c r="O333" s="101" t="s">
        <v>17</v>
      </c>
      <c r="P333" s="24" t="s">
        <v>142</v>
      </c>
      <c r="Q333" s="24" t="s">
        <v>141</v>
      </c>
      <c r="R333" s="24" t="s">
        <v>141</v>
      </c>
      <c r="S333" s="24" t="s">
        <v>141</v>
      </c>
      <c r="T333" s="24" t="s">
        <v>141</v>
      </c>
      <c r="U333" s="24" t="s">
        <v>141</v>
      </c>
      <c r="V333" s="24" t="s">
        <v>141</v>
      </c>
      <c r="W333" s="18" t="s">
        <v>612</v>
      </c>
      <c r="X333" s="18" t="s">
        <v>613</v>
      </c>
      <c r="Y333" s="83" t="s">
        <v>141</v>
      </c>
      <c r="Z333" s="18" t="s">
        <v>614</v>
      </c>
      <c r="AA333" s="83" t="s">
        <v>141</v>
      </c>
      <c r="AB333" s="41" t="s">
        <v>371</v>
      </c>
      <c r="AC333" s="46"/>
      <c r="AD333" s="46"/>
      <c r="AE333" s="46"/>
      <c r="AF333" s="49">
        <v>0.0</v>
      </c>
      <c r="AG333" s="49" t="s">
        <v>354</v>
      </c>
      <c r="AH333" s="57"/>
      <c r="AI333" s="49" t="s">
        <v>354</v>
      </c>
      <c r="AJ333" s="46"/>
      <c r="AK333" s="46"/>
      <c r="AL333" s="46" t="s">
        <v>356</v>
      </c>
      <c r="AM333" s="46" t="s">
        <v>356</v>
      </c>
      <c r="AN333" s="79" t="s">
        <v>407</v>
      </c>
    </row>
    <row r="334">
      <c r="A334" s="95" t="s">
        <v>616</v>
      </c>
      <c r="B334" s="18" t="s">
        <v>617</v>
      </c>
      <c r="C334" s="19" t="s">
        <v>143</v>
      </c>
      <c r="D334" s="20" t="s">
        <v>547</v>
      </c>
      <c r="E334" s="21" t="s">
        <v>7</v>
      </c>
      <c r="F334" s="19" t="s">
        <v>8</v>
      </c>
      <c r="G334" s="23">
        <v>119.0</v>
      </c>
      <c r="H334" s="23">
        <v>275.0</v>
      </c>
      <c r="I334" s="23" t="s">
        <v>354</v>
      </c>
      <c r="J334" s="22" t="s">
        <v>354</v>
      </c>
      <c r="K334" s="22" t="s">
        <v>354</v>
      </c>
      <c r="L334" s="22">
        <v>0.0</v>
      </c>
      <c r="M334" s="22" t="s">
        <v>354</v>
      </c>
      <c r="N334" s="101" t="s">
        <v>17</v>
      </c>
      <c r="O334" s="101" t="s">
        <v>17</v>
      </c>
      <c r="P334" s="24" t="s">
        <v>145</v>
      </c>
      <c r="Q334" s="19"/>
      <c r="R334" s="19"/>
      <c r="S334" s="19"/>
      <c r="T334" s="19"/>
      <c r="U334" s="19"/>
      <c r="V334" s="19"/>
      <c r="W334" s="19"/>
      <c r="X334" s="19"/>
      <c r="Y334" s="19"/>
      <c r="Z334" s="19"/>
      <c r="AA334" s="19"/>
      <c r="AB334" s="22" t="s">
        <v>354</v>
      </c>
      <c r="AC334" s="19">
        <v>36333.0</v>
      </c>
      <c r="AD334" s="19"/>
      <c r="AE334" s="19"/>
      <c r="AF334" s="66">
        <v>26.92</v>
      </c>
      <c r="AG334" s="36" t="s">
        <v>365</v>
      </c>
      <c r="AH334" s="23" t="s">
        <v>618</v>
      </c>
      <c r="AI334" s="87" t="s">
        <v>413</v>
      </c>
      <c r="AJ334" s="19"/>
      <c r="AK334" s="19"/>
      <c r="AL334" s="87" t="s">
        <v>413</v>
      </c>
      <c r="AM334" s="87" t="s">
        <v>413</v>
      </c>
      <c r="AN334" s="32" t="s">
        <v>361</v>
      </c>
    </row>
    <row r="335">
      <c r="A335" s="95" t="s">
        <v>616</v>
      </c>
      <c r="B335" s="18" t="s">
        <v>617</v>
      </c>
      <c r="C335" s="19" t="s">
        <v>143</v>
      </c>
      <c r="D335" s="20" t="s">
        <v>547</v>
      </c>
      <c r="E335" s="21" t="s">
        <v>7</v>
      </c>
      <c r="F335" s="19" t="s">
        <v>8</v>
      </c>
      <c r="G335" s="23" t="s">
        <v>354</v>
      </c>
      <c r="H335" s="23">
        <v>230.0</v>
      </c>
      <c r="I335" s="23" t="s">
        <v>354</v>
      </c>
      <c r="J335" s="22" t="s">
        <v>354</v>
      </c>
      <c r="K335" s="22" t="s">
        <v>354</v>
      </c>
      <c r="L335" s="22">
        <v>0.0</v>
      </c>
      <c r="M335" s="22" t="s">
        <v>354</v>
      </c>
      <c r="N335" s="101" t="s">
        <v>17</v>
      </c>
      <c r="O335" s="101" t="s">
        <v>17</v>
      </c>
      <c r="P335" s="24" t="s">
        <v>145</v>
      </c>
      <c r="Q335" s="24" t="s">
        <v>144</v>
      </c>
      <c r="R335" s="19"/>
      <c r="S335" s="19"/>
      <c r="T335" s="19"/>
      <c r="U335" s="19"/>
      <c r="V335" s="19"/>
      <c r="W335" s="19"/>
      <c r="X335" s="19"/>
      <c r="Y335" s="19"/>
      <c r="Z335" s="19"/>
      <c r="AA335" s="19"/>
      <c r="AB335" s="23" t="s">
        <v>619</v>
      </c>
      <c r="AC335" s="19">
        <v>36615.0</v>
      </c>
      <c r="AD335" s="19"/>
      <c r="AE335" s="19"/>
      <c r="AF335" s="66">
        <v>28.28</v>
      </c>
      <c r="AG335" s="36" t="s">
        <v>365</v>
      </c>
      <c r="AH335" s="23" t="s">
        <v>366</v>
      </c>
      <c r="AI335" s="26" t="s">
        <v>357</v>
      </c>
      <c r="AJ335" s="19"/>
      <c r="AK335" s="19"/>
      <c r="AL335" s="73" t="s">
        <v>357</v>
      </c>
      <c r="AM335" s="73" t="s">
        <v>357</v>
      </c>
      <c r="AN335" s="107" t="s">
        <v>358</v>
      </c>
    </row>
    <row r="336">
      <c r="A336" s="95" t="s">
        <v>616</v>
      </c>
      <c r="B336" s="18" t="s">
        <v>617</v>
      </c>
      <c r="C336" s="19" t="s">
        <v>143</v>
      </c>
      <c r="D336" s="20" t="s">
        <v>547</v>
      </c>
      <c r="E336" s="21" t="s">
        <v>7</v>
      </c>
      <c r="F336" s="19" t="s">
        <v>8</v>
      </c>
      <c r="G336" s="23" t="s">
        <v>354</v>
      </c>
      <c r="H336" s="23">
        <v>220.0</v>
      </c>
      <c r="I336" s="23" t="s">
        <v>354</v>
      </c>
      <c r="J336" s="22" t="s">
        <v>354</v>
      </c>
      <c r="K336" s="22" t="s">
        <v>354</v>
      </c>
      <c r="L336" s="22">
        <v>0.0</v>
      </c>
      <c r="M336" s="22" t="s">
        <v>354</v>
      </c>
      <c r="N336" s="101" t="s">
        <v>17</v>
      </c>
      <c r="O336" s="101" t="s">
        <v>17</v>
      </c>
      <c r="P336" s="24" t="s">
        <v>145</v>
      </c>
      <c r="Q336" s="24" t="s">
        <v>144</v>
      </c>
      <c r="R336" s="24" t="s">
        <v>144</v>
      </c>
      <c r="S336" s="19"/>
      <c r="T336" s="19"/>
      <c r="U336" s="19"/>
      <c r="V336" s="19"/>
      <c r="W336" s="19"/>
      <c r="X336" s="19"/>
      <c r="Y336" s="19"/>
      <c r="Z336" s="19"/>
      <c r="AA336" s="19"/>
      <c r="AB336" s="23" t="s">
        <v>620</v>
      </c>
      <c r="AC336" s="19"/>
      <c r="AD336" s="19"/>
      <c r="AE336" s="19"/>
      <c r="AF336" s="66">
        <v>32.29</v>
      </c>
      <c r="AG336" s="36" t="s">
        <v>365</v>
      </c>
      <c r="AH336" s="23" t="s">
        <v>366</v>
      </c>
      <c r="AI336" s="102" t="s">
        <v>357</v>
      </c>
      <c r="AJ336" s="19"/>
      <c r="AK336" s="19"/>
      <c r="AL336" s="102" t="s">
        <v>357</v>
      </c>
      <c r="AM336" s="102" t="s">
        <v>357</v>
      </c>
      <c r="AN336" s="102" t="s">
        <v>357</v>
      </c>
    </row>
    <row r="337">
      <c r="A337" s="95" t="s">
        <v>616</v>
      </c>
      <c r="B337" s="18" t="s">
        <v>617</v>
      </c>
      <c r="C337" s="19" t="s">
        <v>143</v>
      </c>
      <c r="D337" s="20" t="s">
        <v>547</v>
      </c>
      <c r="E337" s="21" t="s">
        <v>7</v>
      </c>
      <c r="F337" s="19" t="s">
        <v>8</v>
      </c>
      <c r="G337" s="23" t="s">
        <v>354</v>
      </c>
      <c r="H337" s="23">
        <v>240.0</v>
      </c>
      <c r="I337" s="23" t="s">
        <v>354</v>
      </c>
      <c r="J337" s="22" t="s">
        <v>354</v>
      </c>
      <c r="K337" s="22" t="s">
        <v>354</v>
      </c>
      <c r="L337" s="22">
        <v>0.0</v>
      </c>
      <c r="M337" s="22" t="s">
        <v>354</v>
      </c>
      <c r="N337" s="101" t="s">
        <v>17</v>
      </c>
      <c r="O337" s="101" t="s">
        <v>17</v>
      </c>
      <c r="P337" s="24" t="s">
        <v>145</v>
      </c>
      <c r="Q337" s="24" t="s">
        <v>144</v>
      </c>
      <c r="R337" s="24" t="s">
        <v>144</v>
      </c>
      <c r="S337" s="24" t="s">
        <v>144</v>
      </c>
      <c r="T337" s="19"/>
      <c r="U337" s="19"/>
      <c r="V337" s="19"/>
      <c r="W337" s="19"/>
      <c r="X337" s="19"/>
      <c r="Y337" s="19"/>
      <c r="Z337" s="19"/>
      <c r="AA337" s="19"/>
      <c r="AB337" s="22" t="s">
        <v>354</v>
      </c>
      <c r="AC337" s="19"/>
      <c r="AD337" s="19"/>
      <c r="AE337" s="19"/>
      <c r="AF337" s="33">
        <v>0.0</v>
      </c>
      <c r="AG337" s="33" t="s">
        <v>354</v>
      </c>
      <c r="AH337" s="33"/>
      <c r="AI337" s="33" t="s">
        <v>354</v>
      </c>
      <c r="AJ337" s="19"/>
      <c r="AK337" s="19"/>
      <c r="AL337" s="40" t="s">
        <v>357</v>
      </c>
      <c r="AM337" s="40" t="s">
        <v>357</v>
      </c>
      <c r="AN337" s="40" t="s">
        <v>357</v>
      </c>
    </row>
    <row r="338">
      <c r="A338" s="95" t="s">
        <v>616</v>
      </c>
      <c r="B338" s="18" t="s">
        <v>617</v>
      </c>
      <c r="C338" s="19" t="s">
        <v>143</v>
      </c>
      <c r="D338" s="20" t="s">
        <v>547</v>
      </c>
      <c r="E338" s="21" t="s">
        <v>7</v>
      </c>
      <c r="F338" s="19" t="s">
        <v>8</v>
      </c>
      <c r="G338" s="23" t="s">
        <v>354</v>
      </c>
      <c r="H338" s="23" t="s">
        <v>354</v>
      </c>
      <c r="I338" s="23" t="s">
        <v>354</v>
      </c>
      <c r="J338" s="22" t="s">
        <v>354</v>
      </c>
      <c r="K338" s="22" t="s">
        <v>354</v>
      </c>
      <c r="L338" s="22">
        <v>0.0</v>
      </c>
      <c r="M338" s="22" t="s">
        <v>354</v>
      </c>
      <c r="N338" s="101" t="s">
        <v>17</v>
      </c>
      <c r="O338" s="101" t="s">
        <v>17</v>
      </c>
      <c r="P338" s="24" t="s">
        <v>145</v>
      </c>
      <c r="Q338" s="24" t="s">
        <v>144</v>
      </c>
      <c r="R338" s="24" t="s">
        <v>144</v>
      </c>
      <c r="S338" s="24" t="s">
        <v>144</v>
      </c>
      <c r="T338" s="24" t="s">
        <v>144</v>
      </c>
      <c r="U338" s="19"/>
      <c r="V338" s="19"/>
      <c r="W338" s="19"/>
      <c r="X338" s="19"/>
      <c r="Y338" s="19"/>
      <c r="Z338" s="19"/>
      <c r="AA338" s="19"/>
      <c r="AB338" s="23" t="s">
        <v>621</v>
      </c>
      <c r="AC338" s="19"/>
      <c r="AD338" s="19"/>
      <c r="AE338" s="19"/>
      <c r="AF338" s="36">
        <v>30.63</v>
      </c>
      <c r="AG338" s="33" t="s">
        <v>354</v>
      </c>
      <c r="AH338" s="33"/>
      <c r="AI338" s="33" t="s">
        <v>354</v>
      </c>
      <c r="AJ338" s="19"/>
      <c r="AK338" s="19"/>
      <c r="AL338" s="90" t="s">
        <v>413</v>
      </c>
      <c r="AM338" s="90" t="s">
        <v>413</v>
      </c>
      <c r="AN338" s="90" t="s">
        <v>413</v>
      </c>
    </row>
    <row r="339">
      <c r="A339" s="95" t="s">
        <v>616</v>
      </c>
      <c r="B339" s="18" t="s">
        <v>617</v>
      </c>
      <c r="C339" s="19" t="s">
        <v>143</v>
      </c>
      <c r="D339" s="20" t="s">
        <v>547</v>
      </c>
      <c r="E339" s="21" t="s">
        <v>7</v>
      </c>
      <c r="F339" s="19" t="s">
        <v>8</v>
      </c>
      <c r="G339" s="23" t="s">
        <v>354</v>
      </c>
      <c r="H339" s="23">
        <v>240.0</v>
      </c>
      <c r="I339" s="23" t="s">
        <v>354</v>
      </c>
      <c r="J339" s="22" t="s">
        <v>354</v>
      </c>
      <c r="K339" s="22" t="s">
        <v>354</v>
      </c>
      <c r="L339" s="22">
        <v>0.0</v>
      </c>
      <c r="M339" s="22" t="s">
        <v>354</v>
      </c>
      <c r="N339" s="101" t="s">
        <v>17</v>
      </c>
      <c r="O339" s="101" t="s">
        <v>17</v>
      </c>
      <c r="P339" s="24" t="s">
        <v>145</v>
      </c>
      <c r="Q339" s="24" t="s">
        <v>144</v>
      </c>
      <c r="R339" s="24" t="s">
        <v>144</v>
      </c>
      <c r="S339" s="24" t="s">
        <v>144</v>
      </c>
      <c r="T339" s="24" t="s">
        <v>144</v>
      </c>
      <c r="U339" s="24" t="s">
        <v>144</v>
      </c>
      <c r="V339" s="19"/>
      <c r="W339" s="23"/>
      <c r="X339" s="23"/>
      <c r="Y339" s="23"/>
      <c r="Z339" s="23"/>
      <c r="AA339" s="19"/>
      <c r="AB339" s="22" t="s">
        <v>354</v>
      </c>
      <c r="AC339" s="19"/>
      <c r="AD339" s="19"/>
      <c r="AE339" s="19"/>
      <c r="AF339" s="23">
        <v>0.0</v>
      </c>
      <c r="AG339" s="23" t="s">
        <v>354</v>
      </c>
      <c r="AH339" s="22"/>
      <c r="AI339" s="23" t="s">
        <v>354</v>
      </c>
      <c r="AJ339" s="19"/>
      <c r="AK339" s="19"/>
      <c r="AL339" s="19" t="s">
        <v>356</v>
      </c>
      <c r="AM339" s="19" t="s">
        <v>356</v>
      </c>
      <c r="AN339" s="19" t="s">
        <v>356</v>
      </c>
    </row>
    <row r="340">
      <c r="A340" s="95" t="s">
        <v>616</v>
      </c>
      <c r="B340" s="18" t="s">
        <v>617</v>
      </c>
      <c r="C340" s="19" t="s">
        <v>143</v>
      </c>
      <c r="D340" s="20" t="s">
        <v>547</v>
      </c>
      <c r="E340" s="21" t="s">
        <v>7</v>
      </c>
      <c r="F340" s="19" t="s">
        <v>8</v>
      </c>
      <c r="G340" s="23" t="s">
        <v>354</v>
      </c>
      <c r="H340" s="23">
        <v>270.0</v>
      </c>
      <c r="I340" s="23" t="s">
        <v>354</v>
      </c>
      <c r="J340" s="22" t="s">
        <v>354</v>
      </c>
      <c r="K340" s="22" t="s">
        <v>354</v>
      </c>
      <c r="L340" s="22">
        <v>0.0</v>
      </c>
      <c r="M340" s="22" t="s">
        <v>354</v>
      </c>
      <c r="N340" s="101" t="s">
        <v>17</v>
      </c>
      <c r="O340" s="101" t="s">
        <v>17</v>
      </c>
      <c r="P340" s="24" t="s">
        <v>145</v>
      </c>
      <c r="Q340" s="24" t="s">
        <v>144</v>
      </c>
      <c r="R340" s="24" t="s">
        <v>144</v>
      </c>
      <c r="S340" s="24" t="s">
        <v>144</v>
      </c>
      <c r="T340" s="24" t="s">
        <v>144</v>
      </c>
      <c r="U340" s="24" t="s">
        <v>144</v>
      </c>
      <c r="V340" s="18" t="s">
        <v>622</v>
      </c>
      <c r="W340" s="23"/>
      <c r="X340" s="23"/>
      <c r="Y340" s="23"/>
      <c r="Z340" s="23"/>
      <c r="AA340" s="19"/>
      <c r="AB340" s="22" t="s">
        <v>354</v>
      </c>
      <c r="AC340" s="19"/>
      <c r="AD340" s="19"/>
      <c r="AE340" s="19"/>
      <c r="AF340" s="23">
        <v>0.0</v>
      </c>
      <c r="AG340" s="23" t="s">
        <v>354</v>
      </c>
      <c r="AH340" s="22"/>
      <c r="AI340" s="23" t="s">
        <v>354</v>
      </c>
      <c r="AJ340" s="19"/>
      <c r="AK340" s="19"/>
      <c r="AL340" s="19" t="s">
        <v>356</v>
      </c>
      <c r="AM340" s="19" t="s">
        <v>356</v>
      </c>
      <c r="AN340" s="19" t="s">
        <v>356</v>
      </c>
    </row>
    <row r="341">
      <c r="A341" s="95" t="s">
        <v>616</v>
      </c>
      <c r="B341" s="18" t="s">
        <v>617</v>
      </c>
      <c r="C341" s="19" t="s">
        <v>143</v>
      </c>
      <c r="D341" s="20" t="s">
        <v>547</v>
      </c>
      <c r="E341" s="21" t="s">
        <v>7</v>
      </c>
      <c r="F341" s="19" t="s">
        <v>8</v>
      </c>
      <c r="G341" s="23" t="s">
        <v>354</v>
      </c>
      <c r="H341" s="23">
        <v>344.0</v>
      </c>
      <c r="I341" s="23" t="s">
        <v>354</v>
      </c>
      <c r="J341" s="22" t="s">
        <v>354</v>
      </c>
      <c r="K341" s="22" t="s">
        <v>354</v>
      </c>
      <c r="L341" s="22">
        <v>0.0</v>
      </c>
      <c r="M341" s="22" t="s">
        <v>354</v>
      </c>
      <c r="N341" s="101" t="s">
        <v>17</v>
      </c>
      <c r="O341" s="101" t="s">
        <v>17</v>
      </c>
      <c r="P341" s="24" t="s">
        <v>145</v>
      </c>
      <c r="Q341" s="24" t="s">
        <v>144</v>
      </c>
      <c r="R341" s="24" t="s">
        <v>144</v>
      </c>
      <c r="S341" s="24" t="s">
        <v>144</v>
      </c>
      <c r="T341" s="24" t="s">
        <v>144</v>
      </c>
      <c r="U341" s="24" t="s">
        <v>144</v>
      </c>
      <c r="V341" s="18" t="s">
        <v>622</v>
      </c>
      <c r="W341" s="18" t="s">
        <v>623</v>
      </c>
      <c r="X341" s="23"/>
      <c r="Y341" s="23"/>
      <c r="Z341" s="23"/>
      <c r="AA341" s="19"/>
      <c r="AB341" s="41" t="s">
        <v>371</v>
      </c>
      <c r="AC341" s="19"/>
      <c r="AD341" s="19"/>
      <c r="AE341" s="19"/>
      <c r="AF341" s="23">
        <v>0.0</v>
      </c>
      <c r="AG341" s="23" t="s">
        <v>354</v>
      </c>
      <c r="AH341" s="22"/>
      <c r="AI341" s="23" t="s">
        <v>354</v>
      </c>
      <c r="AJ341" s="19"/>
      <c r="AK341" s="19"/>
      <c r="AL341" s="19" t="s">
        <v>356</v>
      </c>
      <c r="AM341" s="19" t="s">
        <v>356</v>
      </c>
      <c r="AN341" s="19" t="s">
        <v>356</v>
      </c>
    </row>
    <row r="342">
      <c r="A342" s="95" t="s">
        <v>616</v>
      </c>
      <c r="B342" s="18" t="s">
        <v>617</v>
      </c>
      <c r="C342" s="19" t="s">
        <v>143</v>
      </c>
      <c r="D342" s="20" t="s">
        <v>547</v>
      </c>
      <c r="E342" s="21" t="s">
        <v>7</v>
      </c>
      <c r="F342" s="19" t="s">
        <v>8</v>
      </c>
      <c r="G342" s="23" t="s">
        <v>354</v>
      </c>
      <c r="H342" s="23" t="s">
        <v>354</v>
      </c>
      <c r="I342" s="23" t="s">
        <v>354</v>
      </c>
      <c r="J342" s="22" t="s">
        <v>354</v>
      </c>
      <c r="K342" s="22" t="s">
        <v>354</v>
      </c>
      <c r="L342" s="41">
        <v>0.0</v>
      </c>
      <c r="M342" s="41" t="s">
        <v>354</v>
      </c>
      <c r="N342" s="101" t="s">
        <v>17</v>
      </c>
      <c r="O342" s="101" t="s">
        <v>17</v>
      </c>
      <c r="P342" s="24" t="s">
        <v>145</v>
      </c>
      <c r="Q342" s="24" t="s">
        <v>144</v>
      </c>
      <c r="R342" s="24" t="s">
        <v>144</v>
      </c>
      <c r="S342" s="24" t="s">
        <v>144</v>
      </c>
      <c r="T342" s="24" t="s">
        <v>144</v>
      </c>
      <c r="U342" s="24" t="s">
        <v>144</v>
      </c>
      <c r="V342" s="18" t="s">
        <v>622</v>
      </c>
      <c r="W342" s="18" t="s">
        <v>623</v>
      </c>
      <c r="X342" s="18">
        <v>691.0</v>
      </c>
      <c r="Y342" s="23"/>
      <c r="Z342" s="23"/>
      <c r="AA342" s="19"/>
      <c r="AB342" s="41" t="s">
        <v>371</v>
      </c>
      <c r="AC342" s="19"/>
      <c r="AD342" s="19"/>
      <c r="AE342" s="19"/>
      <c r="AF342" s="23">
        <v>0.0</v>
      </c>
      <c r="AG342" s="23" t="s">
        <v>354</v>
      </c>
      <c r="AH342" s="22"/>
      <c r="AI342" s="23" t="s">
        <v>354</v>
      </c>
      <c r="AJ342" s="19"/>
      <c r="AK342" s="19"/>
      <c r="AL342" s="19" t="s">
        <v>356</v>
      </c>
      <c r="AM342" s="19" t="s">
        <v>356</v>
      </c>
      <c r="AN342" s="19" t="s">
        <v>356</v>
      </c>
    </row>
    <row r="343">
      <c r="A343" s="95" t="s">
        <v>616</v>
      </c>
      <c r="B343" s="18" t="s">
        <v>617</v>
      </c>
      <c r="C343" s="19" t="s">
        <v>143</v>
      </c>
      <c r="D343" s="20" t="s">
        <v>547</v>
      </c>
      <c r="E343" s="21" t="s">
        <v>7</v>
      </c>
      <c r="F343" s="19" t="s">
        <v>8</v>
      </c>
      <c r="G343" s="23" t="s">
        <v>354</v>
      </c>
      <c r="H343" s="23" t="s">
        <v>354</v>
      </c>
      <c r="I343" s="23" t="s">
        <v>354</v>
      </c>
      <c r="J343" s="22" t="s">
        <v>354</v>
      </c>
      <c r="K343" s="22" t="s">
        <v>354</v>
      </c>
      <c r="L343" s="41">
        <v>0.0</v>
      </c>
      <c r="M343" s="41" t="s">
        <v>354</v>
      </c>
      <c r="N343" s="101" t="s">
        <v>17</v>
      </c>
      <c r="O343" s="101" t="s">
        <v>17</v>
      </c>
      <c r="P343" s="24" t="s">
        <v>145</v>
      </c>
      <c r="Q343" s="24" t="s">
        <v>144</v>
      </c>
      <c r="R343" s="24" t="s">
        <v>144</v>
      </c>
      <c r="S343" s="24" t="s">
        <v>144</v>
      </c>
      <c r="T343" s="24" t="s">
        <v>144</v>
      </c>
      <c r="U343" s="24" t="s">
        <v>144</v>
      </c>
      <c r="V343" s="18" t="s">
        <v>622</v>
      </c>
      <c r="W343" s="18" t="s">
        <v>623</v>
      </c>
      <c r="X343" s="18">
        <v>691.0</v>
      </c>
      <c r="Y343" s="18" t="s">
        <v>624</v>
      </c>
      <c r="Z343" s="23"/>
      <c r="AA343" s="19"/>
      <c r="AB343" s="41" t="s">
        <v>371</v>
      </c>
      <c r="AC343" s="19"/>
      <c r="AD343" s="19"/>
      <c r="AE343" s="19"/>
      <c r="AF343" s="23">
        <v>0.0</v>
      </c>
      <c r="AG343" s="23" t="s">
        <v>354</v>
      </c>
      <c r="AH343" s="22"/>
      <c r="AI343" s="23" t="s">
        <v>354</v>
      </c>
      <c r="AJ343" s="19"/>
      <c r="AK343" s="19"/>
      <c r="AL343" s="19" t="s">
        <v>356</v>
      </c>
      <c r="AM343" s="19" t="s">
        <v>356</v>
      </c>
      <c r="AN343" s="19" t="s">
        <v>356</v>
      </c>
    </row>
    <row r="344">
      <c r="A344" s="95" t="s">
        <v>616</v>
      </c>
      <c r="B344" s="18" t="s">
        <v>617</v>
      </c>
      <c r="C344" s="19" t="s">
        <v>143</v>
      </c>
      <c r="D344" s="20" t="s">
        <v>547</v>
      </c>
      <c r="E344" s="21" t="s">
        <v>7</v>
      </c>
      <c r="F344" s="19" t="s">
        <v>8</v>
      </c>
      <c r="G344" s="23" t="s">
        <v>354</v>
      </c>
      <c r="H344" s="23" t="s">
        <v>354</v>
      </c>
      <c r="I344" s="23" t="s">
        <v>354</v>
      </c>
      <c r="J344" s="22" t="s">
        <v>354</v>
      </c>
      <c r="K344" s="22" t="s">
        <v>354</v>
      </c>
      <c r="L344" s="41">
        <v>0.0</v>
      </c>
      <c r="M344" s="41" t="s">
        <v>354</v>
      </c>
      <c r="N344" s="101" t="s">
        <v>17</v>
      </c>
      <c r="O344" s="101" t="s">
        <v>17</v>
      </c>
      <c r="P344" s="24" t="s">
        <v>145</v>
      </c>
      <c r="Q344" s="24" t="s">
        <v>144</v>
      </c>
      <c r="R344" s="24" t="s">
        <v>144</v>
      </c>
      <c r="S344" s="24" t="s">
        <v>144</v>
      </c>
      <c r="T344" s="24" t="s">
        <v>144</v>
      </c>
      <c r="U344" s="24" t="s">
        <v>144</v>
      </c>
      <c r="V344" s="18" t="s">
        <v>622</v>
      </c>
      <c r="W344" s="18" t="s">
        <v>623</v>
      </c>
      <c r="X344" s="18">
        <v>691.0</v>
      </c>
      <c r="Y344" s="18" t="s">
        <v>624</v>
      </c>
      <c r="Z344" s="18" t="s">
        <v>624</v>
      </c>
      <c r="AA344" s="19"/>
      <c r="AB344" s="41" t="s">
        <v>371</v>
      </c>
      <c r="AC344" s="19"/>
      <c r="AD344" s="19"/>
      <c r="AE344" s="19"/>
      <c r="AF344" s="30">
        <v>43.763023623232</v>
      </c>
      <c r="AG344" s="36" t="s">
        <v>365</v>
      </c>
      <c r="AH344" s="23"/>
      <c r="AI344" s="164" t="s">
        <v>413</v>
      </c>
      <c r="AJ344" s="164" t="s">
        <v>413</v>
      </c>
      <c r="AK344" s="164" t="s">
        <v>413</v>
      </c>
      <c r="AL344" s="164" t="s">
        <v>413</v>
      </c>
      <c r="AM344" s="164" t="s">
        <v>413</v>
      </c>
      <c r="AN344" s="164" t="s">
        <v>413</v>
      </c>
    </row>
    <row r="345">
      <c r="A345" s="95" t="s">
        <v>616</v>
      </c>
      <c r="B345" s="18" t="s">
        <v>617</v>
      </c>
      <c r="C345" s="19" t="s">
        <v>143</v>
      </c>
      <c r="D345" s="20" t="s">
        <v>547</v>
      </c>
      <c r="E345" s="21" t="s">
        <v>7</v>
      </c>
      <c r="F345" s="19" t="s">
        <v>8</v>
      </c>
      <c r="G345" s="23" t="s">
        <v>354</v>
      </c>
      <c r="H345" s="23" t="s">
        <v>354</v>
      </c>
      <c r="I345" s="23" t="s">
        <v>354</v>
      </c>
      <c r="J345" s="22" t="s">
        <v>354</v>
      </c>
      <c r="K345" s="22" t="s">
        <v>354</v>
      </c>
      <c r="L345" s="41">
        <v>0.0</v>
      </c>
      <c r="M345" s="41" t="s">
        <v>354</v>
      </c>
      <c r="N345" s="101" t="s">
        <v>17</v>
      </c>
      <c r="O345" s="101" t="s">
        <v>17</v>
      </c>
      <c r="P345" s="24" t="s">
        <v>145</v>
      </c>
      <c r="Q345" s="24" t="s">
        <v>144</v>
      </c>
      <c r="R345" s="24" t="s">
        <v>144</v>
      </c>
      <c r="S345" s="24" t="s">
        <v>144</v>
      </c>
      <c r="T345" s="24" t="s">
        <v>144</v>
      </c>
      <c r="U345" s="24" t="s">
        <v>144</v>
      </c>
      <c r="V345" s="18" t="s">
        <v>622</v>
      </c>
      <c r="W345" s="18" t="s">
        <v>623</v>
      </c>
      <c r="X345" s="18">
        <v>691.0</v>
      </c>
      <c r="Y345" s="18" t="s">
        <v>624</v>
      </c>
      <c r="Z345" s="18" t="s">
        <v>624</v>
      </c>
      <c r="AA345" s="18" t="s">
        <v>624</v>
      </c>
      <c r="AB345" s="41" t="s">
        <v>625</v>
      </c>
      <c r="AC345" s="19"/>
      <c r="AD345" s="19"/>
      <c r="AE345" s="19"/>
      <c r="AF345" s="23">
        <v>0.0</v>
      </c>
      <c r="AG345" s="23" t="s">
        <v>354</v>
      </c>
      <c r="AH345" s="22"/>
      <c r="AI345" s="23" t="s">
        <v>354</v>
      </c>
      <c r="AJ345" s="19"/>
      <c r="AK345" s="19"/>
      <c r="AL345" s="19" t="s">
        <v>356</v>
      </c>
      <c r="AM345" s="19" t="s">
        <v>356</v>
      </c>
      <c r="AN345" s="19" t="s">
        <v>356</v>
      </c>
    </row>
    <row r="346">
      <c r="A346" s="45" t="s">
        <v>147</v>
      </c>
      <c r="B346" s="98" t="s">
        <v>626</v>
      </c>
      <c r="C346" s="46" t="s">
        <v>146</v>
      </c>
      <c r="D346" s="47" t="s">
        <v>547</v>
      </c>
      <c r="E346" s="48" t="s">
        <v>7</v>
      </c>
      <c r="F346" s="46" t="s">
        <v>67</v>
      </c>
      <c r="G346" s="49">
        <v>118.0</v>
      </c>
      <c r="H346" s="49">
        <v>250.0</v>
      </c>
      <c r="I346" s="57" t="s">
        <v>354</v>
      </c>
      <c r="J346" s="46">
        <v>31.0</v>
      </c>
      <c r="K346" s="49">
        <v>1.0</v>
      </c>
      <c r="L346" s="57">
        <v>0.0</v>
      </c>
      <c r="M346" s="57" t="s">
        <v>354</v>
      </c>
      <c r="N346" s="101" t="s">
        <v>17</v>
      </c>
      <c r="O346" s="101" t="s">
        <v>17</v>
      </c>
      <c r="P346" s="24" t="s">
        <v>148</v>
      </c>
      <c r="Q346" s="44" t="s">
        <v>373</v>
      </c>
      <c r="R346" s="46"/>
      <c r="S346" s="46"/>
      <c r="T346" s="46"/>
      <c r="U346" s="46"/>
      <c r="V346" s="46"/>
      <c r="W346" s="46"/>
      <c r="X346" s="46"/>
      <c r="Y346" s="46"/>
      <c r="Z346" s="46"/>
      <c r="AA346" s="46"/>
      <c r="AB346" s="57" t="s">
        <v>354</v>
      </c>
      <c r="AC346" s="46">
        <v>36334.0</v>
      </c>
      <c r="AD346" s="46"/>
      <c r="AE346" s="46"/>
      <c r="AF346" s="63">
        <v>0.0</v>
      </c>
      <c r="AG346" s="49" t="s">
        <v>356</v>
      </c>
      <c r="AH346" s="46"/>
      <c r="AI346" s="49" t="s">
        <v>356</v>
      </c>
      <c r="AJ346" s="46"/>
      <c r="AK346" s="46"/>
      <c r="AL346" s="88" t="s">
        <v>358</v>
      </c>
      <c r="AM346" s="54" t="s">
        <v>356</v>
      </c>
      <c r="AN346" s="88" t="s">
        <v>358</v>
      </c>
    </row>
    <row r="347">
      <c r="A347" s="45" t="s">
        <v>147</v>
      </c>
      <c r="B347" s="98" t="s">
        <v>626</v>
      </c>
      <c r="C347" s="46" t="s">
        <v>146</v>
      </c>
      <c r="D347" s="47" t="s">
        <v>547</v>
      </c>
      <c r="E347" s="48" t="s">
        <v>7</v>
      </c>
      <c r="F347" s="46" t="s">
        <v>67</v>
      </c>
      <c r="G347" s="49">
        <v>118.0</v>
      </c>
      <c r="H347" s="49">
        <v>170.0</v>
      </c>
      <c r="I347" s="57" t="s">
        <v>354</v>
      </c>
      <c r="J347" s="46">
        <v>1.0</v>
      </c>
      <c r="K347" s="49">
        <v>0.0</v>
      </c>
      <c r="L347" s="57">
        <v>0.0</v>
      </c>
      <c r="M347" s="57" t="s">
        <v>354</v>
      </c>
      <c r="N347" s="101" t="s">
        <v>17</v>
      </c>
      <c r="O347" s="101" t="s">
        <v>17</v>
      </c>
      <c r="P347" s="24" t="s">
        <v>148</v>
      </c>
      <c r="Q347" s="44" t="s">
        <v>373</v>
      </c>
      <c r="R347" s="24" t="s">
        <v>149</v>
      </c>
      <c r="S347" s="46"/>
      <c r="T347" s="46"/>
      <c r="U347" s="46"/>
      <c r="V347" s="46"/>
      <c r="W347" s="46"/>
      <c r="X347" s="46"/>
      <c r="Y347" s="46"/>
      <c r="Z347" s="46"/>
      <c r="AA347" s="46"/>
      <c r="AB347" s="49" t="s">
        <v>627</v>
      </c>
      <c r="AC347" s="46"/>
      <c r="AD347" s="46"/>
      <c r="AE347" s="46"/>
      <c r="AF347" s="55">
        <v>30.54</v>
      </c>
      <c r="AG347" s="56" t="s">
        <v>365</v>
      </c>
      <c r="AH347" s="49" t="s">
        <v>524</v>
      </c>
      <c r="AI347" s="87" t="s">
        <v>413</v>
      </c>
      <c r="AJ347" s="46"/>
      <c r="AK347" s="46"/>
      <c r="AL347" s="39" t="s">
        <v>357</v>
      </c>
      <c r="AM347" s="114" t="s">
        <v>413</v>
      </c>
      <c r="AN347" s="28" t="s">
        <v>358</v>
      </c>
    </row>
    <row r="348">
      <c r="A348" s="45" t="s">
        <v>147</v>
      </c>
      <c r="B348" s="98" t="s">
        <v>626</v>
      </c>
      <c r="C348" s="46" t="s">
        <v>146</v>
      </c>
      <c r="D348" s="47" t="s">
        <v>547</v>
      </c>
      <c r="E348" s="48" t="s">
        <v>7</v>
      </c>
      <c r="F348" s="46" t="s">
        <v>67</v>
      </c>
      <c r="G348" s="57" t="s">
        <v>354</v>
      </c>
      <c r="H348" s="49">
        <v>180.0</v>
      </c>
      <c r="I348" s="57" t="s">
        <v>354</v>
      </c>
      <c r="J348" s="46">
        <v>5.0</v>
      </c>
      <c r="K348" s="49">
        <v>0.0</v>
      </c>
      <c r="L348" s="57">
        <v>0.0</v>
      </c>
      <c r="M348" s="57" t="s">
        <v>354</v>
      </c>
      <c r="N348" s="101" t="s">
        <v>17</v>
      </c>
      <c r="O348" s="101" t="s">
        <v>17</v>
      </c>
      <c r="P348" s="24" t="s">
        <v>148</v>
      </c>
      <c r="Q348" s="44" t="s">
        <v>373</v>
      </c>
      <c r="R348" s="24" t="s">
        <v>149</v>
      </c>
      <c r="S348" s="18" t="s">
        <v>150</v>
      </c>
      <c r="T348" s="46"/>
      <c r="U348" s="49"/>
      <c r="V348" s="46"/>
      <c r="W348" s="49"/>
      <c r="X348" s="49"/>
      <c r="Y348" s="49"/>
      <c r="Z348" s="49"/>
      <c r="AA348" s="46"/>
      <c r="AB348" s="57" t="s">
        <v>354</v>
      </c>
      <c r="AC348" s="46"/>
      <c r="AD348" s="46"/>
      <c r="AE348" s="46"/>
      <c r="AF348" s="63">
        <v>0.0</v>
      </c>
      <c r="AG348" s="49" t="s">
        <v>354</v>
      </c>
      <c r="AH348" s="46"/>
      <c r="AI348" s="49" t="s">
        <v>354</v>
      </c>
      <c r="AJ348" s="46"/>
      <c r="AK348" s="46"/>
      <c r="AL348" s="59" t="s">
        <v>357</v>
      </c>
      <c r="AM348" s="58" t="s">
        <v>380</v>
      </c>
      <c r="AN348" s="28" t="s">
        <v>358</v>
      </c>
    </row>
    <row r="349">
      <c r="A349" s="45" t="s">
        <v>147</v>
      </c>
      <c r="B349" s="98" t="s">
        <v>626</v>
      </c>
      <c r="C349" s="46" t="s">
        <v>146</v>
      </c>
      <c r="D349" s="47" t="s">
        <v>547</v>
      </c>
      <c r="E349" s="48" t="s">
        <v>7</v>
      </c>
      <c r="F349" s="46" t="s">
        <v>67</v>
      </c>
      <c r="G349" s="57" t="s">
        <v>354</v>
      </c>
      <c r="H349" s="49">
        <v>180.0</v>
      </c>
      <c r="I349" s="57" t="s">
        <v>354</v>
      </c>
      <c r="J349" s="46">
        <v>5.0</v>
      </c>
      <c r="K349" s="49">
        <v>0.0</v>
      </c>
      <c r="L349" s="57">
        <v>0.0</v>
      </c>
      <c r="M349" s="57" t="s">
        <v>354</v>
      </c>
      <c r="N349" s="101" t="s">
        <v>17</v>
      </c>
      <c r="O349" s="101" t="s">
        <v>17</v>
      </c>
      <c r="P349" s="24" t="s">
        <v>148</v>
      </c>
      <c r="Q349" s="44" t="s">
        <v>373</v>
      </c>
      <c r="R349" s="24" t="s">
        <v>149</v>
      </c>
      <c r="S349" s="18" t="s">
        <v>150</v>
      </c>
      <c r="T349" s="24" t="s">
        <v>150</v>
      </c>
      <c r="U349" s="62" t="s">
        <v>409</v>
      </c>
      <c r="V349" s="62" t="s">
        <v>409</v>
      </c>
      <c r="W349" s="62" t="s">
        <v>409</v>
      </c>
      <c r="X349" s="62" t="s">
        <v>409</v>
      </c>
      <c r="Y349" s="62" t="s">
        <v>409</v>
      </c>
      <c r="Z349" s="62" t="s">
        <v>409</v>
      </c>
      <c r="AA349" s="62" t="s">
        <v>409</v>
      </c>
      <c r="AB349" s="62" t="s">
        <v>628</v>
      </c>
      <c r="AC349" s="46"/>
      <c r="AD349" s="46"/>
      <c r="AE349" s="46"/>
      <c r="AF349" s="56">
        <v>37.12</v>
      </c>
      <c r="AG349" s="49" t="s">
        <v>354</v>
      </c>
      <c r="AH349" s="46"/>
      <c r="AI349" s="49" t="s">
        <v>354</v>
      </c>
      <c r="AJ349" s="46"/>
      <c r="AK349" s="46"/>
      <c r="AL349" s="80" t="s">
        <v>356</v>
      </c>
      <c r="AM349" s="80" t="s">
        <v>356</v>
      </c>
      <c r="AN349" s="79" t="s">
        <v>361</v>
      </c>
    </row>
    <row r="350">
      <c r="A350" s="17" t="s">
        <v>152</v>
      </c>
      <c r="B350" s="18" t="s">
        <v>629</v>
      </c>
      <c r="C350" s="19" t="s">
        <v>151</v>
      </c>
      <c r="D350" s="20" t="s">
        <v>547</v>
      </c>
      <c r="E350" s="21" t="s">
        <v>37</v>
      </c>
      <c r="F350" s="19" t="s">
        <v>8</v>
      </c>
      <c r="G350" s="23">
        <v>123.0</v>
      </c>
      <c r="H350" s="23">
        <v>230.0</v>
      </c>
      <c r="I350" s="22" t="s">
        <v>354</v>
      </c>
      <c r="J350" s="22" t="s">
        <v>354</v>
      </c>
      <c r="K350" s="22" t="s">
        <v>354</v>
      </c>
      <c r="L350" s="22">
        <v>0.0</v>
      </c>
      <c r="M350" s="22" t="s">
        <v>354</v>
      </c>
      <c r="N350" s="101" t="s">
        <v>17</v>
      </c>
      <c r="O350" s="101" t="s">
        <v>17</v>
      </c>
      <c r="P350" s="24" t="s">
        <v>153</v>
      </c>
      <c r="Q350" s="19"/>
      <c r="R350" s="19"/>
      <c r="S350" s="19"/>
      <c r="T350" s="19"/>
      <c r="U350" s="19"/>
      <c r="V350" s="19"/>
      <c r="W350" s="19"/>
      <c r="X350" s="19"/>
      <c r="Y350" s="19"/>
      <c r="Z350" s="19"/>
      <c r="AA350" s="19"/>
      <c r="AB350" s="23" t="s">
        <v>630</v>
      </c>
      <c r="AC350" s="19">
        <v>36335.0</v>
      </c>
      <c r="AD350" s="19"/>
      <c r="AE350" s="19"/>
      <c r="AF350" s="66">
        <v>28.43</v>
      </c>
      <c r="AG350" s="36" t="s">
        <v>365</v>
      </c>
      <c r="AH350" s="23" t="s">
        <v>366</v>
      </c>
      <c r="AI350" s="26" t="s">
        <v>357</v>
      </c>
      <c r="AJ350" s="19"/>
      <c r="AK350" s="19"/>
      <c r="AL350" s="23" t="s">
        <v>631</v>
      </c>
      <c r="AM350" s="34" t="s">
        <v>357</v>
      </c>
      <c r="AN350" s="88" t="s">
        <v>358</v>
      </c>
    </row>
    <row r="351">
      <c r="A351" s="17" t="s">
        <v>152</v>
      </c>
      <c r="B351" s="18" t="s">
        <v>629</v>
      </c>
      <c r="C351" s="19" t="s">
        <v>151</v>
      </c>
      <c r="D351" s="20" t="s">
        <v>547</v>
      </c>
      <c r="E351" s="21" t="s">
        <v>37</v>
      </c>
      <c r="F351" s="19" t="s">
        <v>8</v>
      </c>
      <c r="G351" s="22" t="s">
        <v>354</v>
      </c>
      <c r="H351" s="23">
        <v>240.0</v>
      </c>
      <c r="I351" s="22" t="s">
        <v>354</v>
      </c>
      <c r="J351" s="22" t="s">
        <v>354</v>
      </c>
      <c r="K351" s="22" t="s">
        <v>354</v>
      </c>
      <c r="L351" s="22">
        <v>0.0</v>
      </c>
      <c r="M351" s="22" t="s">
        <v>354</v>
      </c>
      <c r="N351" s="101" t="s">
        <v>17</v>
      </c>
      <c r="O351" s="101" t="s">
        <v>17</v>
      </c>
      <c r="P351" s="24" t="s">
        <v>153</v>
      </c>
      <c r="Q351" s="24" t="s">
        <v>152</v>
      </c>
      <c r="R351" s="19"/>
      <c r="S351" s="19"/>
      <c r="T351" s="19"/>
      <c r="U351" s="19"/>
      <c r="V351" s="19"/>
      <c r="W351" s="19"/>
      <c r="X351" s="19"/>
      <c r="Y351" s="19"/>
      <c r="Z351" s="19"/>
      <c r="AA351" s="19"/>
      <c r="AB351" s="22" t="s">
        <v>354</v>
      </c>
      <c r="AC351" s="19">
        <v>36616.0</v>
      </c>
      <c r="AD351" s="19"/>
      <c r="AE351" s="19"/>
      <c r="AF351" s="66">
        <v>31.88</v>
      </c>
      <c r="AG351" s="36" t="s">
        <v>365</v>
      </c>
      <c r="AH351" s="23" t="s">
        <v>366</v>
      </c>
      <c r="AI351" s="73" t="s">
        <v>357</v>
      </c>
      <c r="AJ351" s="19"/>
      <c r="AK351" s="19"/>
      <c r="AL351" s="70" t="s">
        <v>361</v>
      </c>
      <c r="AM351" s="165" t="s">
        <v>389</v>
      </c>
      <c r="AN351" s="88" t="s">
        <v>358</v>
      </c>
    </row>
    <row r="352">
      <c r="A352" s="17" t="s">
        <v>152</v>
      </c>
      <c r="B352" s="18" t="s">
        <v>629</v>
      </c>
      <c r="C352" s="19" t="s">
        <v>151</v>
      </c>
      <c r="D352" s="20" t="s">
        <v>547</v>
      </c>
      <c r="E352" s="33" t="s">
        <v>7</v>
      </c>
      <c r="F352" s="19" t="s">
        <v>8</v>
      </c>
      <c r="G352" s="22" t="s">
        <v>354</v>
      </c>
      <c r="H352" s="23">
        <v>230.0</v>
      </c>
      <c r="I352" s="22" t="s">
        <v>354</v>
      </c>
      <c r="J352" s="22" t="s">
        <v>354</v>
      </c>
      <c r="K352" s="22" t="s">
        <v>354</v>
      </c>
      <c r="L352" s="22">
        <v>0.0</v>
      </c>
      <c r="M352" s="22" t="s">
        <v>354</v>
      </c>
      <c r="N352" s="101" t="s">
        <v>17</v>
      </c>
      <c r="O352" s="101" t="s">
        <v>17</v>
      </c>
      <c r="P352" s="24" t="s">
        <v>153</v>
      </c>
      <c r="Q352" s="24" t="s">
        <v>152</v>
      </c>
      <c r="R352" s="24" t="s">
        <v>152</v>
      </c>
      <c r="S352" s="44" t="s">
        <v>373</v>
      </c>
      <c r="T352" s="19"/>
      <c r="U352" s="19"/>
      <c r="V352" s="19"/>
      <c r="W352" s="19"/>
      <c r="X352" s="19"/>
      <c r="Y352" s="19"/>
      <c r="Z352" s="19"/>
      <c r="AA352" s="19"/>
      <c r="AB352" s="22" t="s">
        <v>354</v>
      </c>
      <c r="AC352" s="19"/>
      <c r="AD352" s="19"/>
      <c r="AE352" s="19"/>
      <c r="AF352" s="66">
        <v>36.5</v>
      </c>
      <c r="AG352" s="36" t="s">
        <v>365</v>
      </c>
      <c r="AH352" s="23" t="s">
        <v>433</v>
      </c>
      <c r="AI352" s="155" t="s">
        <v>363</v>
      </c>
      <c r="AJ352" s="19"/>
      <c r="AK352" s="19"/>
      <c r="AL352" s="155" t="s">
        <v>363</v>
      </c>
      <c r="AM352" s="155" t="s">
        <v>363</v>
      </c>
      <c r="AN352" s="155" t="s">
        <v>363</v>
      </c>
    </row>
    <row r="353">
      <c r="A353" s="17" t="s">
        <v>152</v>
      </c>
      <c r="B353" s="18" t="s">
        <v>629</v>
      </c>
      <c r="C353" s="19" t="s">
        <v>151</v>
      </c>
      <c r="D353" s="20" t="s">
        <v>547</v>
      </c>
      <c r="E353" s="33" t="s">
        <v>7</v>
      </c>
      <c r="F353" s="19" t="s">
        <v>8</v>
      </c>
      <c r="G353" s="22" t="s">
        <v>354</v>
      </c>
      <c r="H353" s="23">
        <v>230.0</v>
      </c>
      <c r="I353" s="22" t="s">
        <v>354</v>
      </c>
      <c r="J353" s="22" t="s">
        <v>354</v>
      </c>
      <c r="K353" s="22" t="s">
        <v>354</v>
      </c>
      <c r="L353" s="22">
        <v>0.0</v>
      </c>
      <c r="M353" s="22" t="s">
        <v>354</v>
      </c>
      <c r="N353" s="101" t="s">
        <v>17</v>
      </c>
      <c r="O353" s="101" t="s">
        <v>17</v>
      </c>
      <c r="P353" s="24" t="s">
        <v>153</v>
      </c>
      <c r="Q353" s="24" t="s">
        <v>152</v>
      </c>
      <c r="R353" s="24" t="s">
        <v>152</v>
      </c>
      <c r="S353" s="44" t="s">
        <v>373</v>
      </c>
      <c r="T353" s="24" t="s">
        <v>152</v>
      </c>
      <c r="U353" s="19"/>
      <c r="V353" s="19"/>
      <c r="W353" s="19"/>
      <c r="X353" s="19"/>
      <c r="Y353" s="19"/>
      <c r="Z353" s="19"/>
      <c r="AA353" s="19"/>
      <c r="AB353" s="22" t="s">
        <v>354</v>
      </c>
      <c r="AC353" s="19"/>
      <c r="AD353" s="19"/>
      <c r="AE353" s="19"/>
      <c r="AF353" s="33">
        <v>0.0</v>
      </c>
      <c r="AG353" s="33" t="s">
        <v>354</v>
      </c>
      <c r="AH353" s="33"/>
      <c r="AI353" s="33" t="s">
        <v>354</v>
      </c>
      <c r="AJ353" s="19"/>
      <c r="AK353" s="19"/>
      <c r="AL353" s="40" t="s">
        <v>357</v>
      </c>
      <c r="AM353" s="40" t="s">
        <v>357</v>
      </c>
      <c r="AN353" s="40" t="s">
        <v>357</v>
      </c>
    </row>
    <row r="354">
      <c r="A354" s="17" t="s">
        <v>152</v>
      </c>
      <c r="B354" s="18" t="s">
        <v>629</v>
      </c>
      <c r="C354" s="19" t="s">
        <v>151</v>
      </c>
      <c r="D354" s="20" t="s">
        <v>547</v>
      </c>
      <c r="E354" s="33" t="s">
        <v>7</v>
      </c>
      <c r="F354" s="19" t="s">
        <v>8</v>
      </c>
      <c r="G354" s="22" t="s">
        <v>354</v>
      </c>
      <c r="H354" s="23">
        <v>255.0</v>
      </c>
      <c r="I354" s="22" t="s">
        <v>354</v>
      </c>
      <c r="J354" s="22" t="s">
        <v>354</v>
      </c>
      <c r="K354" s="22" t="s">
        <v>354</v>
      </c>
      <c r="L354" s="22">
        <v>0.0</v>
      </c>
      <c r="M354" s="22" t="s">
        <v>354</v>
      </c>
      <c r="N354" s="101" t="s">
        <v>17</v>
      </c>
      <c r="O354" s="101" t="s">
        <v>17</v>
      </c>
      <c r="P354" s="24" t="s">
        <v>153</v>
      </c>
      <c r="Q354" s="24" t="s">
        <v>152</v>
      </c>
      <c r="R354" s="24" t="s">
        <v>152</v>
      </c>
      <c r="S354" s="44" t="s">
        <v>373</v>
      </c>
      <c r="T354" s="24" t="s">
        <v>152</v>
      </c>
      <c r="U354" s="24" t="s">
        <v>152</v>
      </c>
      <c r="V354" s="19"/>
      <c r="W354" s="19"/>
      <c r="X354" s="19"/>
      <c r="Y354" s="19"/>
      <c r="Z354" s="19"/>
      <c r="AA354" s="19"/>
      <c r="AB354" s="23" t="s">
        <v>632</v>
      </c>
      <c r="AC354" s="19"/>
      <c r="AD354" s="19"/>
      <c r="AE354" s="19"/>
      <c r="AF354" s="36">
        <v>33.88</v>
      </c>
      <c r="AG354" s="33" t="s">
        <v>354</v>
      </c>
      <c r="AH354" s="33"/>
      <c r="AI354" s="33" t="s">
        <v>354</v>
      </c>
      <c r="AJ354" s="19"/>
      <c r="AK354" s="19"/>
      <c r="AL354" s="40" t="s">
        <v>357</v>
      </c>
      <c r="AM354" s="40" t="s">
        <v>357</v>
      </c>
      <c r="AN354" s="40" t="s">
        <v>357</v>
      </c>
    </row>
    <row r="355">
      <c r="A355" s="17" t="s">
        <v>152</v>
      </c>
      <c r="B355" s="18" t="s">
        <v>629</v>
      </c>
      <c r="C355" s="19" t="s">
        <v>151</v>
      </c>
      <c r="D355" s="20" t="s">
        <v>547</v>
      </c>
      <c r="E355" s="33" t="s">
        <v>7</v>
      </c>
      <c r="F355" s="19" t="s">
        <v>8</v>
      </c>
      <c r="G355" s="22" t="s">
        <v>354</v>
      </c>
      <c r="H355" s="23">
        <v>270.0</v>
      </c>
      <c r="I355" s="22" t="s">
        <v>354</v>
      </c>
      <c r="J355" s="22" t="s">
        <v>354</v>
      </c>
      <c r="K355" s="22" t="s">
        <v>354</v>
      </c>
      <c r="L355" s="22">
        <v>0.0</v>
      </c>
      <c r="M355" s="22" t="s">
        <v>354</v>
      </c>
      <c r="N355" s="101" t="s">
        <v>17</v>
      </c>
      <c r="O355" s="101" t="s">
        <v>17</v>
      </c>
      <c r="P355" s="24" t="s">
        <v>153</v>
      </c>
      <c r="Q355" s="24" t="s">
        <v>152</v>
      </c>
      <c r="R355" s="24" t="s">
        <v>152</v>
      </c>
      <c r="S355" s="44" t="s">
        <v>373</v>
      </c>
      <c r="T355" s="24" t="s">
        <v>152</v>
      </c>
      <c r="U355" s="24" t="s">
        <v>152</v>
      </c>
      <c r="V355" s="24" t="s">
        <v>152</v>
      </c>
      <c r="W355" s="19"/>
      <c r="X355" s="19"/>
      <c r="Y355" s="19"/>
      <c r="Z355" s="19"/>
      <c r="AA355" s="19"/>
      <c r="AB355" s="22" t="s">
        <v>354</v>
      </c>
      <c r="AC355" s="19"/>
      <c r="AD355" s="19"/>
      <c r="AE355" s="19"/>
      <c r="AF355" s="33">
        <v>0.0</v>
      </c>
      <c r="AG355" s="33" t="s">
        <v>354</v>
      </c>
      <c r="AH355" s="33"/>
      <c r="AI355" s="33" t="s">
        <v>354</v>
      </c>
      <c r="AJ355" s="19"/>
      <c r="AK355" s="19"/>
      <c r="AL355" s="19" t="s">
        <v>356</v>
      </c>
      <c r="AM355" s="19" t="s">
        <v>356</v>
      </c>
      <c r="AN355" s="19" t="s">
        <v>356</v>
      </c>
    </row>
    <row r="356">
      <c r="A356" s="17" t="s">
        <v>152</v>
      </c>
      <c r="B356" s="18" t="s">
        <v>629</v>
      </c>
      <c r="C356" s="19" t="s">
        <v>151</v>
      </c>
      <c r="D356" s="20" t="s">
        <v>547</v>
      </c>
      <c r="E356" s="33" t="s">
        <v>7</v>
      </c>
      <c r="F356" s="19" t="s">
        <v>8</v>
      </c>
      <c r="G356" s="23">
        <v>122.0</v>
      </c>
      <c r="H356" s="23">
        <v>300.0</v>
      </c>
      <c r="I356" s="22" t="s">
        <v>354</v>
      </c>
      <c r="J356" s="22" t="s">
        <v>354</v>
      </c>
      <c r="K356" s="22" t="s">
        <v>354</v>
      </c>
      <c r="L356" s="22">
        <v>0.0</v>
      </c>
      <c r="M356" s="22" t="s">
        <v>354</v>
      </c>
      <c r="N356" s="101" t="s">
        <v>17</v>
      </c>
      <c r="O356" s="101" t="s">
        <v>17</v>
      </c>
      <c r="P356" s="24" t="s">
        <v>153</v>
      </c>
      <c r="Q356" s="24" t="s">
        <v>152</v>
      </c>
      <c r="R356" s="24" t="s">
        <v>152</v>
      </c>
      <c r="S356" s="44" t="s">
        <v>373</v>
      </c>
      <c r="T356" s="24" t="s">
        <v>152</v>
      </c>
      <c r="U356" s="24" t="s">
        <v>152</v>
      </c>
      <c r="V356" s="24" t="s">
        <v>152</v>
      </c>
      <c r="W356" s="18" t="s">
        <v>633</v>
      </c>
      <c r="X356" s="19"/>
      <c r="Y356" s="19"/>
      <c r="Z356" s="19"/>
      <c r="AA356" s="19"/>
      <c r="AB356" s="158" t="s">
        <v>634</v>
      </c>
      <c r="AC356" s="19"/>
      <c r="AD356" s="19"/>
      <c r="AE356" s="19"/>
      <c r="AF356" s="33">
        <v>0.0</v>
      </c>
      <c r="AG356" s="33" t="s">
        <v>354</v>
      </c>
      <c r="AH356" s="33"/>
      <c r="AI356" s="33" t="s">
        <v>354</v>
      </c>
      <c r="AJ356" s="19"/>
      <c r="AK356" s="19"/>
      <c r="AL356" s="19" t="s">
        <v>356</v>
      </c>
      <c r="AM356" s="19" t="s">
        <v>356</v>
      </c>
      <c r="AN356" s="40" t="s">
        <v>357</v>
      </c>
    </row>
    <row r="357">
      <c r="A357" s="17" t="s">
        <v>152</v>
      </c>
      <c r="B357" s="18" t="s">
        <v>629</v>
      </c>
      <c r="C357" s="19" t="s">
        <v>151</v>
      </c>
      <c r="D357" s="20" t="s">
        <v>547</v>
      </c>
      <c r="E357" s="33" t="s">
        <v>7</v>
      </c>
      <c r="F357" s="19" t="s">
        <v>8</v>
      </c>
      <c r="G357" s="22" t="s">
        <v>354</v>
      </c>
      <c r="H357" s="22" t="s">
        <v>354</v>
      </c>
      <c r="I357" s="22" t="s">
        <v>354</v>
      </c>
      <c r="J357" s="22" t="s">
        <v>354</v>
      </c>
      <c r="K357" s="22" t="s">
        <v>354</v>
      </c>
      <c r="L357" s="78">
        <v>1.0</v>
      </c>
      <c r="M357" s="78" t="s">
        <v>635</v>
      </c>
      <c r="N357" s="101" t="s">
        <v>17</v>
      </c>
      <c r="O357" s="101" t="s">
        <v>17</v>
      </c>
      <c r="P357" s="24" t="s">
        <v>153</v>
      </c>
      <c r="Q357" s="24" t="s">
        <v>152</v>
      </c>
      <c r="R357" s="24" t="s">
        <v>152</v>
      </c>
      <c r="S357" s="44" t="s">
        <v>373</v>
      </c>
      <c r="T357" s="24" t="s">
        <v>152</v>
      </c>
      <c r="U357" s="24" t="s">
        <v>152</v>
      </c>
      <c r="V357" s="24" t="s">
        <v>152</v>
      </c>
      <c r="W357" s="18" t="s">
        <v>633</v>
      </c>
      <c r="X357" s="24" t="s">
        <v>152</v>
      </c>
      <c r="Y357" s="23"/>
      <c r="Z357" s="23"/>
      <c r="AA357" s="19"/>
      <c r="AB357" s="158" t="s">
        <v>600</v>
      </c>
      <c r="AC357" s="19"/>
      <c r="AD357" s="19"/>
      <c r="AE357" s="19"/>
      <c r="AF357" s="33">
        <v>0.0</v>
      </c>
      <c r="AG357" s="33" t="s">
        <v>354</v>
      </c>
      <c r="AH357" s="33"/>
      <c r="AI357" s="33" t="s">
        <v>354</v>
      </c>
      <c r="AJ357" s="19"/>
      <c r="AK357" s="19"/>
      <c r="AL357" s="19" t="s">
        <v>356</v>
      </c>
      <c r="AM357" s="19" t="s">
        <v>356</v>
      </c>
      <c r="AN357" s="19" t="s">
        <v>356</v>
      </c>
    </row>
    <row r="358">
      <c r="A358" s="17" t="s">
        <v>152</v>
      </c>
      <c r="B358" s="18" t="s">
        <v>629</v>
      </c>
      <c r="C358" s="19" t="s">
        <v>151</v>
      </c>
      <c r="D358" s="20" t="s">
        <v>547</v>
      </c>
      <c r="E358" s="33" t="s">
        <v>7</v>
      </c>
      <c r="F358" s="19" t="s">
        <v>8</v>
      </c>
      <c r="G358" s="22" t="s">
        <v>354</v>
      </c>
      <c r="H358" s="22" t="s">
        <v>354</v>
      </c>
      <c r="I358" s="22" t="s">
        <v>354</v>
      </c>
      <c r="J358" s="22" t="s">
        <v>354</v>
      </c>
      <c r="K358" s="22" t="s">
        <v>354</v>
      </c>
      <c r="L358" s="78">
        <v>1.0</v>
      </c>
      <c r="M358" s="78" t="s">
        <v>635</v>
      </c>
      <c r="N358" s="101" t="s">
        <v>17</v>
      </c>
      <c r="O358" s="101" t="s">
        <v>17</v>
      </c>
      <c r="P358" s="24" t="s">
        <v>153</v>
      </c>
      <c r="Q358" s="24" t="s">
        <v>152</v>
      </c>
      <c r="R358" s="24" t="s">
        <v>152</v>
      </c>
      <c r="S358" s="44" t="s">
        <v>373</v>
      </c>
      <c r="T358" s="24" t="s">
        <v>152</v>
      </c>
      <c r="U358" s="24" t="s">
        <v>152</v>
      </c>
      <c r="V358" s="24" t="s">
        <v>152</v>
      </c>
      <c r="W358" s="18" t="s">
        <v>633</v>
      </c>
      <c r="X358" s="24" t="s">
        <v>152</v>
      </c>
      <c r="Y358" s="83" t="s">
        <v>152</v>
      </c>
      <c r="Z358" s="23"/>
      <c r="AA358" s="19"/>
      <c r="AB358" s="158" t="s">
        <v>600</v>
      </c>
      <c r="AC358" s="19"/>
      <c r="AD358" s="19"/>
      <c r="AE358" s="19"/>
      <c r="AF358" s="33">
        <v>0.0</v>
      </c>
      <c r="AG358" s="33" t="s">
        <v>354</v>
      </c>
      <c r="AH358" s="33"/>
      <c r="AI358" s="33" t="s">
        <v>354</v>
      </c>
      <c r="AJ358" s="19"/>
      <c r="AK358" s="19"/>
      <c r="AL358" s="19" t="s">
        <v>356</v>
      </c>
      <c r="AM358" s="19" t="s">
        <v>356</v>
      </c>
      <c r="AN358" s="19" t="s">
        <v>356</v>
      </c>
    </row>
    <row r="359">
      <c r="A359" s="17" t="s">
        <v>152</v>
      </c>
      <c r="B359" s="18" t="s">
        <v>629</v>
      </c>
      <c r="C359" s="19" t="s">
        <v>151</v>
      </c>
      <c r="D359" s="20" t="s">
        <v>547</v>
      </c>
      <c r="E359" s="33" t="s">
        <v>7</v>
      </c>
      <c r="F359" s="19" t="s">
        <v>8</v>
      </c>
      <c r="G359" s="22" t="s">
        <v>354</v>
      </c>
      <c r="H359" s="22" t="s">
        <v>354</v>
      </c>
      <c r="I359" s="22" t="s">
        <v>354</v>
      </c>
      <c r="J359" s="22" t="s">
        <v>354</v>
      </c>
      <c r="K359" s="22" t="s">
        <v>354</v>
      </c>
      <c r="L359" s="78">
        <v>1.0</v>
      </c>
      <c r="M359" s="78" t="s">
        <v>635</v>
      </c>
      <c r="N359" s="101" t="s">
        <v>17</v>
      </c>
      <c r="O359" s="101" t="s">
        <v>17</v>
      </c>
      <c r="P359" s="24" t="s">
        <v>153</v>
      </c>
      <c r="Q359" s="24" t="s">
        <v>152</v>
      </c>
      <c r="R359" s="24" t="s">
        <v>152</v>
      </c>
      <c r="S359" s="44" t="s">
        <v>373</v>
      </c>
      <c r="T359" s="24" t="s">
        <v>152</v>
      </c>
      <c r="U359" s="24" t="s">
        <v>152</v>
      </c>
      <c r="V359" s="24" t="s">
        <v>152</v>
      </c>
      <c r="W359" s="18" t="s">
        <v>633</v>
      </c>
      <c r="X359" s="83" t="s">
        <v>152</v>
      </c>
      <c r="Y359" s="83" t="s">
        <v>152</v>
      </c>
      <c r="Z359" s="18" t="s">
        <v>636</v>
      </c>
      <c r="AA359" s="19"/>
      <c r="AB359" s="158" t="s">
        <v>637</v>
      </c>
      <c r="AC359" s="19"/>
      <c r="AD359" s="19"/>
      <c r="AE359" s="19"/>
      <c r="AF359" s="23">
        <v>0.0</v>
      </c>
      <c r="AG359" s="23" t="s">
        <v>356</v>
      </c>
      <c r="AH359" s="19"/>
      <c r="AI359" s="23" t="s">
        <v>356</v>
      </c>
      <c r="AJ359" s="23" t="s">
        <v>356</v>
      </c>
      <c r="AK359" s="23" t="s">
        <v>356</v>
      </c>
      <c r="AL359" s="23" t="s">
        <v>356</v>
      </c>
      <c r="AM359" s="70" t="s">
        <v>361</v>
      </c>
      <c r="AN359" s="23" t="s">
        <v>356</v>
      </c>
    </row>
    <row r="360">
      <c r="A360" s="17" t="s">
        <v>152</v>
      </c>
      <c r="B360" s="18" t="s">
        <v>629</v>
      </c>
      <c r="C360" s="19" t="s">
        <v>151</v>
      </c>
      <c r="D360" s="20" t="s">
        <v>547</v>
      </c>
      <c r="E360" s="33" t="s">
        <v>7</v>
      </c>
      <c r="F360" s="19" t="s">
        <v>8</v>
      </c>
      <c r="G360" s="22" t="s">
        <v>354</v>
      </c>
      <c r="H360" s="22" t="s">
        <v>354</v>
      </c>
      <c r="I360" s="22" t="s">
        <v>354</v>
      </c>
      <c r="J360" s="22" t="s">
        <v>354</v>
      </c>
      <c r="K360" s="22" t="s">
        <v>354</v>
      </c>
      <c r="L360" s="78">
        <v>1.0</v>
      </c>
      <c r="M360" s="78" t="s">
        <v>635</v>
      </c>
      <c r="N360" s="101" t="s">
        <v>17</v>
      </c>
      <c r="O360" s="101" t="s">
        <v>17</v>
      </c>
      <c r="P360" s="24" t="s">
        <v>153</v>
      </c>
      <c r="Q360" s="24" t="s">
        <v>152</v>
      </c>
      <c r="R360" s="24" t="s">
        <v>152</v>
      </c>
      <c r="S360" s="44" t="s">
        <v>373</v>
      </c>
      <c r="T360" s="24" t="s">
        <v>152</v>
      </c>
      <c r="U360" s="24" t="s">
        <v>152</v>
      </c>
      <c r="V360" s="24" t="s">
        <v>152</v>
      </c>
      <c r="W360" s="18" t="s">
        <v>633</v>
      </c>
      <c r="X360" s="83" t="s">
        <v>152</v>
      </c>
      <c r="Y360" s="83" t="s">
        <v>152</v>
      </c>
      <c r="Z360" s="18" t="s">
        <v>636</v>
      </c>
      <c r="AA360" s="83" t="s">
        <v>152</v>
      </c>
      <c r="AB360" s="158" t="s">
        <v>600</v>
      </c>
      <c r="AC360" s="19"/>
      <c r="AD360" s="19"/>
      <c r="AE360" s="19"/>
      <c r="AF360" s="33">
        <v>0.0</v>
      </c>
      <c r="AG360" s="33" t="s">
        <v>354</v>
      </c>
      <c r="AH360" s="33"/>
      <c r="AI360" s="33" t="s">
        <v>354</v>
      </c>
      <c r="AJ360" s="19"/>
      <c r="AK360" s="19"/>
      <c r="AL360" s="19" t="s">
        <v>356</v>
      </c>
      <c r="AM360" s="19" t="s">
        <v>356</v>
      </c>
      <c r="AN360" s="19" t="s">
        <v>356</v>
      </c>
    </row>
    <row r="361">
      <c r="A361" s="45" t="s">
        <v>155</v>
      </c>
      <c r="B361" s="98" t="s">
        <v>638</v>
      </c>
      <c r="C361" s="46" t="s">
        <v>154</v>
      </c>
      <c r="D361" s="47" t="s">
        <v>547</v>
      </c>
      <c r="E361" s="48" t="s">
        <v>7</v>
      </c>
      <c r="F361" s="46" t="s">
        <v>67</v>
      </c>
      <c r="G361" s="49">
        <v>127.0</v>
      </c>
      <c r="H361" s="49">
        <v>345.0</v>
      </c>
      <c r="I361" s="49" t="s">
        <v>354</v>
      </c>
      <c r="J361" s="46">
        <v>33.0</v>
      </c>
      <c r="K361" s="49">
        <v>1.0</v>
      </c>
      <c r="L361" s="49">
        <v>0.0</v>
      </c>
      <c r="M361" s="49" t="s">
        <v>354</v>
      </c>
      <c r="N361" s="101" t="s">
        <v>17</v>
      </c>
      <c r="O361" s="101" t="s">
        <v>17</v>
      </c>
      <c r="P361" s="24" t="s">
        <v>156</v>
      </c>
      <c r="Q361" s="62" t="s">
        <v>381</v>
      </c>
      <c r="R361" s="62" t="s">
        <v>381</v>
      </c>
      <c r="S361" s="62" t="s">
        <v>381</v>
      </c>
      <c r="T361" s="62" t="s">
        <v>381</v>
      </c>
      <c r="U361" s="62" t="s">
        <v>381</v>
      </c>
      <c r="V361" s="62" t="s">
        <v>381</v>
      </c>
      <c r="W361" s="62" t="s">
        <v>381</v>
      </c>
      <c r="X361" s="62" t="s">
        <v>381</v>
      </c>
      <c r="Y361" s="62" t="s">
        <v>381</v>
      </c>
      <c r="Z361" s="62" t="s">
        <v>381</v>
      </c>
      <c r="AA361" s="62" t="s">
        <v>381</v>
      </c>
      <c r="AB361" s="100" t="s">
        <v>639</v>
      </c>
      <c r="AC361" s="46">
        <v>36336.0</v>
      </c>
      <c r="AD361" s="46"/>
      <c r="AE361" s="46"/>
      <c r="AF361" s="49">
        <v>0.0</v>
      </c>
      <c r="AG361" s="49" t="s">
        <v>356</v>
      </c>
      <c r="AH361" s="46"/>
      <c r="AI361" s="46"/>
      <c r="AJ361" s="46"/>
      <c r="AK361" s="46"/>
      <c r="AL361" s="49" t="s">
        <v>356</v>
      </c>
      <c r="AM361" s="49" t="s">
        <v>356</v>
      </c>
      <c r="AN361" s="49" t="s">
        <v>356</v>
      </c>
    </row>
    <row r="362">
      <c r="A362" s="17" t="s">
        <v>158</v>
      </c>
      <c r="B362" s="18" t="s">
        <v>640</v>
      </c>
      <c r="C362" s="19" t="s">
        <v>157</v>
      </c>
      <c r="D362" s="20" t="s">
        <v>547</v>
      </c>
      <c r="E362" s="21" t="s">
        <v>7</v>
      </c>
      <c r="F362" s="19" t="s">
        <v>8</v>
      </c>
      <c r="G362" s="23">
        <v>120.0</v>
      </c>
      <c r="H362" s="23">
        <v>295.0</v>
      </c>
      <c r="I362" s="22" t="s">
        <v>354</v>
      </c>
      <c r="J362" s="22" t="s">
        <v>354</v>
      </c>
      <c r="K362" s="22" t="s">
        <v>354</v>
      </c>
      <c r="L362" s="22">
        <v>0.0</v>
      </c>
      <c r="M362" s="22" t="s">
        <v>354</v>
      </c>
      <c r="N362" s="101" t="s">
        <v>17</v>
      </c>
      <c r="O362" s="101" t="s">
        <v>17</v>
      </c>
      <c r="P362" s="24" t="s">
        <v>159</v>
      </c>
      <c r="Q362" s="19"/>
      <c r="R362" s="19"/>
      <c r="S362" s="19"/>
      <c r="T362" s="19"/>
      <c r="U362" s="19"/>
      <c r="V362" s="19"/>
      <c r="W362" s="19"/>
      <c r="X362" s="19"/>
      <c r="Y362" s="19"/>
      <c r="Z362" s="19"/>
      <c r="AA362" s="19"/>
      <c r="AB362" s="22" t="s">
        <v>354</v>
      </c>
      <c r="AC362" s="19">
        <v>36337.0</v>
      </c>
      <c r="AD362" s="19"/>
      <c r="AE362" s="19"/>
      <c r="AF362" s="66">
        <v>31.13</v>
      </c>
      <c r="AG362" s="23" t="s">
        <v>356</v>
      </c>
      <c r="AH362" s="19"/>
      <c r="AI362" s="23" t="s">
        <v>356</v>
      </c>
      <c r="AJ362" s="19"/>
      <c r="AK362" s="19"/>
      <c r="AL362" s="60" t="s">
        <v>357</v>
      </c>
      <c r="AM362" s="60" t="s">
        <v>357</v>
      </c>
      <c r="AN362" s="38" t="s">
        <v>357</v>
      </c>
    </row>
    <row r="363">
      <c r="A363" s="17" t="s">
        <v>158</v>
      </c>
      <c r="B363" s="18" t="s">
        <v>640</v>
      </c>
      <c r="C363" s="19" t="s">
        <v>157</v>
      </c>
      <c r="D363" s="20" t="s">
        <v>547</v>
      </c>
      <c r="E363" s="21" t="s">
        <v>7</v>
      </c>
      <c r="F363" s="19" t="s">
        <v>8</v>
      </c>
      <c r="G363" s="22" t="s">
        <v>354</v>
      </c>
      <c r="H363" s="23">
        <v>205.0</v>
      </c>
      <c r="I363" s="22" t="s">
        <v>354</v>
      </c>
      <c r="J363" s="22" t="s">
        <v>354</v>
      </c>
      <c r="K363" s="22" t="s">
        <v>354</v>
      </c>
      <c r="L363" s="22">
        <v>0.0</v>
      </c>
      <c r="M363" s="22" t="s">
        <v>354</v>
      </c>
      <c r="N363" s="101" t="s">
        <v>17</v>
      </c>
      <c r="O363" s="101" t="s">
        <v>17</v>
      </c>
      <c r="P363" s="24" t="s">
        <v>159</v>
      </c>
      <c r="Q363" s="24" t="s">
        <v>158</v>
      </c>
      <c r="R363" s="19"/>
      <c r="S363" s="19"/>
      <c r="T363" s="19"/>
      <c r="U363" s="19"/>
      <c r="V363" s="19"/>
      <c r="W363" s="19"/>
      <c r="X363" s="19"/>
      <c r="Y363" s="19"/>
      <c r="Z363" s="19"/>
      <c r="AA363" s="19"/>
      <c r="AB363" s="23" t="s">
        <v>641</v>
      </c>
      <c r="AC363" s="19">
        <v>36617.0</v>
      </c>
      <c r="AD363" s="19"/>
      <c r="AE363" s="19"/>
      <c r="AF363" s="66">
        <v>31.7</v>
      </c>
      <c r="AG363" s="36" t="s">
        <v>365</v>
      </c>
      <c r="AH363" s="23" t="s">
        <v>366</v>
      </c>
      <c r="AI363" s="26" t="s">
        <v>357</v>
      </c>
      <c r="AJ363" s="19"/>
      <c r="AK363" s="19"/>
      <c r="AL363" s="59" t="s">
        <v>357</v>
      </c>
      <c r="AM363" s="38" t="s">
        <v>357</v>
      </c>
      <c r="AN363" s="59" t="s">
        <v>357</v>
      </c>
    </row>
    <row r="364">
      <c r="A364" s="17" t="s">
        <v>158</v>
      </c>
      <c r="B364" s="18" t="s">
        <v>640</v>
      </c>
      <c r="C364" s="19" t="s">
        <v>157</v>
      </c>
      <c r="D364" s="20" t="s">
        <v>547</v>
      </c>
      <c r="E364" s="21" t="s">
        <v>7</v>
      </c>
      <c r="F364" s="19" t="s">
        <v>8</v>
      </c>
      <c r="G364" s="22" t="s">
        <v>354</v>
      </c>
      <c r="H364" s="23">
        <v>185.0</v>
      </c>
      <c r="I364" s="22" t="s">
        <v>354</v>
      </c>
      <c r="J364" s="22" t="s">
        <v>354</v>
      </c>
      <c r="K364" s="22" t="s">
        <v>354</v>
      </c>
      <c r="L364" s="22">
        <v>0.0</v>
      </c>
      <c r="M364" s="22" t="s">
        <v>354</v>
      </c>
      <c r="N364" s="101" t="s">
        <v>17</v>
      </c>
      <c r="O364" s="101" t="s">
        <v>17</v>
      </c>
      <c r="P364" s="24" t="s">
        <v>159</v>
      </c>
      <c r="Q364" s="24" t="s">
        <v>158</v>
      </c>
      <c r="R364" s="24" t="s">
        <v>158</v>
      </c>
      <c r="S364" s="19"/>
      <c r="T364" s="19"/>
      <c r="U364" s="19"/>
      <c r="V364" s="19"/>
      <c r="W364" s="19"/>
      <c r="X364" s="19"/>
      <c r="Y364" s="19"/>
      <c r="Z364" s="19"/>
      <c r="AA364" s="19"/>
      <c r="AB364" s="23" t="s">
        <v>642</v>
      </c>
      <c r="AC364" s="19"/>
      <c r="AD364" s="19"/>
      <c r="AE364" s="19"/>
      <c r="AF364" s="66">
        <v>35.16</v>
      </c>
      <c r="AG364" s="36" t="s">
        <v>365</v>
      </c>
      <c r="AH364" s="23" t="s">
        <v>366</v>
      </c>
      <c r="AI364" s="26" t="s">
        <v>357</v>
      </c>
      <c r="AJ364" s="19"/>
      <c r="AK364" s="19"/>
      <c r="AL364" s="102" t="s">
        <v>357</v>
      </c>
      <c r="AM364" s="102" t="s">
        <v>357</v>
      </c>
      <c r="AN364" s="73" t="s">
        <v>357</v>
      </c>
    </row>
    <row r="365">
      <c r="A365" s="17" t="s">
        <v>158</v>
      </c>
      <c r="B365" s="18" t="s">
        <v>640</v>
      </c>
      <c r="C365" s="19" t="s">
        <v>157</v>
      </c>
      <c r="D365" s="20" t="s">
        <v>547</v>
      </c>
      <c r="E365" s="21" t="s">
        <v>7</v>
      </c>
      <c r="F365" s="19" t="s">
        <v>8</v>
      </c>
      <c r="G365" s="22" t="s">
        <v>354</v>
      </c>
      <c r="H365" s="22" t="s">
        <v>354</v>
      </c>
      <c r="I365" s="22" t="s">
        <v>354</v>
      </c>
      <c r="J365" s="22" t="s">
        <v>354</v>
      </c>
      <c r="K365" s="22" t="s">
        <v>354</v>
      </c>
      <c r="L365" s="23">
        <v>1.0</v>
      </c>
      <c r="M365" s="22" t="s">
        <v>354</v>
      </c>
      <c r="N365" s="101" t="s">
        <v>17</v>
      </c>
      <c r="O365" s="101" t="s">
        <v>17</v>
      </c>
      <c r="P365" s="24" t="s">
        <v>159</v>
      </c>
      <c r="Q365" s="24" t="s">
        <v>158</v>
      </c>
      <c r="R365" s="24" t="s">
        <v>158</v>
      </c>
      <c r="S365" s="24" t="s">
        <v>158</v>
      </c>
      <c r="T365" s="19"/>
      <c r="U365" s="19"/>
      <c r="V365" s="19"/>
      <c r="W365" s="19"/>
      <c r="X365" s="19"/>
      <c r="Y365" s="19"/>
      <c r="Z365" s="19"/>
      <c r="AA365" s="19"/>
      <c r="AB365" s="22" t="s">
        <v>354</v>
      </c>
      <c r="AC365" s="19"/>
      <c r="AD365" s="19"/>
      <c r="AE365" s="19"/>
      <c r="AF365" s="36">
        <v>30.99</v>
      </c>
      <c r="AG365" s="33" t="s">
        <v>354</v>
      </c>
      <c r="AH365" s="33"/>
      <c r="AI365" s="33" t="s">
        <v>354</v>
      </c>
      <c r="AJ365" s="19"/>
      <c r="AK365" s="19"/>
      <c r="AL365" s="40" t="s">
        <v>357</v>
      </c>
      <c r="AM365" s="40" t="s">
        <v>357</v>
      </c>
      <c r="AN365" s="40" t="s">
        <v>357</v>
      </c>
    </row>
    <row r="366">
      <c r="A366" s="17" t="s">
        <v>158</v>
      </c>
      <c r="B366" s="18" t="s">
        <v>640</v>
      </c>
      <c r="C366" s="19" t="s">
        <v>157</v>
      </c>
      <c r="D366" s="20" t="s">
        <v>547</v>
      </c>
      <c r="E366" s="21" t="s">
        <v>7</v>
      </c>
      <c r="F366" s="19" t="s">
        <v>8</v>
      </c>
      <c r="G366" s="22" t="s">
        <v>354</v>
      </c>
      <c r="H366" s="23">
        <v>200.0</v>
      </c>
      <c r="I366" s="22" t="s">
        <v>354</v>
      </c>
      <c r="J366" s="22" t="s">
        <v>354</v>
      </c>
      <c r="K366" s="22" t="s">
        <v>354</v>
      </c>
      <c r="L366" s="22">
        <v>0.0</v>
      </c>
      <c r="M366" s="22" t="s">
        <v>354</v>
      </c>
      <c r="N366" s="101" t="s">
        <v>17</v>
      </c>
      <c r="O366" s="101" t="s">
        <v>17</v>
      </c>
      <c r="P366" s="24" t="s">
        <v>159</v>
      </c>
      <c r="Q366" s="24" t="s">
        <v>158</v>
      </c>
      <c r="R366" s="24" t="s">
        <v>158</v>
      </c>
      <c r="S366" s="24" t="s">
        <v>158</v>
      </c>
      <c r="T366" s="24" t="s">
        <v>158</v>
      </c>
      <c r="U366" s="19"/>
      <c r="V366" s="19"/>
      <c r="W366" s="19"/>
      <c r="X366" s="19"/>
      <c r="Y366" s="19"/>
      <c r="Z366" s="19"/>
      <c r="AA366" s="19"/>
      <c r="AB366" s="23" t="s">
        <v>643</v>
      </c>
      <c r="AC366" s="19"/>
      <c r="AD366" s="19"/>
      <c r="AE366" s="19"/>
      <c r="AF366" s="36">
        <v>34.13</v>
      </c>
      <c r="AG366" s="33" t="s">
        <v>354</v>
      </c>
      <c r="AH366" s="33"/>
      <c r="AI366" s="33" t="s">
        <v>354</v>
      </c>
      <c r="AJ366" s="19"/>
      <c r="AK366" s="19"/>
      <c r="AL366" s="40" t="s">
        <v>357</v>
      </c>
      <c r="AM366" s="40" t="s">
        <v>357</v>
      </c>
      <c r="AN366" s="40" t="s">
        <v>357</v>
      </c>
    </row>
    <row r="367">
      <c r="A367" s="17" t="s">
        <v>158</v>
      </c>
      <c r="B367" s="18" t="s">
        <v>640</v>
      </c>
      <c r="C367" s="19" t="s">
        <v>157</v>
      </c>
      <c r="D367" s="20" t="s">
        <v>547</v>
      </c>
      <c r="E367" s="21" t="s">
        <v>7</v>
      </c>
      <c r="F367" s="19" t="s">
        <v>8</v>
      </c>
      <c r="G367" s="22" t="s">
        <v>354</v>
      </c>
      <c r="H367" s="23">
        <v>190.0</v>
      </c>
      <c r="I367" s="22" t="s">
        <v>354</v>
      </c>
      <c r="J367" s="22" t="s">
        <v>354</v>
      </c>
      <c r="K367" s="22" t="s">
        <v>354</v>
      </c>
      <c r="L367" s="22">
        <v>0.0</v>
      </c>
      <c r="M367" s="22" t="s">
        <v>354</v>
      </c>
      <c r="N367" s="101" t="s">
        <v>17</v>
      </c>
      <c r="O367" s="101" t="s">
        <v>17</v>
      </c>
      <c r="P367" s="24" t="s">
        <v>159</v>
      </c>
      <c r="Q367" s="24" t="s">
        <v>158</v>
      </c>
      <c r="R367" s="24" t="s">
        <v>158</v>
      </c>
      <c r="S367" s="24" t="s">
        <v>158</v>
      </c>
      <c r="T367" s="24" t="s">
        <v>158</v>
      </c>
      <c r="U367" s="24" t="s">
        <v>158</v>
      </c>
      <c r="V367" s="19"/>
      <c r="W367" s="19"/>
      <c r="X367" s="19"/>
      <c r="Y367" s="19"/>
      <c r="Z367" s="19"/>
      <c r="AA367" s="19"/>
      <c r="AB367" s="22" t="s">
        <v>354</v>
      </c>
      <c r="AC367" s="19"/>
      <c r="AD367" s="19"/>
      <c r="AE367" s="19"/>
      <c r="AF367" s="23">
        <v>0.0</v>
      </c>
      <c r="AG367" s="23" t="s">
        <v>354</v>
      </c>
      <c r="AH367" s="19"/>
      <c r="AI367" s="23" t="s">
        <v>354</v>
      </c>
      <c r="AJ367" s="19"/>
      <c r="AK367" s="137"/>
      <c r="AL367" s="89" t="s">
        <v>356</v>
      </c>
      <c r="AM367" s="59" t="s">
        <v>357</v>
      </c>
      <c r="AN367" s="59" t="s">
        <v>357</v>
      </c>
    </row>
    <row r="368">
      <c r="A368" s="17" t="s">
        <v>158</v>
      </c>
      <c r="B368" s="18" t="s">
        <v>640</v>
      </c>
      <c r="C368" s="19" t="s">
        <v>157</v>
      </c>
      <c r="D368" s="20" t="s">
        <v>547</v>
      </c>
      <c r="E368" s="21" t="s">
        <v>7</v>
      </c>
      <c r="F368" s="19" t="s">
        <v>8</v>
      </c>
      <c r="G368" s="22" t="s">
        <v>354</v>
      </c>
      <c r="H368" s="23">
        <v>205.0</v>
      </c>
      <c r="I368" s="22" t="s">
        <v>354</v>
      </c>
      <c r="J368" s="22" t="s">
        <v>354</v>
      </c>
      <c r="K368" s="22" t="s">
        <v>354</v>
      </c>
      <c r="L368" s="22">
        <v>0.0</v>
      </c>
      <c r="M368" s="22" t="s">
        <v>354</v>
      </c>
      <c r="N368" s="101" t="s">
        <v>17</v>
      </c>
      <c r="O368" s="101" t="s">
        <v>17</v>
      </c>
      <c r="P368" s="24" t="s">
        <v>159</v>
      </c>
      <c r="Q368" s="24" t="s">
        <v>158</v>
      </c>
      <c r="R368" s="24" t="s">
        <v>158</v>
      </c>
      <c r="S368" s="24" t="s">
        <v>158</v>
      </c>
      <c r="T368" s="24" t="s">
        <v>158</v>
      </c>
      <c r="U368" s="24" t="s">
        <v>158</v>
      </c>
      <c r="V368" s="24" t="s">
        <v>158</v>
      </c>
      <c r="W368" s="19"/>
      <c r="X368" s="19"/>
      <c r="Y368" s="19"/>
      <c r="Z368" s="19"/>
      <c r="AA368" s="19"/>
      <c r="AB368" s="22" t="s">
        <v>354</v>
      </c>
      <c r="AC368" s="19"/>
      <c r="AD368" s="19"/>
      <c r="AE368" s="19"/>
      <c r="AF368" s="23">
        <v>0.0</v>
      </c>
      <c r="AG368" s="23" t="s">
        <v>354</v>
      </c>
      <c r="AH368" s="19"/>
      <c r="AI368" s="23" t="s">
        <v>354</v>
      </c>
      <c r="AJ368" s="19"/>
      <c r="AK368" s="19"/>
      <c r="AL368" s="89" t="s">
        <v>356</v>
      </c>
      <c r="AM368" s="89" t="s">
        <v>356</v>
      </c>
      <c r="AN368" s="89" t="s">
        <v>356</v>
      </c>
    </row>
    <row r="369">
      <c r="A369" s="17" t="s">
        <v>158</v>
      </c>
      <c r="B369" s="18" t="s">
        <v>640</v>
      </c>
      <c r="C369" s="19" t="s">
        <v>157</v>
      </c>
      <c r="D369" s="20" t="s">
        <v>547</v>
      </c>
      <c r="E369" s="21" t="s">
        <v>7</v>
      </c>
      <c r="F369" s="19" t="s">
        <v>8</v>
      </c>
      <c r="G369" s="22" t="s">
        <v>354</v>
      </c>
      <c r="H369" s="23">
        <v>182.0</v>
      </c>
      <c r="I369" s="22" t="s">
        <v>354</v>
      </c>
      <c r="J369" s="22" t="s">
        <v>354</v>
      </c>
      <c r="K369" s="22" t="s">
        <v>354</v>
      </c>
      <c r="L369" s="22">
        <v>0.0</v>
      </c>
      <c r="M369" s="22" t="s">
        <v>354</v>
      </c>
      <c r="N369" s="101" t="s">
        <v>17</v>
      </c>
      <c r="O369" s="101" t="s">
        <v>17</v>
      </c>
      <c r="P369" s="24" t="s">
        <v>159</v>
      </c>
      <c r="Q369" s="24" t="s">
        <v>158</v>
      </c>
      <c r="R369" s="24" t="s">
        <v>158</v>
      </c>
      <c r="S369" s="24" t="s">
        <v>158</v>
      </c>
      <c r="T369" s="24" t="s">
        <v>158</v>
      </c>
      <c r="U369" s="24" t="s">
        <v>158</v>
      </c>
      <c r="V369" s="24" t="s">
        <v>158</v>
      </c>
      <c r="W369" s="18" t="s">
        <v>644</v>
      </c>
      <c r="X369" s="44" t="s">
        <v>373</v>
      </c>
      <c r="Y369" s="61" t="s">
        <v>373</v>
      </c>
      <c r="Z369" s="62" t="s">
        <v>373</v>
      </c>
      <c r="AA369" s="62" t="s">
        <v>381</v>
      </c>
      <c r="AB369" s="62" t="s">
        <v>545</v>
      </c>
      <c r="AC369" s="19"/>
      <c r="AD369" s="19"/>
      <c r="AE369" s="19"/>
      <c r="AF369" s="66">
        <v>37.0358193492265</v>
      </c>
      <c r="AG369" s="23" t="s">
        <v>354</v>
      </c>
      <c r="AH369" s="19"/>
      <c r="AI369" s="23" t="s">
        <v>354</v>
      </c>
      <c r="AJ369" s="19"/>
      <c r="AK369" s="19"/>
      <c r="AL369" s="89" t="s">
        <v>356</v>
      </c>
      <c r="AM369" s="89" t="s">
        <v>356</v>
      </c>
      <c r="AN369" s="89" t="s">
        <v>356</v>
      </c>
    </row>
    <row r="370">
      <c r="A370" s="45" t="s">
        <v>161</v>
      </c>
      <c r="B370" s="18" t="s">
        <v>645</v>
      </c>
      <c r="C370" s="46" t="s">
        <v>160</v>
      </c>
      <c r="D370" s="47" t="s">
        <v>547</v>
      </c>
      <c r="E370" s="63" t="s">
        <v>37</v>
      </c>
      <c r="F370" s="46" t="s">
        <v>67</v>
      </c>
      <c r="G370" s="49">
        <v>116.0</v>
      </c>
      <c r="H370" s="49">
        <v>210.0</v>
      </c>
      <c r="I370" s="57" t="s">
        <v>354</v>
      </c>
      <c r="J370" s="46">
        <v>35.0</v>
      </c>
      <c r="K370" s="49">
        <v>0.0</v>
      </c>
      <c r="L370" s="49">
        <v>0.0</v>
      </c>
      <c r="M370" s="57" t="s">
        <v>354</v>
      </c>
      <c r="N370" s="101" t="s">
        <v>17</v>
      </c>
      <c r="O370" s="101" t="s">
        <v>17</v>
      </c>
      <c r="P370" s="24" t="s">
        <v>162</v>
      </c>
      <c r="Q370" s="46"/>
      <c r="R370" s="46"/>
      <c r="S370" s="46"/>
      <c r="T370" s="46"/>
      <c r="U370" s="46"/>
      <c r="V370" s="46"/>
      <c r="W370" s="46"/>
      <c r="X370" s="46"/>
      <c r="Y370" s="46"/>
      <c r="Z370" s="46"/>
      <c r="AA370" s="46"/>
      <c r="AB370" s="57" t="s">
        <v>354</v>
      </c>
      <c r="AC370" s="46">
        <v>36338.0</v>
      </c>
      <c r="AD370" s="46"/>
      <c r="AE370" s="46"/>
      <c r="AF370" s="55">
        <v>25.26</v>
      </c>
      <c r="AG370" s="56" t="s">
        <v>365</v>
      </c>
      <c r="AH370" s="49" t="s">
        <v>524</v>
      </c>
      <c r="AI370" s="87" t="s">
        <v>413</v>
      </c>
      <c r="AJ370" s="46"/>
      <c r="AK370" s="46"/>
      <c r="AL370" s="87" t="s">
        <v>413</v>
      </c>
      <c r="AM370" s="87" t="s">
        <v>413</v>
      </c>
      <c r="AN370" s="53" t="s">
        <v>361</v>
      </c>
    </row>
    <row r="371">
      <c r="A371" s="45" t="s">
        <v>161</v>
      </c>
      <c r="B371" s="18" t="s">
        <v>645</v>
      </c>
      <c r="C371" s="46" t="s">
        <v>160</v>
      </c>
      <c r="D371" s="47" t="s">
        <v>547</v>
      </c>
      <c r="E371" s="63" t="s">
        <v>37</v>
      </c>
      <c r="F371" s="46" t="s">
        <v>67</v>
      </c>
      <c r="G371" s="49">
        <v>116.0</v>
      </c>
      <c r="H371" s="49">
        <v>175.0</v>
      </c>
      <c r="I371" s="57" t="s">
        <v>354</v>
      </c>
      <c r="J371" s="46">
        <v>3.0</v>
      </c>
      <c r="K371" s="49">
        <v>0.0</v>
      </c>
      <c r="L371" s="49">
        <v>0.0</v>
      </c>
      <c r="M371" s="57" t="s">
        <v>354</v>
      </c>
      <c r="N371" s="101" t="s">
        <v>17</v>
      </c>
      <c r="O371" s="101" t="s">
        <v>17</v>
      </c>
      <c r="P371" s="24" t="s">
        <v>162</v>
      </c>
      <c r="Q371" s="24" t="s">
        <v>163</v>
      </c>
      <c r="R371" s="46"/>
      <c r="S371" s="46"/>
      <c r="T371" s="46"/>
      <c r="U371" s="46"/>
      <c r="V371" s="46"/>
      <c r="W371" s="46"/>
      <c r="X371" s="46"/>
      <c r="Y371" s="46"/>
      <c r="Z371" s="46"/>
      <c r="AA371" s="46"/>
      <c r="AB371" s="57" t="s">
        <v>354</v>
      </c>
      <c r="AC371" s="46">
        <v>36593.0</v>
      </c>
      <c r="AD371" s="46"/>
      <c r="AE371" s="46"/>
      <c r="AF371" s="63">
        <v>0.0</v>
      </c>
      <c r="AG371" s="49" t="s">
        <v>356</v>
      </c>
      <c r="AH371" s="46"/>
      <c r="AI371" s="46"/>
      <c r="AJ371" s="46"/>
      <c r="AK371" s="46"/>
      <c r="AL371" s="109" t="s">
        <v>420</v>
      </c>
      <c r="AM371" s="120" t="s">
        <v>356</v>
      </c>
      <c r="AN371" s="28" t="s">
        <v>358</v>
      </c>
    </row>
    <row r="372">
      <c r="A372" s="45" t="s">
        <v>161</v>
      </c>
      <c r="B372" s="18" t="s">
        <v>645</v>
      </c>
      <c r="C372" s="46" t="s">
        <v>160</v>
      </c>
      <c r="D372" s="47" t="s">
        <v>547</v>
      </c>
      <c r="E372" s="63" t="s">
        <v>37</v>
      </c>
      <c r="F372" s="46" t="s">
        <v>67</v>
      </c>
      <c r="G372" s="57" t="s">
        <v>354</v>
      </c>
      <c r="H372" s="49">
        <v>205.0</v>
      </c>
      <c r="I372" s="57" t="s">
        <v>354</v>
      </c>
      <c r="J372" s="46">
        <v>4.0</v>
      </c>
      <c r="K372" s="49">
        <v>0.0</v>
      </c>
      <c r="L372" s="49">
        <v>0.0</v>
      </c>
      <c r="M372" s="57" t="s">
        <v>354</v>
      </c>
      <c r="N372" s="101" t="s">
        <v>17</v>
      </c>
      <c r="O372" s="101" t="s">
        <v>17</v>
      </c>
      <c r="P372" s="24" t="s">
        <v>162</v>
      </c>
      <c r="Q372" s="24" t="s">
        <v>163</v>
      </c>
      <c r="R372" s="24" t="s">
        <v>163</v>
      </c>
      <c r="S372" s="44" t="s">
        <v>373</v>
      </c>
      <c r="T372" s="46"/>
      <c r="U372" s="46"/>
      <c r="V372" s="46"/>
      <c r="W372" s="46"/>
      <c r="X372" s="46"/>
      <c r="Y372" s="46"/>
      <c r="Z372" s="46"/>
      <c r="AA372" s="46"/>
      <c r="AB372" s="49" t="s">
        <v>442</v>
      </c>
      <c r="AC372" s="46"/>
      <c r="AD372" s="46"/>
      <c r="AE372" s="46"/>
      <c r="AF372" s="63">
        <v>0.0</v>
      </c>
      <c r="AG372" s="49" t="s">
        <v>356</v>
      </c>
      <c r="AH372" s="46"/>
      <c r="AI372" s="46"/>
      <c r="AJ372" s="46"/>
      <c r="AK372" s="46"/>
      <c r="AL372" s="49" t="s">
        <v>356</v>
      </c>
      <c r="AM372" s="49" t="s">
        <v>356</v>
      </c>
      <c r="AN372" s="49" t="s">
        <v>356</v>
      </c>
    </row>
    <row r="373">
      <c r="A373" s="45" t="s">
        <v>161</v>
      </c>
      <c r="B373" s="18" t="s">
        <v>645</v>
      </c>
      <c r="C373" s="46" t="s">
        <v>160</v>
      </c>
      <c r="D373" s="47" t="s">
        <v>547</v>
      </c>
      <c r="E373" s="63" t="s">
        <v>37</v>
      </c>
      <c r="F373" s="46" t="s">
        <v>67</v>
      </c>
      <c r="G373" s="57" t="s">
        <v>354</v>
      </c>
      <c r="H373" s="49">
        <v>225.0</v>
      </c>
      <c r="I373" s="57" t="s">
        <v>354</v>
      </c>
      <c r="J373" s="46">
        <v>8.0</v>
      </c>
      <c r="K373" s="49">
        <v>0.0</v>
      </c>
      <c r="L373" s="49">
        <v>0.0</v>
      </c>
      <c r="M373" s="57" t="s">
        <v>354</v>
      </c>
      <c r="N373" s="101" t="s">
        <v>17</v>
      </c>
      <c r="O373" s="101" t="s">
        <v>17</v>
      </c>
      <c r="P373" s="24" t="s">
        <v>162</v>
      </c>
      <c r="Q373" s="24" t="s">
        <v>163</v>
      </c>
      <c r="R373" s="24" t="s">
        <v>163</v>
      </c>
      <c r="S373" s="44" t="s">
        <v>373</v>
      </c>
      <c r="T373" s="24" t="s">
        <v>163</v>
      </c>
      <c r="U373" s="49"/>
      <c r="V373" s="46"/>
      <c r="W373" s="49"/>
      <c r="X373" s="49"/>
      <c r="Y373" s="49"/>
      <c r="Z373" s="49"/>
      <c r="AA373" s="46"/>
      <c r="AB373" s="49" t="s">
        <v>442</v>
      </c>
      <c r="AC373" s="46"/>
      <c r="AD373" s="46"/>
      <c r="AE373" s="46"/>
      <c r="AF373" s="140">
        <v>32.41</v>
      </c>
      <c r="AG373" s="63" t="s">
        <v>354</v>
      </c>
      <c r="AH373" s="63"/>
      <c r="AI373" s="63" t="s">
        <v>354</v>
      </c>
      <c r="AJ373" s="46"/>
      <c r="AK373" s="46"/>
      <c r="AL373" s="90" t="s">
        <v>413</v>
      </c>
      <c r="AM373" s="90" t="s">
        <v>413</v>
      </c>
      <c r="AN373" s="90" t="s">
        <v>413</v>
      </c>
    </row>
    <row r="374">
      <c r="A374" s="45" t="s">
        <v>161</v>
      </c>
      <c r="B374" s="18" t="s">
        <v>645</v>
      </c>
      <c r="C374" s="46" t="s">
        <v>160</v>
      </c>
      <c r="D374" s="47" t="s">
        <v>547</v>
      </c>
      <c r="E374" s="63" t="s">
        <v>37</v>
      </c>
      <c r="F374" s="46" t="s">
        <v>67</v>
      </c>
      <c r="G374" s="57" t="s">
        <v>354</v>
      </c>
      <c r="H374" s="49">
        <v>230.0</v>
      </c>
      <c r="I374" s="57" t="s">
        <v>354</v>
      </c>
      <c r="J374" s="46">
        <v>8.0</v>
      </c>
      <c r="K374" s="49">
        <v>0.0</v>
      </c>
      <c r="L374" s="49">
        <v>0.0</v>
      </c>
      <c r="M374" s="57" t="s">
        <v>354</v>
      </c>
      <c r="N374" s="101" t="s">
        <v>17</v>
      </c>
      <c r="O374" s="101" t="s">
        <v>17</v>
      </c>
      <c r="P374" s="24" t="s">
        <v>162</v>
      </c>
      <c r="Q374" s="24" t="s">
        <v>163</v>
      </c>
      <c r="R374" s="24" t="s">
        <v>163</v>
      </c>
      <c r="S374" s="44" t="s">
        <v>373</v>
      </c>
      <c r="T374" s="24" t="s">
        <v>163</v>
      </c>
      <c r="U374" s="18" t="s">
        <v>163</v>
      </c>
      <c r="V374" s="44" t="s">
        <v>373</v>
      </c>
      <c r="W374" s="49"/>
      <c r="X374" s="49"/>
      <c r="Y374" s="49"/>
      <c r="Z374" s="49"/>
      <c r="AA374" s="46"/>
      <c r="AB374" s="49" t="s">
        <v>442</v>
      </c>
      <c r="AC374" s="46"/>
      <c r="AD374" s="46"/>
      <c r="AE374" s="46"/>
      <c r="AF374" s="63">
        <v>0.0</v>
      </c>
      <c r="AG374" s="63" t="s">
        <v>354</v>
      </c>
      <c r="AH374" s="63"/>
      <c r="AI374" s="63" t="s">
        <v>354</v>
      </c>
      <c r="AJ374" s="46"/>
      <c r="AK374" s="46"/>
      <c r="AL374" s="157" t="s">
        <v>356</v>
      </c>
      <c r="AM374" s="157" t="s">
        <v>356</v>
      </c>
      <c r="AN374" s="157" t="s">
        <v>356</v>
      </c>
    </row>
    <row r="375">
      <c r="A375" s="45" t="s">
        <v>161</v>
      </c>
      <c r="B375" s="18" t="s">
        <v>645</v>
      </c>
      <c r="C375" s="46" t="s">
        <v>160</v>
      </c>
      <c r="D375" s="47" t="s">
        <v>547</v>
      </c>
      <c r="E375" s="63" t="s">
        <v>7</v>
      </c>
      <c r="F375" s="46" t="s">
        <v>67</v>
      </c>
      <c r="G375" s="57" t="s">
        <v>354</v>
      </c>
      <c r="H375" s="49">
        <v>305.0</v>
      </c>
      <c r="I375" s="57" t="s">
        <v>354</v>
      </c>
      <c r="J375" s="46">
        <v>8.0</v>
      </c>
      <c r="K375" s="49">
        <v>0.0</v>
      </c>
      <c r="L375" s="49">
        <v>0.0</v>
      </c>
      <c r="M375" s="57" t="s">
        <v>354</v>
      </c>
      <c r="N375" s="101" t="s">
        <v>17</v>
      </c>
      <c r="O375" s="101" t="s">
        <v>17</v>
      </c>
      <c r="P375" s="24" t="s">
        <v>162</v>
      </c>
      <c r="Q375" s="24" t="s">
        <v>163</v>
      </c>
      <c r="R375" s="24" t="s">
        <v>163</v>
      </c>
      <c r="S375" s="44" t="s">
        <v>373</v>
      </c>
      <c r="T375" s="24" t="s">
        <v>163</v>
      </c>
      <c r="U375" s="18" t="s">
        <v>163</v>
      </c>
      <c r="V375" s="44" t="s">
        <v>373</v>
      </c>
      <c r="W375" s="18" t="s">
        <v>646</v>
      </c>
      <c r="X375" s="49"/>
      <c r="Y375" s="49"/>
      <c r="Z375" s="49"/>
      <c r="AA375" s="46"/>
      <c r="AB375" s="158" t="s">
        <v>600</v>
      </c>
      <c r="AC375" s="46"/>
      <c r="AD375" s="46"/>
      <c r="AE375" s="46"/>
      <c r="AF375" s="63">
        <v>0.0</v>
      </c>
      <c r="AG375" s="63" t="s">
        <v>354</v>
      </c>
      <c r="AH375" s="63"/>
      <c r="AI375" s="63" t="s">
        <v>354</v>
      </c>
      <c r="AJ375" s="46"/>
      <c r="AK375" s="46"/>
      <c r="AL375" s="40" t="s">
        <v>357</v>
      </c>
      <c r="AM375" s="40" t="s">
        <v>357</v>
      </c>
      <c r="AN375" s="40" t="s">
        <v>357</v>
      </c>
    </row>
    <row r="376">
      <c r="A376" s="45" t="s">
        <v>161</v>
      </c>
      <c r="B376" s="18" t="s">
        <v>645</v>
      </c>
      <c r="C376" s="46" t="s">
        <v>160</v>
      </c>
      <c r="D376" s="47" t="s">
        <v>547</v>
      </c>
      <c r="E376" s="63" t="s">
        <v>7</v>
      </c>
      <c r="F376" s="46" t="s">
        <v>67</v>
      </c>
      <c r="G376" s="57" t="s">
        <v>354</v>
      </c>
      <c r="H376" s="49">
        <v>225.0</v>
      </c>
      <c r="I376" s="57" t="s">
        <v>354</v>
      </c>
      <c r="J376" s="46">
        <v>8.0</v>
      </c>
      <c r="K376" s="49">
        <v>0.0</v>
      </c>
      <c r="L376" s="78">
        <v>1.0</v>
      </c>
      <c r="M376" s="78" t="s">
        <v>647</v>
      </c>
      <c r="N376" s="101" t="s">
        <v>17</v>
      </c>
      <c r="O376" s="101" t="s">
        <v>17</v>
      </c>
      <c r="P376" s="24" t="s">
        <v>162</v>
      </c>
      <c r="Q376" s="24" t="s">
        <v>163</v>
      </c>
      <c r="R376" s="24" t="s">
        <v>163</v>
      </c>
      <c r="S376" s="44" t="s">
        <v>373</v>
      </c>
      <c r="T376" s="24" t="s">
        <v>163</v>
      </c>
      <c r="U376" s="18" t="s">
        <v>163</v>
      </c>
      <c r="V376" s="44" t="s">
        <v>373</v>
      </c>
      <c r="W376" s="18" t="s">
        <v>646</v>
      </c>
      <c r="X376" s="18">
        <v>1037.0</v>
      </c>
      <c r="Y376" s="49"/>
      <c r="Z376" s="49"/>
      <c r="AA376" s="46"/>
      <c r="AB376" s="158" t="s">
        <v>600</v>
      </c>
      <c r="AC376" s="46"/>
      <c r="AD376" s="46"/>
      <c r="AE376" s="46"/>
      <c r="AF376" s="63">
        <v>0.0</v>
      </c>
      <c r="AG376" s="63" t="s">
        <v>354</v>
      </c>
      <c r="AH376" s="63"/>
      <c r="AI376" s="63" t="s">
        <v>354</v>
      </c>
      <c r="AJ376" s="49"/>
      <c r="AK376" s="49"/>
      <c r="AL376" s="91" t="s">
        <v>413</v>
      </c>
      <c r="AM376" s="119" t="s">
        <v>413</v>
      </c>
      <c r="AN376" s="119" t="s">
        <v>413</v>
      </c>
    </row>
    <row r="377">
      <c r="A377" s="45" t="s">
        <v>161</v>
      </c>
      <c r="B377" s="18" t="s">
        <v>645</v>
      </c>
      <c r="C377" s="46" t="s">
        <v>160</v>
      </c>
      <c r="D377" s="47" t="s">
        <v>547</v>
      </c>
      <c r="E377" s="63" t="s">
        <v>7</v>
      </c>
      <c r="F377" s="46" t="s">
        <v>67</v>
      </c>
      <c r="G377" s="57" t="s">
        <v>354</v>
      </c>
      <c r="H377" s="57" t="s">
        <v>354</v>
      </c>
      <c r="I377" s="57" t="s">
        <v>354</v>
      </c>
      <c r="J377" s="46">
        <v>8.0</v>
      </c>
      <c r="K377" s="49">
        <v>1.0</v>
      </c>
      <c r="L377" s="78">
        <v>1.0</v>
      </c>
      <c r="M377" s="78" t="s">
        <v>647</v>
      </c>
      <c r="N377" s="101" t="s">
        <v>17</v>
      </c>
      <c r="O377" s="101" t="s">
        <v>17</v>
      </c>
      <c r="P377" s="24" t="s">
        <v>162</v>
      </c>
      <c r="Q377" s="24" t="s">
        <v>163</v>
      </c>
      <c r="R377" s="24" t="s">
        <v>163</v>
      </c>
      <c r="S377" s="44" t="s">
        <v>373</v>
      </c>
      <c r="T377" s="24" t="s">
        <v>163</v>
      </c>
      <c r="U377" s="18" t="s">
        <v>163</v>
      </c>
      <c r="V377" s="44" t="s">
        <v>373</v>
      </c>
      <c r="W377" s="18" t="s">
        <v>646</v>
      </c>
      <c r="X377" s="18">
        <v>1037.0</v>
      </c>
      <c r="Y377" s="18">
        <v>1037.0</v>
      </c>
      <c r="Z377" s="49"/>
      <c r="AA377" s="46"/>
      <c r="AB377" s="158" t="s">
        <v>600</v>
      </c>
      <c r="AC377" s="46"/>
      <c r="AD377" s="46"/>
      <c r="AE377" s="46"/>
      <c r="AF377" s="63">
        <v>0.0</v>
      </c>
      <c r="AG377" s="63" t="s">
        <v>354</v>
      </c>
      <c r="AH377" s="63"/>
      <c r="AI377" s="63" t="s">
        <v>354</v>
      </c>
      <c r="AJ377" s="46"/>
      <c r="AK377" s="46"/>
      <c r="AL377" s="157" t="s">
        <v>356</v>
      </c>
      <c r="AM377" s="157" t="s">
        <v>356</v>
      </c>
      <c r="AN377" s="157" t="s">
        <v>356</v>
      </c>
    </row>
    <row r="378">
      <c r="A378" s="45" t="s">
        <v>161</v>
      </c>
      <c r="B378" s="18" t="s">
        <v>645</v>
      </c>
      <c r="C378" s="46" t="s">
        <v>160</v>
      </c>
      <c r="D378" s="47" t="s">
        <v>547</v>
      </c>
      <c r="E378" s="63" t="s">
        <v>7</v>
      </c>
      <c r="F378" s="46" t="s">
        <v>67</v>
      </c>
      <c r="G378" s="57" t="s">
        <v>354</v>
      </c>
      <c r="H378" s="57" t="s">
        <v>354</v>
      </c>
      <c r="I378" s="57" t="s">
        <v>354</v>
      </c>
      <c r="J378" s="46">
        <v>8.0</v>
      </c>
      <c r="K378" s="49">
        <v>0.0</v>
      </c>
      <c r="L378" s="78">
        <v>1.0</v>
      </c>
      <c r="M378" s="78" t="s">
        <v>647</v>
      </c>
      <c r="N378" s="101" t="s">
        <v>17</v>
      </c>
      <c r="O378" s="101" t="s">
        <v>17</v>
      </c>
      <c r="P378" s="24" t="s">
        <v>162</v>
      </c>
      <c r="Q378" s="24" t="s">
        <v>163</v>
      </c>
      <c r="R378" s="24" t="s">
        <v>163</v>
      </c>
      <c r="S378" s="44" t="s">
        <v>373</v>
      </c>
      <c r="T378" s="24" t="s">
        <v>163</v>
      </c>
      <c r="U378" s="18" t="s">
        <v>163</v>
      </c>
      <c r="V378" s="44" t="s">
        <v>373</v>
      </c>
      <c r="W378" s="18" t="s">
        <v>646</v>
      </c>
      <c r="X378" s="18">
        <v>1037.0</v>
      </c>
      <c r="Y378" s="18">
        <v>1037.0</v>
      </c>
      <c r="Z378" s="18" t="s">
        <v>648</v>
      </c>
      <c r="AA378" s="46"/>
      <c r="AB378" s="158" t="s">
        <v>649</v>
      </c>
      <c r="AC378" s="46"/>
      <c r="AD378" s="46"/>
      <c r="AE378" s="46"/>
      <c r="AF378" s="63">
        <v>0.0</v>
      </c>
      <c r="AG378" s="49" t="s">
        <v>356</v>
      </c>
      <c r="AH378" s="46"/>
      <c r="AI378" s="166" t="s">
        <v>356</v>
      </c>
      <c r="AJ378" s="49" t="s">
        <v>356</v>
      </c>
      <c r="AK378" s="49" t="s">
        <v>356</v>
      </c>
      <c r="AL378" s="49" t="s">
        <v>356</v>
      </c>
      <c r="AM378" s="53" t="s">
        <v>361</v>
      </c>
      <c r="AN378" s="87" t="s">
        <v>413</v>
      </c>
    </row>
    <row r="379">
      <c r="A379" s="45" t="s">
        <v>161</v>
      </c>
      <c r="B379" s="18" t="s">
        <v>645</v>
      </c>
      <c r="C379" s="46" t="s">
        <v>160</v>
      </c>
      <c r="D379" s="47" t="s">
        <v>547</v>
      </c>
      <c r="E379" s="63" t="s">
        <v>7</v>
      </c>
      <c r="F379" s="46" t="s">
        <v>67</v>
      </c>
      <c r="G379" s="57" t="s">
        <v>354</v>
      </c>
      <c r="H379" s="57" t="s">
        <v>354</v>
      </c>
      <c r="I379" s="57" t="s">
        <v>354</v>
      </c>
      <c r="J379" s="46">
        <v>8.0</v>
      </c>
      <c r="K379" s="49">
        <v>0.0</v>
      </c>
      <c r="L379" s="78">
        <v>1.0</v>
      </c>
      <c r="M379" s="78" t="s">
        <v>647</v>
      </c>
      <c r="N379" s="101" t="s">
        <v>17</v>
      </c>
      <c r="O379" s="101" t="s">
        <v>17</v>
      </c>
      <c r="P379" s="24" t="s">
        <v>162</v>
      </c>
      <c r="Q379" s="24" t="s">
        <v>163</v>
      </c>
      <c r="R379" s="24" t="s">
        <v>163</v>
      </c>
      <c r="S379" s="44" t="s">
        <v>373</v>
      </c>
      <c r="T379" s="24" t="s">
        <v>163</v>
      </c>
      <c r="U379" s="18" t="s">
        <v>163</v>
      </c>
      <c r="V379" s="44" t="s">
        <v>373</v>
      </c>
      <c r="W379" s="18" t="s">
        <v>646</v>
      </c>
      <c r="X379" s="18">
        <v>1037.0</v>
      </c>
      <c r="Y379" s="18">
        <v>1037.0</v>
      </c>
      <c r="Z379" s="18" t="s">
        <v>648</v>
      </c>
      <c r="AA379" s="18">
        <v>1037.0</v>
      </c>
      <c r="AB379" s="158" t="s">
        <v>600</v>
      </c>
      <c r="AC379" s="46"/>
      <c r="AD379" s="46"/>
      <c r="AE379" s="46"/>
      <c r="AF379" s="154">
        <v>34.0315308112237</v>
      </c>
      <c r="AG379" s="63" t="s">
        <v>354</v>
      </c>
      <c r="AH379" s="63"/>
      <c r="AI379" s="63" t="s">
        <v>354</v>
      </c>
      <c r="AJ379" s="49"/>
      <c r="AK379" s="49"/>
      <c r="AL379" s="115" t="s">
        <v>358</v>
      </c>
      <c r="AM379" s="53" t="s">
        <v>361</v>
      </c>
      <c r="AN379" s="28" t="s">
        <v>358</v>
      </c>
    </row>
    <row r="380">
      <c r="A380" s="17" t="s">
        <v>165</v>
      </c>
      <c r="B380" s="18" t="s">
        <v>650</v>
      </c>
      <c r="C380" s="19" t="s">
        <v>164</v>
      </c>
      <c r="D380" s="20" t="s">
        <v>547</v>
      </c>
      <c r="E380" s="33" t="s">
        <v>37</v>
      </c>
      <c r="F380" s="19" t="s">
        <v>8</v>
      </c>
      <c r="G380" s="23">
        <v>113.0</v>
      </c>
      <c r="H380" s="23">
        <v>230.0</v>
      </c>
      <c r="I380" s="22" t="s">
        <v>354</v>
      </c>
      <c r="J380" s="22" t="s">
        <v>354</v>
      </c>
      <c r="K380" s="22" t="s">
        <v>354</v>
      </c>
      <c r="L380" s="23">
        <v>0.0</v>
      </c>
      <c r="M380" s="22" t="s">
        <v>354</v>
      </c>
      <c r="N380" s="101" t="s">
        <v>17</v>
      </c>
      <c r="O380" s="101" t="s">
        <v>17</v>
      </c>
      <c r="P380" s="24" t="s">
        <v>166</v>
      </c>
      <c r="Q380" s="19"/>
      <c r="R380" s="19"/>
      <c r="S380" s="19"/>
      <c r="T380" s="19"/>
      <c r="U380" s="19"/>
      <c r="V380" s="19"/>
      <c r="W380" s="19"/>
      <c r="X380" s="23"/>
      <c r="Y380" s="23"/>
      <c r="Z380" s="23"/>
      <c r="AA380" s="19"/>
      <c r="AB380" s="22" t="s">
        <v>354</v>
      </c>
      <c r="AC380" s="19">
        <v>36339.0</v>
      </c>
      <c r="AD380" s="19"/>
      <c r="AE380" s="19"/>
      <c r="AF380" s="66">
        <v>26.29</v>
      </c>
      <c r="AG380" s="36" t="s">
        <v>365</v>
      </c>
      <c r="AH380" s="23" t="s">
        <v>651</v>
      </c>
      <c r="AI380" s="58" t="s">
        <v>380</v>
      </c>
      <c r="AJ380" s="19"/>
      <c r="AK380" s="19"/>
      <c r="AL380" s="23" t="s">
        <v>652</v>
      </c>
      <c r="AM380" s="34" t="s">
        <v>357</v>
      </c>
      <c r="AN380" s="32" t="s">
        <v>361</v>
      </c>
    </row>
    <row r="381">
      <c r="A381" s="17" t="s">
        <v>165</v>
      </c>
      <c r="B381" s="18" t="s">
        <v>650</v>
      </c>
      <c r="C381" s="19" t="s">
        <v>164</v>
      </c>
      <c r="D381" s="20" t="s">
        <v>547</v>
      </c>
      <c r="E381" s="33" t="s">
        <v>37</v>
      </c>
      <c r="F381" s="19" t="s">
        <v>8</v>
      </c>
      <c r="G381" s="22" t="s">
        <v>354</v>
      </c>
      <c r="H381" s="23">
        <v>205.0</v>
      </c>
      <c r="I381" s="22" t="s">
        <v>354</v>
      </c>
      <c r="J381" s="22" t="s">
        <v>354</v>
      </c>
      <c r="K381" s="22" t="s">
        <v>354</v>
      </c>
      <c r="L381" s="23">
        <v>0.0</v>
      </c>
      <c r="M381" s="22" t="s">
        <v>354</v>
      </c>
      <c r="N381" s="101" t="s">
        <v>17</v>
      </c>
      <c r="O381" s="101" t="s">
        <v>17</v>
      </c>
      <c r="P381" s="24" t="s">
        <v>166</v>
      </c>
      <c r="Q381" s="24" t="s">
        <v>165</v>
      </c>
      <c r="R381" s="19"/>
      <c r="S381" s="19"/>
      <c r="T381" s="19"/>
      <c r="U381" s="19"/>
      <c r="V381" s="19"/>
      <c r="W381" s="19"/>
      <c r="X381" s="23"/>
      <c r="Y381" s="23"/>
      <c r="Z381" s="23"/>
      <c r="AA381" s="19"/>
      <c r="AB381" s="22" t="s">
        <v>354</v>
      </c>
      <c r="AC381" s="19">
        <v>36618.0</v>
      </c>
      <c r="AD381" s="19"/>
      <c r="AE381" s="19"/>
      <c r="AF381" s="66">
        <v>29.3</v>
      </c>
      <c r="AG381" s="36" t="s">
        <v>365</v>
      </c>
      <c r="AH381" s="23" t="s">
        <v>366</v>
      </c>
      <c r="AI381" s="26" t="s">
        <v>357</v>
      </c>
      <c r="AJ381" s="19"/>
      <c r="AK381" s="19"/>
      <c r="AL381" s="38" t="s">
        <v>357</v>
      </c>
      <c r="AM381" s="38" t="s">
        <v>357</v>
      </c>
      <c r="AN381" s="75" t="s">
        <v>357</v>
      </c>
    </row>
    <row r="382">
      <c r="A382" s="17" t="s">
        <v>165</v>
      </c>
      <c r="B382" s="18" t="s">
        <v>650</v>
      </c>
      <c r="C382" s="19" t="s">
        <v>164</v>
      </c>
      <c r="D382" s="20" t="s">
        <v>547</v>
      </c>
      <c r="E382" s="33" t="s">
        <v>37</v>
      </c>
      <c r="F382" s="19" t="s">
        <v>8</v>
      </c>
      <c r="G382" s="23">
        <v>114.0</v>
      </c>
      <c r="H382" s="22" t="s">
        <v>354</v>
      </c>
      <c r="I382" s="22" t="s">
        <v>354</v>
      </c>
      <c r="J382" s="22" t="s">
        <v>354</v>
      </c>
      <c r="K382" s="22" t="s">
        <v>354</v>
      </c>
      <c r="L382" s="23">
        <v>0.0</v>
      </c>
      <c r="M382" s="22" t="s">
        <v>354</v>
      </c>
      <c r="N382" s="101" t="s">
        <v>17</v>
      </c>
      <c r="O382" s="101" t="s">
        <v>17</v>
      </c>
      <c r="P382" s="24" t="s">
        <v>166</v>
      </c>
      <c r="Q382" s="24" t="s">
        <v>165</v>
      </c>
      <c r="R382" s="24" t="s">
        <v>165</v>
      </c>
      <c r="S382" s="19"/>
      <c r="T382" s="19"/>
      <c r="U382" s="19"/>
      <c r="V382" s="19"/>
      <c r="W382" s="19"/>
      <c r="X382" s="23"/>
      <c r="Y382" s="23"/>
      <c r="Z382" s="23"/>
      <c r="AA382" s="19"/>
      <c r="AB382" s="23" t="s">
        <v>442</v>
      </c>
      <c r="AC382" s="19"/>
      <c r="AD382" s="19"/>
      <c r="AE382" s="19"/>
      <c r="AF382" s="23">
        <v>0.0</v>
      </c>
      <c r="AG382" s="23" t="s">
        <v>356</v>
      </c>
      <c r="AH382" s="19"/>
      <c r="AI382" s="23" t="s">
        <v>356</v>
      </c>
      <c r="AJ382" s="19"/>
      <c r="AK382" s="19"/>
      <c r="AL382" s="70" t="s">
        <v>361</v>
      </c>
      <c r="AM382" s="38" t="s">
        <v>357</v>
      </c>
      <c r="AN382" s="31" t="s">
        <v>356</v>
      </c>
    </row>
    <row r="383">
      <c r="A383" s="17" t="s">
        <v>165</v>
      </c>
      <c r="B383" s="18" t="s">
        <v>650</v>
      </c>
      <c r="C383" s="19" t="s">
        <v>164</v>
      </c>
      <c r="D383" s="20" t="s">
        <v>547</v>
      </c>
      <c r="E383" s="33" t="s">
        <v>37</v>
      </c>
      <c r="F383" s="19" t="s">
        <v>8</v>
      </c>
      <c r="G383" s="23">
        <v>115.0</v>
      </c>
      <c r="H383" s="23">
        <v>190.0</v>
      </c>
      <c r="I383" s="22" t="s">
        <v>354</v>
      </c>
      <c r="J383" s="22" t="s">
        <v>354</v>
      </c>
      <c r="K383" s="22" t="s">
        <v>354</v>
      </c>
      <c r="L383" s="23">
        <v>0.0</v>
      </c>
      <c r="M383" s="22" t="s">
        <v>354</v>
      </c>
      <c r="N383" s="101" t="s">
        <v>17</v>
      </c>
      <c r="O383" s="101" t="s">
        <v>17</v>
      </c>
      <c r="P383" s="24" t="s">
        <v>166</v>
      </c>
      <c r="Q383" s="24" t="s">
        <v>165</v>
      </c>
      <c r="R383" s="24" t="s">
        <v>165</v>
      </c>
      <c r="S383" s="24" t="s">
        <v>165</v>
      </c>
      <c r="T383" s="19"/>
      <c r="U383" s="19"/>
      <c r="V383" s="19"/>
      <c r="W383" s="19"/>
      <c r="X383" s="19"/>
      <c r="Y383" s="19"/>
      <c r="Z383" s="19"/>
      <c r="AA383" s="19"/>
      <c r="AB383" s="23" t="s">
        <v>442</v>
      </c>
      <c r="AC383" s="19"/>
      <c r="AD383" s="19"/>
      <c r="AE383" s="19"/>
      <c r="AF383" s="36">
        <v>31.2</v>
      </c>
      <c r="AG383" s="33" t="s">
        <v>354</v>
      </c>
      <c r="AH383" s="33"/>
      <c r="AI383" s="33" t="s">
        <v>354</v>
      </c>
      <c r="AJ383" s="19"/>
      <c r="AK383" s="19"/>
      <c r="AL383" s="59" t="s">
        <v>357</v>
      </c>
      <c r="AM383" s="59" t="s">
        <v>357</v>
      </c>
      <c r="AN383" s="64" t="s">
        <v>363</v>
      </c>
    </row>
    <row r="384">
      <c r="A384" s="17" t="s">
        <v>165</v>
      </c>
      <c r="B384" s="18" t="s">
        <v>650</v>
      </c>
      <c r="C384" s="19" t="s">
        <v>164</v>
      </c>
      <c r="D384" s="20" t="s">
        <v>547</v>
      </c>
      <c r="E384" s="33" t="s">
        <v>37</v>
      </c>
      <c r="F384" s="19" t="s">
        <v>8</v>
      </c>
      <c r="G384" s="23">
        <v>115.0</v>
      </c>
      <c r="H384" s="23">
        <v>195.0</v>
      </c>
      <c r="I384" s="22" t="s">
        <v>354</v>
      </c>
      <c r="J384" s="22" t="s">
        <v>354</v>
      </c>
      <c r="K384" s="22" t="s">
        <v>354</v>
      </c>
      <c r="L384" s="23">
        <v>0.0</v>
      </c>
      <c r="M384" s="22" t="s">
        <v>354</v>
      </c>
      <c r="N384" s="101" t="s">
        <v>17</v>
      </c>
      <c r="O384" s="101" t="s">
        <v>17</v>
      </c>
      <c r="P384" s="24" t="s">
        <v>166</v>
      </c>
      <c r="Q384" s="24" t="s">
        <v>165</v>
      </c>
      <c r="R384" s="24" t="s">
        <v>165</v>
      </c>
      <c r="S384" s="24" t="s">
        <v>165</v>
      </c>
      <c r="T384" s="24" t="s">
        <v>165</v>
      </c>
      <c r="U384" s="19"/>
      <c r="V384" s="19"/>
      <c r="W384" s="19"/>
      <c r="X384" s="19"/>
      <c r="Y384" s="19"/>
      <c r="Z384" s="19"/>
      <c r="AA384" s="19"/>
      <c r="AB384" s="23" t="s">
        <v>442</v>
      </c>
      <c r="AC384" s="19"/>
      <c r="AD384" s="19"/>
      <c r="AE384" s="19"/>
      <c r="AF384" s="23">
        <v>0.0</v>
      </c>
      <c r="AG384" s="33" t="s">
        <v>354</v>
      </c>
      <c r="AH384" s="33"/>
      <c r="AI384" s="33" t="s">
        <v>354</v>
      </c>
      <c r="AJ384" s="19"/>
      <c r="AK384" s="19"/>
      <c r="AL384" s="90" t="s">
        <v>413</v>
      </c>
      <c r="AM384" s="90" t="s">
        <v>413</v>
      </c>
      <c r="AN384" s="90" t="s">
        <v>413</v>
      </c>
    </row>
    <row r="385">
      <c r="A385" s="17" t="s">
        <v>165</v>
      </c>
      <c r="B385" s="18" t="s">
        <v>650</v>
      </c>
      <c r="C385" s="19" t="s">
        <v>164</v>
      </c>
      <c r="D385" s="20" t="s">
        <v>547</v>
      </c>
      <c r="E385" s="33" t="s">
        <v>37</v>
      </c>
      <c r="F385" s="19" t="s">
        <v>8</v>
      </c>
      <c r="G385" s="22" t="s">
        <v>354</v>
      </c>
      <c r="H385" s="23">
        <v>220.0</v>
      </c>
      <c r="I385" s="22" t="s">
        <v>354</v>
      </c>
      <c r="J385" s="22" t="s">
        <v>354</v>
      </c>
      <c r="K385" s="22" t="s">
        <v>354</v>
      </c>
      <c r="L385" s="23">
        <v>0.0</v>
      </c>
      <c r="M385" s="22" t="s">
        <v>354</v>
      </c>
      <c r="N385" s="101" t="s">
        <v>17</v>
      </c>
      <c r="O385" s="101" t="s">
        <v>17</v>
      </c>
      <c r="P385" s="24" t="s">
        <v>166</v>
      </c>
      <c r="Q385" s="24" t="s">
        <v>165</v>
      </c>
      <c r="R385" s="24" t="s">
        <v>165</v>
      </c>
      <c r="S385" s="24" t="s">
        <v>165</v>
      </c>
      <c r="T385" s="24" t="s">
        <v>165</v>
      </c>
      <c r="U385" s="24" t="s">
        <v>165</v>
      </c>
      <c r="V385" s="19"/>
      <c r="W385" s="19"/>
      <c r="X385" s="19"/>
      <c r="Y385" s="19"/>
      <c r="Z385" s="19"/>
      <c r="AA385" s="19"/>
      <c r="AB385" s="23" t="s">
        <v>442</v>
      </c>
      <c r="AC385" s="19"/>
      <c r="AD385" s="19"/>
      <c r="AE385" s="19"/>
      <c r="AF385" s="36">
        <v>29.92</v>
      </c>
      <c r="AG385" s="33" t="s">
        <v>354</v>
      </c>
      <c r="AH385" s="33"/>
      <c r="AI385" s="33" t="s">
        <v>354</v>
      </c>
      <c r="AJ385" s="19"/>
      <c r="AK385" s="19"/>
      <c r="AL385" s="82" t="s">
        <v>361</v>
      </c>
      <c r="AM385" s="58" t="s">
        <v>380</v>
      </c>
      <c r="AN385" s="89" t="s">
        <v>356</v>
      </c>
    </row>
    <row r="386">
      <c r="A386" s="17" t="s">
        <v>165</v>
      </c>
      <c r="B386" s="18" t="s">
        <v>650</v>
      </c>
      <c r="C386" s="19" t="s">
        <v>164</v>
      </c>
      <c r="D386" s="20" t="s">
        <v>547</v>
      </c>
      <c r="E386" s="33" t="s">
        <v>37</v>
      </c>
      <c r="F386" s="19" t="s">
        <v>8</v>
      </c>
      <c r="G386" s="22" t="s">
        <v>354</v>
      </c>
      <c r="H386" s="23">
        <v>250.0</v>
      </c>
      <c r="I386" s="22" t="s">
        <v>354</v>
      </c>
      <c r="J386" s="22" t="s">
        <v>354</v>
      </c>
      <c r="K386" s="22" t="s">
        <v>354</v>
      </c>
      <c r="L386" s="23">
        <v>0.0</v>
      </c>
      <c r="M386" s="22" t="s">
        <v>354</v>
      </c>
      <c r="N386" s="101" t="s">
        <v>17</v>
      </c>
      <c r="O386" s="101" t="s">
        <v>17</v>
      </c>
      <c r="P386" s="24" t="s">
        <v>166</v>
      </c>
      <c r="Q386" s="24" t="s">
        <v>165</v>
      </c>
      <c r="R386" s="24" t="s">
        <v>165</v>
      </c>
      <c r="S386" s="24" t="s">
        <v>165</v>
      </c>
      <c r="T386" s="24" t="s">
        <v>165</v>
      </c>
      <c r="U386" s="24" t="s">
        <v>165</v>
      </c>
      <c r="V386" s="24" t="s">
        <v>165</v>
      </c>
      <c r="W386" s="19"/>
      <c r="X386" s="19"/>
      <c r="Y386" s="19"/>
      <c r="Z386" s="19"/>
      <c r="AA386" s="19"/>
      <c r="AB386" s="22" t="s">
        <v>354</v>
      </c>
      <c r="AC386" s="19"/>
      <c r="AD386" s="19"/>
      <c r="AE386" s="19"/>
      <c r="AF386" s="23">
        <v>0.0</v>
      </c>
      <c r="AG386" s="33" t="s">
        <v>354</v>
      </c>
      <c r="AH386" s="33"/>
      <c r="AI386" s="33" t="s">
        <v>354</v>
      </c>
      <c r="AJ386" s="19"/>
      <c r="AK386" s="19"/>
      <c r="AL386" s="89" t="s">
        <v>356</v>
      </c>
      <c r="AM386" s="89" t="s">
        <v>356</v>
      </c>
      <c r="AN386" s="89" t="s">
        <v>356</v>
      </c>
    </row>
    <row r="387">
      <c r="A387" s="17" t="s">
        <v>165</v>
      </c>
      <c r="B387" s="18" t="s">
        <v>650</v>
      </c>
      <c r="C387" s="19" t="s">
        <v>164</v>
      </c>
      <c r="D387" s="20" t="s">
        <v>547</v>
      </c>
      <c r="E387" s="33" t="s">
        <v>7</v>
      </c>
      <c r="F387" s="19" t="s">
        <v>8</v>
      </c>
      <c r="G387" s="22" t="s">
        <v>354</v>
      </c>
      <c r="H387" s="23">
        <v>270.0</v>
      </c>
      <c r="I387" s="22" t="s">
        <v>354</v>
      </c>
      <c r="J387" s="22" t="s">
        <v>354</v>
      </c>
      <c r="K387" s="22" t="s">
        <v>354</v>
      </c>
      <c r="L387" s="61">
        <v>1.0</v>
      </c>
      <c r="M387" s="61" t="s">
        <v>354</v>
      </c>
      <c r="N387" s="101" t="s">
        <v>17</v>
      </c>
      <c r="O387" s="101" t="s">
        <v>17</v>
      </c>
      <c r="P387" s="24" t="s">
        <v>166</v>
      </c>
      <c r="Q387" s="24" t="s">
        <v>165</v>
      </c>
      <c r="R387" s="24" t="s">
        <v>165</v>
      </c>
      <c r="S387" s="24" t="s">
        <v>165</v>
      </c>
      <c r="T387" s="24" t="s">
        <v>165</v>
      </c>
      <c r="U387" s="24" t="s">
        <v>165</v>
      </c>
      <c r="V387" s="24" t="s">
        <v>165</v>
      </c>
      <c r="W387" s="18" t="s">
        <v>653</v>
      </c>
      <c r="X387" s="23"/>
      <c r="Y387" s="23"/>
      <c r="Z387" s="23"/>
      <c r="AA387" s="19"/>
      <c r="AB387" s="61" t="s">
        <v>485</v>
      </c>
      <c r="AC387" s="19"/>
      <c r="AD387" s="19"/>
      <c r="AE387" s="19"/>
      <c r="AF387" s="23">
        <v>0.0</v>
      </c>
      <c r="AG387" s="33" t="s">
        <v>354</v>
      </c>
      <c r="AH387" s="33"/>
      <c r="AI387" s="33" t="s">
        <v>354</v>
      </c>
      <c r="AJ387" s="19"/>
      <c r="AK387" s="19"/>
      <c r="AL387" s="89" t="s">
        <v>356</v>
      </c>
      <c r="AM387" s="89" t="s">
        <v>356</v>
      </c>
      <c r="AN387" s="89" t="s">
        <v>356</v>
      </c>
    </row>
    <row r="388">
      <c r="A388" s="17" t="s">
        <v>165</v>
      </c>
      <c r="B388" s="18" t="s">
        <v>650</v>
      </c>
      <c r="C388" s="19" t="s">
        <v>164</v>
      </c>
      <c r="D388" s="20" t="s">
        <v>547</v>
      </c>
      <c r="E388" s="33" t="s">
        <v>7</v>
      </c>
      <c r="F388" s="19" t="s">
        <v>8</v>
      </c>
      <c r="G388" s="22" t="s">
        <v>354</v>
      </c>
      <c r="H388" s="22" t="s">
        <v>354</v>
      </c>
      <c r="I388" s="22" t="s">
        <v>354</v>
      </c>
      <c r="J388" s="22" t="s">
        <v>354</v>
      </c>
      <c r="K388" s="22" t="s">
        <v>354</v>
      </c>
      <c r="L388" s="61">
        <v>1.0</v>
      </c>
      <c r="M388" s="61" t="s">
        <v>354</v>
      </c>
      <c r="N388" s="101" t="s">
        <v>17</v>
      </c>
      <c r="O388" s="101" t="s">
        <v>17</v>
      </c>
      <c r="P388" s="24" t="s">
        <v>166</v>
      </c>
      <c r="Q388" s="24" t="s">
        <v>165</v>
      </c>
      <c r="R388" s="24" t="s">
        <v>165</v>
      </c>
      <c r="S388" s="24" t="s">
        <v>165</v>
      </c>
      <c r="T388" s="24" t="s">
        <v>165</v>
      </c>
      <c r="U388" s="24" t="s">
        <v>165</v>
      </c>
      <c r="V388" s="24" t="s">
        <v>165</v>
      </c>
      <c r="W388" s="18" t="s">
        <v>653</v>
      </c>
      <c r="X388" s="83" t="s">
        <v>165</v>
      </c>
      <c r="Y388" s="44" t="s">
        <v>373</v>
      </c>
      <c r="Z388" s="23"/>
      <c r="AA388" s="19"/>
      <c r="AB388" s="61" t="s">
        <v>654</v>
      </c>
      <c r="AC388" s="19"/>
      <c r="AD388" s="19"/>
      <c r="AE388" s="19"/>
      <c r="AF388" s="167">
        <v>41.15</v>
      </c>
      <c r="AG388" s="33" t="s">
        <v>354</v>
      </c>
      <c r="AH388" s="33"/>
      <c r="AI388" s="33" t="s">
        <v>354</v>
      </c>
      <c r="AJ388" s="23"/>
      <c r="AK388" s="23"/>
      <c r="AL388" s="91" t="s">
        <v>413</v>
      </c>
      <c r="AM388" s="75" t="s">
        <v>357</v>
      </c>
      <c r="AN388" s="104" t="s">
        <v>389</v>
      </c>
    </row>
    <row r="389">
      <c r="A389" s="17" t="s">
        <v>165</v>
      </c>
      <c r="B389" s="18" t="s">
        <v>650</v>
      </c>
      <c r="C389" s="19" t="s">
        <v>164</v>
      </c>
      <c r="D389" s="20" t="s">
        <v>547</v>
      </c>
      <c r="E389" s="33" t="s">
        <v>7</v>
      </c>
      <c r="F389" s="19" t="s">
        <v>8</v>
      </c>
      <c r="G389" s="22" t="s">
        <v>354</v>
      </c>
      <c r="H389" s="22" t="s">
        <v>354</v>
      </c>
      <c r="I389" s="22" t="s">
        <v>354</v>
      </c>
      <c r="J389" s="22" t="s">
        <v>354</v>
      </c>
      <c r="K389" s="22" t="s">
        <v>354</v>
      </c>
      <c r="L389" s="61">
        <v>1.0</v>
      </c>
      <c r="M389" s="61" t="s">
        <v>354</v>
      </c>
      <c r="N389" s="101" t="s">
        <v>17</v>
      </c>
      <c r="O389" s="101" t="s">
        <v>17</v>
      </c>
      <c r="P389" s="24" t="s">
        <v>166</v>
      </c>
      <c r="Q389" s="24" t="s">
        <v>165</v>
      </c>
      <c r="R389" s="24" t="s">
        <v>165</v>
      </c>
      <c r="S389" s="24" t="s">
        <v>165</v>
      </c>
      <c r="T389" s="24" t="s">
        <v>165</v>
      </c>
      <c r="U389" s="24" t="s">
        <v>165</v>
      </c>
      <c r="V389" s="24" t="s">
        <v>165</v>
      </c>
      <c r="W389" s="18" t="s">
        <v>653</v>
      </c>
      <c r="X389" s="83" t="s">
        <v>165</v>
      </c>
      <c r="Y389" s="44" t="s">
        <v>373</v>
      </c>
      <c r="Z389" s="18" t="s">
        <v>655</v>
      </c>
      <c r="AA389" s="19"/>
      <c r="AB389" s="61" t="s">
        <v>485</v>
      </c>
      <c r="AC389" s="19"/>
      <c r="AD389" s="19"/>
      <c r="AE389" s="19"/>
      <c r="AF389" s="66">
        <v>34.1531463157832</v>
      </c>
      <c r="AG389" s="33" t="s">
        <v>354</v>
      </c>
      <c r="AH389" s="33"/>
      <c r="AI389" s="33" t="s">
        <v>354</v>
      </c>
      <c r="AJ389" s="19"/>
      <c r="AK389" s="19"/>
      <c r="AL389" s="160" t="s">
        <v>413</v>
      </c>
      <c r="AM389" s="37" t="s">
        <v>363</v>
      </c>
      <c r="AN389" s="37" t="s">
        <v>363</v>
      </c>
    </row>
    <row r="390">
      <c r="A390" s="17" t="s">
        <v>165</v>
      </c>
      <c r="B390" s="18" t="s">
        <v>650</v>
      </c>
      <c r="C390" s="19" t="s">
        <v>164</v>
      </c>
      <c r="D390" s="20" t="s">
        <v>547</v>
      </c>
      <c r="E390" s="33" t="s">
        <v>7</v>
      </c>
      <c r="F390" s="19" t="s">
        <v>8</v>
      </c>
      <c r="G390" s="22" t="s">
        <v>354</v>
      </c>
      <c r="H390" s="22" t="s">
        <v>354</v>
      </c>
      <c r="I390" s="22" t="s">
        <v>354</v>
      </c>
      <c r="J390" s="22" t="s">
        <v>354</v>
      </c>
      <c r="K390" s="22" t="s">
        <v>354</v>
      </c>
      <c r="L390" s="61">
        <v>1.0</v>
      </c>
      <c r="M390" s="61" t="s">
        <v>354</v>
      </c>
      <c r="N390" s="101" t="s">
        <v>17</v>
      </c>
      <c r="O390" s="101" t="s">
        <v>17</v>
      </c>
      <c r="P390" s="24" t="s">
        <v>166</v>
      </c>
      <c r="Q390" s="24" t="s">
        <v>165</v>
      </c>
      <c r="R390" s="24" t="s">
        <v>165</v>
      </c>
      <c r="S390" s="24" t="s">
        <v>165</v>
      </c>
      <c r="T390" s="24" t="s">
        <v>165</v>
      </c>
      <c r="U390" s="24" t="s">
        <v>165</v>
      </c>
      <c r="V390" s="24" t="s">
        <v>165</v>
      </c>
      <c r="W390" s="18" t="s">
        <v>653</v>
      </c>
      <c r="X390" s="83" t="s">
        <v>165</v>
      </c>
      <c r="Y390" s="44" t="s">
        <v>373</v>
      </c>
      <c r="Z390" s="18" t="s">
        <v>655</v>
      </c>
      <c r="AA390" s="83" t="s">
        <v>165</v>
      </c>
      <c r="AB390" s="61" t="s">
        <v>485</v>
      </c>
      <c r="AC390" s="19"/>
      <c r="AD390" s="19"/>
      <c r="AE390" s="19"/>
      <c r="AF390" s="23">
        <v>0.0</v>
      </c>
      <c r="AG390" s="33" t="s">
        <v>354</v>
      </c>
      <c r="AH390" s="33"/>
      <c r="AI390" s="33" t="s">
        <v>354</v>
      </c>
      <c r="AJ390" s="19"/>
      <c r="AK390" s="19"/>
      <c r="AL390" s="132" t="s">
        <v>420</v>
      </c>
      <c r="AM390" s="132" t="s">
        <v>420</v>
      </c>
      <c r="AN390" s="133" t="s">
        <v>420</v>
      </c>
    </row>
    <row r="391">
      <c r="A391" s="45" t="s">
        <v>168</v>
      </c>
      <c r="B391" s="18" t="s">
        <v>656</v>
      </c>
      <c r="C391" s="46" t="s">
        <v>167</v>
      </c>
      <c r="D391" s="47" t="s">
        <v>547</v>
      </c>
      <c r="E391" s="48" t="s">
        <v>7</v>
      </c>
      <c r="F391" s="46" t="s">
        <v>8</v>
      </c>
      <c r="G391" s="49">
        <v>121.0</v>
      </c>
      <c r="H391" s="49">
        <v>280.0</v>
      </c>
      <c r="I391" s="57" t="s">
        <v>354</v>
      </c>
      <c r="J391" s="57" t="s">
        <v>354</v>
      </c>
      <c r="K391" s="57" t="s">
        <v>354</v>
      </c>
      <c r="L391" s="57">
        <v>0.0</v>
      </c>
      <c r="M391" s="57" t="s">
        <v>354</v>
      </c>
      <c r="N391" s="101" t="s">
        <v>17</v>
      </c>
      <c r="O391" s="101" t="s">
        <v>17</v>
      </c>
      <c r="P391" s="24" t="s">
        <v>169</v>
      </c>
      <c r="Q391" s="46"/>
      <c r="R391" s="46"/>
      <c r="S391" s="46"/>
      <c r="T391" s="46"/>
      <c r="U391" s="46"/>
      <c r="V391" s="46"/>
      <c r="W391" s="46"/>
      <c r="X391" s="46"/>
      <c r="Y391" s="46"/>
      <c r="Z391" s="46"/>
      <c r="AA391" s="46"/>
      <c r="AB391" s="49" t="s">
        <v>354</v>
      </c>
      <c r="AC391" s="46">
        <v>36340.0</v>
      </c>
      <c r="AD391" s="46"/>
      <c r="AE391" s="46"/>
      <c r="AF391" s="63">
        <v>0.0</v>
      </c>
      <c r="AG391" s="49" t="s">
        <v>356</v>
      </c>
      <c r="AH391" s="46"/>
      <c r="AI391" s="49" t="s">
        <v>356</v>
      </c>
      <c r="AJ391" s="46"/>
      <c r="AK391" s="46"/>
      <c r="AL391" s="88" t="s">
        <v>358</v>
      </c>
      <c r="AM391" s="54" t="s">
        <v>356</v>
      </c>
      <c r="AN391" s="88" t="s">
        <v>358</v>
      </c>
    </row>
    <row r="392">
      <c r="A392" s="45" t="s">
        <v>168</v>
      </c>
      <c r="B392" s="18" t="s">
        <v>656</v>
      </c>
      <c r="C392" s="46" t="s">
        <v>167</v>
      </c>
      <c r="D392" s="47" t="s">
        <v>547</v>
      </c>
      <c r="E392" s="48" t="s">
        <v>7</v>
      </c>
      <c r="F392" s="46" t="s">
        <v>8</v>
      </c>
      <c r="G392" s="57" t="s">
        <v>354</v>
      </c>
      <c r="H392" s="49">
        <v>235.0</v>
      </c>
      <c r="I392" s="57" t="s">
        <v>354</v>
      </c>
      <c r="J392" s="57" t="s">
        <v>354</v>
      </c>
      <c r="K392" s="57" t="s">
        <v>354</v>
      </c>
      <c r="L392" s="49">
        <v>1.0</v>
      </c>
      <c r="M392" s="57" t="s">
        <v>354</v>
      </c>
      <c r="N392" s="101" t="s">
        <v>17</v>
      </c>
      <c r="O392" s="101" t="s">
        <v>17</v>
      </c>
      <c r="P392" s="24" t="s">
        <v>169</v>
      </c>
      <c r="Q392" s="24" t="s">
        <v>168</v>
      </c>
      <c r="R392" s="46"/>
      <c r="S392" s="46"/>
      <c r="T392" s="46"/>
      <c r="U392" s="46"/>
      <c r="V392" s="46"/>
      <c r="W392" s="46"/>
      <c r="X392" s="46"/>
      <c r="Y392" s="46"/>
      <c r="Z392" s="46"/>
      <c r="AA392" s="46"/>
      <c r="AB392" s="49" t="s">
        <v>354</v>
      </c>
      <c r="AC392" s="46">
        <v>36619.0</v>
      </c>
      <c r="AD392" s="46"/>
      <c r="AE392" s="46"/>
      <c r="AF392" s="55">
        <v>30.97</v>
      </c>
      <c r="AG392" s="49" t="s">
        <v>356</v>
      </c>
      <c r="AH392" s="46"/>
      <c r="AI392" s="49" t="s">
        <v>356</v>
      </c>
      <c r="AJ392" s="46"/>
      <c r="AK392" s="46"/>
      <c r="AL392" s="28" t="s">
        <v>358</v>
      </c>
      <c r="AM392" s="27" t="s">
        <v>358</v>
      </c>
      <c r="AN392" s="28" t="s">
        <v>358</v>
      </c>
    </row>
    <row r="393">
      <c r="A393" s="45" t="s">
        <v>168</v>
      </c>
      <c r="B393" s="18" t="s">
        <v>656</v>
      </c>
      <c r="C393" s="46" t="s">
        <v>167</v>
      </c>
      <c r="D393" s="47" t="s">
        <v>547</v>
      </c>
      <c r="E393" s="48" t="s">
        <v>7</v>
      </c>
      <c r="F393" s="46" t="s">
        <v>8</v>
      </c>
      <c r="G393" s="57" t="s">
        <v>354</v>
      </c>
      <c r="H393" s="49">
        <v>160.0</v>
      </c>
      <c r="I393" s="57" t="s">
        <v>354</v>
      </c>
      <c r="J393" s="57" t="s">
        <v>354</v>
      </c>
      <c r="K393" s="57" t="s">
        <v>354</v>
      </c>
      <c r="L393" s="57">
        <v>0.0</v>
      </c>
      <c r="M393" s="57" t="s">
        <v>354</v>
      </c>
      <c r="N393" s="101" t="s">
        <v>17</v>
      </c>
      <c r="O393" s="101" t="s">
        <v>17</v>
      </c>
      <c r="P393" s="24" t="s">
        <v>169</v>
      </c>
      <c r="Q393" s="24" t="s">
        <v>168</v>
      </c>
      <c r="R393" s="24" t="s">
        <v>168</v>
      </c>
      <c r="S393" s="46"/>
      <c r="T393" s="46"/>
      <c r="U393" s="46"/>
      <c r="V393" s="46"/>
      <c r="W393" s="46"/>
      <c r="X393" s="46"/>
      <c r="Y393" s="46"/>
      <c r="Z393" s="46"/>
      <c r="AA393" s="46"/>
      <c r="AB393" s="49" t="s">
        <v>354</v>
      </c>
      <c r="AC393" s="46"/>
      <c r="AD393" s="46"/>
      <c r="AE393" s="46"/>
      <c r="AF393" s="55">
        <v>35.81</v>
      </c>
      <c r="AG393" s="49" t="s">
        <v>356</v>
      </c>
      <c r="AH393" s="46"/>
      <c r="AI393" s="49" t="s">
        <v>356</v>
      </c>
      <c r="AJ393" s="46"/>
      <c r="AK393" s="46"/>
      <c r="AL393" s="28" t="s">
        <v>358</v>
      </c>
      <c r="AM393" s="54" t="s">
        <v>356</v>
      </c>
      <c r="AN393" s="28" t="s">
        <v>358</v>
      </c>
    </row>
    <row r="394">
      <c r="A394" s="45" t="s">
        <v>168</v>
      </c>
      <c r="B394" s="18" t="s">
        <v>656</v>
      </c>
      <c r="C394" s="46" t="s">
        <v>167</v>
      </c>
      <c r="D394" s="47" t="s">
        <v>547</v>
      </c>
      <c r="E394" s="48" t="s">
        <v>7</v>
      </c>
      <c r="F394" s="46" t="s">
        <v>8</v>
      </c>
      <c r="G394" s="57" t="s">
        <v>354</v>
      </c>
      <c r="H394" s="49">
        <v>240.0</v>
      </c>
      <c r="I394" s="57" t="s">
        <v>354</v>
      </c>
      <c r="J394" s="57" t="s">
        <v>354</v>
      </c>
      <c r="K394" s="57" t="s">
        <v>354</v>
      </c>
      <c r="L394" s="57">
        <v>0.0</v>
      </c>
      <c r="M394" s="57" t="s">
        <v>354</v>
      </c>
      <c r="N394" s="101" t="s">
        <v>17</v>
      </c>
      <c r="O394" s="101" t="s">
        <v>17</v>
      </c>
      <c r="P394" s="24" t="s">
        <v>169</v>
      </c>
      <c r="Q394" s="24" t="s">
        <v>168</v>
      </c>
      <c r="R394" s="24" t="s">
        <v>168</v>
      </c>
      <c r="S394" s="18" t="s">
        <v>168</v>
      </c>
      <c r="T394" s="46"/>
      <c r="U394" s="46"/>
      <c r="V394" s="46"/>
      <c r="W394" s="46"/>
      <c r="X394" s="46"/>
      <c r="Y394" s="46"/>
      <c r="Z394" s="46"/>
      <c r="AA394" s="46"/>
      <c r="AB394" s="49" t="s">
        <v>354</v>
      </c>
      <c r="AC394" s="46"/>
      <c r="AD394" s="46"/>
      <c r="AE394" s="46"/>
      <c r="AF394" s="63">
        <v>0.0</v>
      </c>
      <c r="AG394" s="49" t="s">
        <v>354</v>
      </c>
      <c r="AH394" s="46"/>
      <c r="AI394" s="49" t="s">
        <v>354</v>
      </c>
      <c r="AJ394" s="46"/>
      <c r="AK394" s="46"/>
      <c r="AL394" s="143" t="s">
        <v>358</v>
      </c>
      <c r="AM394" s="143" t="s">
        <v>358</v>
      </c>
      <c r="AN394" s="143" t="s">
        <v>358</v>
      </c>
    </row>
    <row r="395">
      <c r="A395" s="45" t="s">
        <v>168</v>
      </c>
      <c r="B395" s="18" t="s">
        <v>656</v>
      </c>
      <c r="C395" s="46" t="s">
        <v>167</v>
      </c>
      <c r="D395" s="47" t="s">
        <v>547</v>
      </c>
      <c r="E395" s="48" t="s">
        <v>7</v>
      </c>
      <c r="F395" s="46" t="s">
        <v>8</v>
      </c>
      <c r="G395" s="57" t="s">
        <v>354</v>
      </c>
      <c r="H395" s="49">
        <v>205.0</v>
      </c>
      <c r="I395" s="57" t="s">
        <v>354</v>
      </c>
      <c r="J395" s="57" t="s">
        <v>354</v>
      </c>
      <c r="K395" s="57" t="s">
        <v>354</v>
      </c>
      <c r="L395" s="57">
        <v>0.0</v>
      </c>
      <c r="M395" s="57" t="s">
        <v>354</v>
      </c>
      <c r="N395" s="101" t="s">
        <v>17</v>
      </c>
      <c r="O395" s="101" t="s">
        <v>17</v>
      </c>
      <c r="P395" s="24" t="s">
        <v>169</v>
      </c>
      <c r="Q395" s="24" t="s">
        <v>168</v>
      </c>
      <c r="R395" s="24" t="s">
        <v>168</v>
      </c>
      <c r="S395" s="24" t="s">
        <v>168</v>
      </c>
      <c r="T395" s="24" t="s">
        <v>168</v>
      </c>
      <c r="U395" s="46"/>
      <c r="V395" s="46"/>
      <c r="W395" s="46"/>
      <c r="X395" s="46"/>
      <c r="Y395" s="46"/>
      <c r="Z395" s="46"/>
      <c r="AA395" s="46"/>
      <c r="AB395" s="49" t="s">
        <v>354</v>
      </c>
      <c r="AC395" s="46"/>
      <c r="AD395" s="46"/>
      <c r="AE395" s="46"/>
      <c r="AF395" s="63">
        <v>0.0</v>
      </c>
      <c r="AG395" s="49" t="s">
        <v>354</v>
      </c>
      <c r="AH395" s="46"/>
      <c r="AI395" s="49" t="s">
        <v>354</v>
      </c>
      <c r="AJ395" s="46"/>
      <c r="AK395" s="46"/>
      <c r="AL395" s="54" t="s">
        <v>356</v>
      </c>
      <c r="AM395" s="54" t="s">
        <v>356</v>
      </c>
      <c r="AN395" s="54" t="s">
        <v>356</v>
      </c>
    </row>
    <row r="396">
      <c r="A396" s="45" t="s">
        <v>168</v>
      </c>
      <c r="B396" s="18" t="s">
        <v>656</v>
      </c>
      <c r="C396" s="46" t="s">
        <v>167</v>
      </c>
      <c r="D396" s="47" t="s">
        <v>547</v>
      </c>
      <c r="E396" s="48" t="s">
        <v>7</v>
      </c>
      <c r="F396" s="46" t="s">
        <v>8</v>
      </c>
      <c r="G396" s="57" t="s">
        <v>354</v>
      </c>
      <c r="H396" s="49">
        <v>205.0</v>
      </c>
      <c r="I396" s="57" t="s">
        <v>354</v>
      </c>
      <c r="J396" s="57" t="s">
        <v>354</v>
      </c>
      <c r="K396" s="57" t="s">
        <v>354</v>
      </c>
      <c r="L396" s="57">
        <v>0.0</v>
      </c>
      <c r="M396" s="57" t="s">
        <v>354</v>
      </c>
      <c r="N396" s="101" t="s">
        <v>17</v>
      </c>
      <c r="O396" s="101" t="s">
        <v>17</v>
      </c>
      <c r="P396" s="24" t="s">
        <v>169</v>
      </c>
      <c r="Q396" s="24" t="s">
        <v>168</v>
      </c>
      <c r="R396" s="24" t="s">
        <v>168</v>
      </c>
      <c r="S396" s="24" t="s">
        <v>168</v>
      </c>
      <c r="T396" s="24" t="s">
        <v>168</v>
      </c>
      <c r="U396" s="24" t="s">
        <v>168</v>
      </c>
      <c r="V396" s="46"/>
      <c r="W396" s="46"/>
      <c r="X396" s="46"/>
      <c r="Y396" s="46"/>
      <c r="Z396" s="46"/>
      <c r="AA396" s="46"/>
      <c r="AB396" s="49" t="s">
        <v>354</v>
      </c>
      <c r="AC396" s="46"/>
      <c r="AD396" s="46"/>
      <c r="AE396" s="46"/>
      <c r="AF396" s="63">
        <v>0.0</v>
      </c>
      <c r="AG396" s="49" t="s">
        <v>354</v>
      </c>
      <c r="AH396" s="46"/>
      <c r="AI396" s="49" t="s">
        <v>354</v>
      </c>
      <c r="AJ396" s="46"/>
      <c r="AK396" s="46"/>
      <c r="AL396" s="54" t="s">
        <v>356</v>
      </c>
      <c r="AM396" s="54" t="s">
        <v>356</v>
      </c>
      <c r="AN396" s="54" t="s">
        <v>356</v>
      </c>
    </row>
    <row r="397">
      <c r="A397" s="45" t="s">
        <v>168</v>
      </c>
      <c r="B397" s="18" t="s">
        <v>656</v>
      </c>
      <c r="C397" s="46" t="s">
        <v>167</v>
      </c>
      <c r="D397" s="47" t="s">
        <v>547</v>
      </c>
      <c r="E397" s="48" t="s">
        <v>7</v>
      </c>
      <c r="F397" s="46" t="s">
        <v>8</v>
      </c>
      <c r="G397" s="57" t="s">
        <v>354</v>
      </c>
      <c r="H397" s="49">
        <v>225.0</v>
      </c>
      <c r="I397" s="57" t="s">
        <v>354</v>
      </c>
      <c r="J397" s="57" t="s">
        <v>354</v>
      </c>
      <c r="K397" s="57" t="s">
        <v>354</v>
      </c>
      <c r="L397" s="57">
        <v>0.0</v>
      </c>
      <c r="M397" s="57" t="s">
        <v>354</v>
      </c>
      <c r="N397" s="101" t="s">
        <v>17</v>
      </c>
      <c r="O397" s="101" t="s">
        <v>17</v>
      </c>
      <c r="P397" s="24" t="s">
        <v>169</v>
      </c>
      <c r="Q397" s="24" t="s">
        <v>168</v>
      </c>
      <c r="R397" s="24" t="s">
        <v>168</v>
      </c>
      <c r="S397" s="24" t="s">
        <v>168</v>
      </c>
      <c r="T397" s="24" t="s">
        <v>168</v>
      </c>
      <c r="U397" s="24" t="s">
        <v>168</v>
      </c>
      <c r="V397" s="24" t="s">
        <v>168</v>
      </c>
      <c r="W397" s="46"/>
      <c r="X397" s="46"/>
      <c r="Y397" s="46"/>
      <c r="Z397" s="46"/>
      <c r="AA397" s="46"/>
      <c r="AB397" s="49" t="s">
        <v>354</v>
      </c>
      <c r="AC397" s="46"/>
      <c r="AD397" s="46"/>
      <c r="AE397" s="46"/>
      <c r="AF397" s="63">
        <v>0.0</v>
      </c>
      <c r="AG397" s="49" t="s">
        <v>354</v>
      </c>
      <c r="AH397" s="46"/>
      <c r="AI397" s="49" t="s">
        <v>354</v>
      </c>
      <c r="AJ397" s="46"/>
      <c r="AK397" s="46"/>
      <c r="AL397" s="54" t="s">
        <v>356</v>
      </c>
      <c r="AM397" s="54" t="s">
        <v>356</v>
      </c>
      <c r="AN397" s="54" t="s">
        <v>356</v>
      </c>
    </row>
    <row r="398" ht="13.5" customHeight="1">
      <c r="A398" s="45" t="s">
        <v>168</v>
      </c>
      <c r="B398" s="18" t="s">
        <v>656</v>
      </c>
      <c r="C398" s="46" t="s">
        <v>167</v>
      </c>
      <c r="D398" s="47" t="s">
        <v>547</v>
      </c>
      <c r="E398" s="48" t="s">
        <v>7</v>
      </c>
      <c r="F398" s="46" t="s">
        <v>8</v>
      </c>
      <c r="G398" s="49">
        <v>118.0</v>
      </c>
      <c r="H398" s="49">
        <v>245.0</v>
      </c>
      <c r="I398" s="57" t="s">
        <v>354</v>
      </c>
      <c r="J398" s="57" t="s">
        <v>354</v>
      </c>
      <c r="K398" s="57" t="s">
        <v>354</v>
      </c>
      <c r="L398" s="57">
        <v>0.0</v>
      </c>
      <c r="M398" s="57" t="s">
        <v>354</v>
      </c>
      <c r="N398" s="101" t="s">
        <v>17</v>
      </c>
      <c r="O398" s="101" t="s">
        <v>17</v>
      </c>
      <c r="P398" s="24" t="s">
        <v>169</v>
      </c>
      <c r="Q398" s="24" t="s">
        <v>168</v>
      </c>
      <c r="R398" s="24" t="s">
        <v>168</v>
      </c>
      <c r="S398" s="24" t="s">
        <v>168</v>
      </c>
      <c r="T398" s="24" t="s">
        <v>168</v>
      </c>
      <c r="U398" s="24" t="s">
        <v>168</v>
      </c>
      <c r="V398" s="24" t="s">
        <v>168</v>
      </c>
      <c r="W398" s="18" t="s">
        <v>657</v>
      </c>
      <c r="X398" s="46"/>
      <c r="Y398" s="46"/>
      <c r="Z398" s="46"/>
      <c r="AA398" s="46"/>
      <c r="AB398" s="41" t="s">
        <v>371</v>
      </c>
      <c r="AC398" s="46"/>
      <c r="AD398" s="46"/>
      <c r="AE398" s="46"/>
      <c r="AF398" s="63">
        <v>0.0</v>
      </c>
      <c r="AG398" s="49" t="s">
        <v>354</v>
      </c>
      <c r="AH398" s="46"/>
      <c r="AI398" s="49" t="s">
        <v>354</v>
      </c>
      <c r="AJ398" s="46"/>
      <c r="AK398" s="46"/>
      <c r="AL398" s="54" t="s">
        <v>356</v>
      </c>
      <c r="AM398" s="54" t="s">
        <v>356</v>
      </c>
      <c r="AN398" s="54" t="s">
        <v>356</v>
      </c>
    </row>
    <row r="399">
      <c r="A399" s="45" t="s">
        <v>168</v>
      </c>
      <c r="B399" s="18" t="s">
        <v>656</v>
      </c>
      <c r="C399" s="46" t="s">
        <v>167</v>
      </c>
      <c r="D399" s="47" t="s">
        <v>547</v>
      </c>
      <c r="E399" s="48" t="s">
        <v>7</v>
      </c>
      <c r="F399" s="46" t="s">
        <v>8</v>
      </c>
      <c r="G399" s="57" t="s">
        <v>354</v>
      </c>
      <c r="H399" s="57" t="s">
        <v>354</v>
      </c>
      <c r="I399" s="57" t="s">
        <v>354</v>
      </c>
      <c r="J399" s="57" t="s">
        <v>354</v>
      </c>
      <c r="K399" s="57" t="s">
        <v>354</v>
      </c>
      <c r="L399" s="41">
        <v>0.0</v>
      </c>
      <c r="M399" s="41" t="s">
        <v>354</v>
      </c>
      <c r="N399" s="101" t="s">
        <v>17</v>
      </c>
      <c r="O399" s="101" t="s">
        <v>17</v>
      </c>
      <c r="P399" s="24" t="s">
        <v>169</v>
      </c>
      <c r="Q399" s="24" t="s">
        <v>168</v>
      </c>
      <c r="R399" s="24" t="s">
        <v>168</v>
      </c>
      <c r="S399" s="24" t="s">
        <v>168</v>
      </c>
      <c r="T399" s="24" t="s">
        <v>168</v>
      </c>
      <c r="U399" s="24" t="s">
        <v>168</v>
      </c>
      <c r="V399" s="24" t="s">
        <v>168</v>
      </c>
      <c r="W399" s="18" t="s">
        <v>657</v>
      </c>
      <c r="X399" s="24" t="s">
        <v>168</v>
      </c>
      <c r="Y399" s="46"/>
      <c r="Z399" s="46"/>
      <c r="AA399" s="46"/>
      <c r="AB399" s="41" t="s">
        <v>371</v>
      </c>
      <c r="AC399" s="46"/>
      <c r="AD399" s="46"/>
      <c r="AE399" s="46"/>
      <c r="AF399" s="63">
        <v>0.0</v>
      </c>
      <c r="AG399" s="49" t="s">
        <v>354</v>
      </c>
      <c r="AH399" s="46"/>
      <c r="AI399" s="49" t="s">
        <v>354</v>
      </c>
      <c r="AJ399" s="49"/>
      <c r="AK399" s="49"/>
      <c r="AL399" s="54" t="s">
        <v>356</v>
      </c>
      <c r="AM399" s="54" t="s">
        <v>356</v>
      </c>
      <c r="AN399" s="91" t="s">
        <v>413</v>
      </c>
    </row>
    <row r="400">
      <c r="A400" s="45" t="s">
        <v>168</v>
      </c>
      <c r="B400" s="18" t="s">
        <v>656</v>
      </c>
      <c r="C400" s="46" t="s">
        <v>167</v>
      </c>
      <c r="D400" s="47" t="s">
        <v>547</v>
      </c>
      <c r="E400" s="48" t="s">
        <v>7</v>
      </c>
      <c r="F400" s="46" t="s">
        <v>8</v>
      </c>
      <c r="G400" s="57" t="s">
        <v>354</v>
      </c>
      <c r="H400" s="57" t="s">
        <v>354</v>
      </c>
      <c r="I400" s="57" t="s">
        <v>354</v>
      </c>
      <c r="J400" s="57" t="s">
        <v>354</v>
      </c>
      <c r="K400" s="57" t="s">
        <v>354</v>
      </c>
      <c r="L400" s="41">
        <v>0.0</v>
      </c>
      <c r="M400" s="41" t="s">
        <v>354</v>
      </c>
      <c r="N400" s="101" t="s">
        <v>17</v>
      </c>
      <c r="O400" s="101" t="s">
        <v>17</v>
      </c>
      <c r="P400" s="24" t="s">
        <v>169</v>
      </c>
      <c r="Q400" s="24" t="s">
        <v>168</v>
      </c>
      <c r="R400" s="24" t="s">
        <v>168</v>
      </c>
      <c r="S400" s="24" t="s">
        <v>168</v>
      </c>
      <c r="T400" s="24" t="s">
        <v>168</v>
      </c>
      <c r="U400" s="24" t="s">
        <v>168</v>
      </c>
      <c r="V400" s="24" t="s">
        <v>168</v>
      </c>
      <c r="W400" s="18" t="s">
        <v>657</v>
      </c>
      <c r="X400" s="24" t="s">
        <v>168</v>
      </c>
      <c r="Y400" s="24" t="s">
        <v>168</v>
      </c>
      <c r="Z400" s="46"/>
      <c r="AA400" s="46"/>
      <c r="AB400" s="41" t="s">
        <v>371</v>
      </c>
      <c r="AC400" s="46"/>
      <c r="AD400" s="46"/>
      <c r="AE400" s="46"/>
      <c r="AF400" s="63">
        <v>0.0</v>
      </c>
      <c r="AG400" s="49" t="s">
        <v>354</v>
      </c>
      <c r="AH400" s="46"/>
      <c r="AI400" s="49" t="s">
        <v>354</v>
      </c>
      <c r="AJ400" s="46"/>
      <c r="AK400" s="46"/>
      <c r="AL400" s="54" t="s">
        <v>356</v>
      </c>
      <c r="AM400" s="54" t="s">
        <v>356</v>
      </c>
      <c r="AN400" s="54" t="s">
        <v>356</v>
      </c>
    </row>
    <row r="401">
      <c r="A401" s="45" t="s">
        <v>168</v>
      </c>
      <c r="B401" s="18" t="s">
        <v>656</v>
      </c>
      <c r="C401" s="46" t="s">
        <v>167</v>
      </c>
      <c r="D401" s="47" t="s">
        <v>547</v>
      </c>
      <c r="E401" s="48" t="s">
        <v>7</v>
      </c>
      <c r="F401" s="46" t="s">
        <v>8</v>
      </c>
      <c r="G401" s="57" t="s">
        <v>354</v>
      </c>
      <c r="H401" s="57" t="s">
        <v>354</v>
      </c>
      <c r="I401" s="57" t="s">
        <v>354</v>
      </c>
      <c r="J401" s="57" t="s">
        <v>354</v>
      </c>
      <c r="K401" s="57" t="s">
        <v>354</v>
      </c>
      <c r="L401" s="41">
        <v>0.0</v>
      </c>
      <c r="M401" s="41" t="s">
        <v>354</v>
      </c>
      <c r="N401" s="101" t="s">
        <v>17</v>
      </c>
      <c r="O401" s="101" t="s">
        <v>17</v>
      </c>
      <c r="P401" s="24" t="s">
        <v>169</v>
      </c>
      <c r="Q401" s="24" t="s">
        <v>168</v>
      </c>
      <c r="R401" s="24" t="s">
        <v>168</v>
      </c>
      <c r="S401" s="24" t="s">
        <v>168</v>
      </c>
      <c r="T401" s="24" t="s">
        <v>168</v>
      </c>
      <c r="U401" s="24" t="s">
        <v>168</v>
      </c>
      <c r="V401" s="24" t="s">
        <v>168</v>
      </c>
      <c r="W401" s="18" t="s">
        <v>657</v>
      </c>
      <c r="X401" s="24" t="s">
        <v>168</v>
      </c>
      <c r="Y401" s="24" t="s">
        <v>168</v>
      </c>
      <c r="Z401" s="24" t="s">
        <v>168</v>
      </c>
      <c r="AA401" s="46"/>
      <c r="AB401" s="41" t="s">
        <v>371</v>
      </c>
      <c r="AC401" s="46"/>
      <c r="AD401" s="46"/>
      <c r="AE401" s="46"/>
      <c r="AF401" s="63">
        <v>0.0</v>
      </c>
      <c r="AG401" s="49" t="s">
        <v>356</v>
      </c>
      <c r="AH401" s="46"/>
      <c r="AI401" s="49" t="s">
        <v>356</v>
      </c>
      <c r="AJ401" s="49" t="s">
        <v>356</v>
      </c>
      <c r="AK401" s="49" t="s">
        <v>356</v>
      </c>
      <c r="AL401" s="49" t="s">
        <v>356</v>
      </c>
      <c r="AM401" s="92" t="s">
        <v>361</v>
      </c>
      <c r="AN401" s="49" t="s">
        <v>356</v>
      </c>
    </row>
    <row r="402">
      <c r="A402" s="45" t="s">
        <v>168</v>
      </c>
      <c r="B402" s="18" t="s">
        <v>656</v>
      </c>
      <c r="C402" s="46" t="s">
        <v>167</v>
      </c>
      <c r="D402" s="47" t="s">
        <v>547</v>
      </c>
      <c r="E402" s="48" t="s">
        <v>7</v>
      </c>
      <c r="F402" s="46" t="s">
        <v>8</v>
      </c>
      <c r="G402" s="57" t="s">
        <v>354</v>
      </c>
      <c r="H402" s="57" t="s">
        <v>354</v>
      </c>
      <c r="I402" s="57" t="s">
        <v>354</v>
      </c>
      <c r="J402" s="57" t="s">
        <v>354</v>
      </c>
      <c r="K402" s="57" t="s">
        <v>354</v>
      </c>
      <c r="L402" s="41">
        <v>0.0</v>
      </c>
      <c r="M402" s="41" t="s">
        <v>354</v>
      </c>
      <c r="N402" s="101" t="s">
        <v>17</v>
      </c>
      <c r="O402" s="101" t="s">
        <v>17</v>
      </c>
      <c r="P402" s="24" t="s">
        <v>169</v>
      </c>
      <c r="Q402" s="24" t="s">
        <v>168</v>
      </c>
      <c r="R402" s="24" t="s">
        <v>168</v>
      </c>
      <c r="S402" s="24" t="s">
        <v>168</v>
      </c>
      <c r="T402" s="24" t="s">
        <v>168</v>
      </c>
      <c r="U402" s="24" t="s">
        <v>168</v>
      </c>
      <c r="V402" s="24" t="s">
        <v>168</v>
      </c>
      <c r="W402" s="18" t="s">
        <v>657</v>
      </c>
      <c r="X402" s="24" t="s">
        <v>168</v>
      </c>
      <c r="Y402" s="24" t="s">
        <v>168</v>
      </c>
      <c r="Z402" s="24" t="s">
        <v>168</v>
      </c>
      <c r="AA402" s="24" t="s">
        <v>168</v>
      </c>
      <c r="AB402" s="41" t="s">
        <v>371</v>
      </c>
      <c r="AC402" s="46"/>
      <c r="AD402" s="46"/>
      <c r="AE402" s="46"/>
      <c r="AF402" s="63">
        <v>0.0</v>
      </c>
      <c r="AG402" s="49" t="s">
        <v>354</v>
      </c>
      <c r="AH402" s="46"/>
      <c r="AI402" s="49" t="s">
        <v>354</v>
      </c>
      <c r="AJ402" s="46"/>
      <c r="AK402" s="46"/>
      <c r="AL402" s="54" t="s">
        <v>356</v>
      </c>
      <c r="AM402" s="54" t="s">
        <v>356</v>
      </c>
      <c r="AN402" s="54" t="s">
        <v>356</v>
      </c>
    </row>
    <row r="403">
      <c r="A403" s="17" t="s">
        <v>171</v>
      </c>
      <c r="B403" s="18" t="s">
        <v>658</v>
      </c>
      <c r="C403" s="19" t="s">
        <v>170</v>
      </c>
      <c r="D403" s="20" t="s">
        <v>547</v>
      </c>
      <c r="E403" s="21" t="s">
        <v>7</v>
      </c>
      <c r="F403" s="19" t="s">
        <v>67</v>
      </c>
      <c r="G403" s="23">
        <v>127.0</v>
      </c>
      <c r="H403" s="23">
        <v>340.0</v>
      </c>
      <c r="I403" s="23" t="s">
        <v>659</v>
      </c>
      <c r="J403" s="19">
        <v>38.0</v>
      </c>
      <c r="K403" s="23">
        <v>1.0</v>
      </c>
      <c r="L403" s="23">
        <v>0.0</v>
      </c>
      <c r="M403" s="22" t="s">
        <v>354</v>
      </c>
      <c r="N403" s="101" t="s">
        <v>17</v>
      </c>
      <c r="O403" s="101" t="s">
        <v>17</v>
      </c>
      <c r="P403" s="24" t="s">
        <v>172</v>
      </c>
      <c r="Q403" s="19"/>
      <c r="R403" s="19"/>
      <c r="S403" s="19"/>
      <c r="T403" s="19"/>
      <c r="U403" s="19"/>
      <c r="V403" s="19"/>
      <c r="W403" s="19"/>
      <c r="X403" s="19"/>
      <c r="Y403" s="19"/>
      <c r="Z403" s="19"/>
      <c r="AA403" s="19"/>
      <c r="AB403" s="22" t="s">
        <v>354</v>
      </c>
      <c r="AC403" s="19">
        <v>36341.0</v>
      </c>
      <c r="AD403" s="19"/>
      <c r="AE403" s="19"/>
      <c r="AF403" s="33">
        <v>0.0</v>
      </c>
      <c r="AG403" s="23" t="s">
        <v>356</v>
      </c>
      <c r="AH403" s="19"/>
      <c r="AI403" s="23" t="s">
        <v>356</v>
      </c>
      <c r="AJ403" s="19"/>
      <c r="AK403" s="19"/>
      <c r="AL403" s="32" t="s">
        <v>361</v>
      </c>
      <c r="AM403" s="31" t="s">
        <v>356</v>
      </c>
      <c r="AN403" s="73" t="s">
        <v>357</v>
      </c>
    </row>
    <row r="404">
      <c r="A404" s="17" t="s">
        <v>171</v>
      </c>
      <c r="B404" s="18" t="s">
        <v>658</v>
      </c>
      <c r="C404" s="19" t="s">
        <v>170</v>
      </c>
      <c r="D404" s="20" t="s">
        <v>547</v>
      </c>
      <c r="E404" s="21" t="s">
        <v>7</v>
      </c>
      <c r="F404" s="19" t="s">
        <v>67</v>
      </c>
      <c r="G404" s="22" t="s">
        <v>354</v>
      </c>
      <c r="H404" s="23">
        <v>315.0</v>
      </c>
      <c r="I404" s="22" t="s">
        <v>659</v>
      </c>
      <c r="J404" s="19">
        <v>30.0</v>
      </c>
      <c r="K404" s="23">
        <v>1.0</v>
      </c>
      <c r="L404" s="23">
        <v>0.0</v>
      </c>
      <c r="M404" s="22" t="s">
        <v>354</v>
      </c>
      <c r="N404" s="101" t="s">
        <v>17</v>
      </c>
      <c r="O404" s="101" t="s">
        <v>17</v>
      </c>
      <c r="P404" s="24" t="s">
        <v>172</v>
      </c>
      <c r="Q404" s="24" t="s">
        <v>171</v>
      </c>
      <c r="R404" s="19"/>
      <c r="S404" s="19"/>
      <c r="T404" s="19"/>
      <c r="U404" s="19"/>
      <c r="V404" s="19"/>
      <c r="W404" s="19"/>
      <c r="X404" s="19"/>
      <c r="Y404" s="19"/>
      <c r="Z404" s="19"/>
      <c r="AA404" s="19"/>
      <c r="AB404" s="22" t="s">
        <v>354</v>
      </c>
      <c r="AC404" s="19">
        <v>36620.0</v>
      </c>
      <c r="AD404" s="19"/>
      <c r="AE404" s="19"/>
      <c r="AF404" s="66">
        <v>20.95</v>
      </c>
      <c r="AG404" s="36" t="s">
        <v>365</v>
      </c>
      <c r="AH404" s="23" t="s">
        <v>366</v>
      </c>
      <c r="AI404" s="26" t="s">
        <v>357</v>
      </c>
      <c r="AJ404" s="19"/>
      <c r="AK404" s="19"/>
      <c r="AL404" s="168" t="s">
        <v>357</v>
      </c>
      <c r="AM404" s="168" t="s">
        <v>357</v>
      </c>
      <c r="AN404" s="169" t="s">
        <v>357</v>
      </c>
    </row>
    <row r="405">
      <c r="A405" s="17" t="s">
        <v>171</v>
      </c>
      <c r="B405" s="18" t="s">
        <v>658</v>
      </c>
      <c r="C405" s="19" t="s">
        <v>170</v>
      </c>
      <c r="D405" s="20" t="s">
        <v>547</v>
      </c>
      <c r="E405" s="21" t="s">
        <v>7</v>
      </c>
      <c r="F405" s="19" t="s">
        <v>67</v>
      </c>
      <c r="G405" s="22" t="s">
        <v>354</v>
      </c>
      <c r="H405" s="23">
        <v>295.0</v>
      </c>
      <c r="I405" s="22" t="s">
        <v>659</v>
      </c>
      <c r="J405" s="19">
        <v>28.0</v>
      </c>
      <c r="K405" s="23">
        <v>0.0</v>
      </c>
      <c r="L405" s="23">
        <v>0.0</v>
      </c>
      <c r="M405" s="22" t="s">
        <v>354</v>
      </c>
      <c r="N405" s="101" t="s">
        <v>17</v>
      </c>
      <c r="O405" s="101" t="s">
        <v>17</v>
      </c>
      <c r="P405" s="24" t="s">
        <v>172</v>
      </c>
      <c r="Q405" s="24" t="s">
        <v>171</v>
      </c>
      <c r="R405" s="24" t="s">
        <v>171</v>
      </c>
      <c r="S405" s="19"/>
      <c r="T405" s="19"/>
      <c r="U405" s="19"/>
      <c r="V405" s="19"/>
      <c r="W405" s="19"/>
      <c r="X405" s="19"/>
      <c r="Y405" s="19"/>
      <c r="Z405" s="19"/>
      <c r="AA405" s="19"/>
      <c r="AB405" s="23" t="s">
        <v>660</v>
      </c>
      <c r="AC405" s="19"/>
      <c r="AD405" s="19"/>
      <c r="AE405" s="19"/>
      <c r="AF405" s="33">
        <v>0.0</v>
      </c>
      <c r="AG405" s="23" t="s">
        <v>356</v>
      </c>
      <c r="AH405" s="19"/>
      <c r="AI405" s="23" t="s">
        <v>356</v>
      </c>
      <c r="AJ405" s="19"/>
      <c r="AK405" s="19"/>
      <c r="AL405" s="23" t="s">
        <v>356</v>
      </c>
      <c r="AM405" s="23" t="s">
        <v>356</v>
      </c>
      <c r="AN405" s="23" t="s">
        <v>356</v>
      </c>
    </row>
    <row r="406">
      <c r="A406" s="17" t="s">
        <v>171</v>
      </c>
      <c r="B406" s="18" t="s">
        <v>658</v>
      </c>
      <c r="C406" s="19" t="s">
        <v>170</v>
      </c>
      <c r="D406" s="20" t="s">
        <v>547</v>
      </c>
      <c r="E406" s="21" t="s">
        <v>7</v>
      </c>
      <c r="F406" s="19" t="s">
        <v>67</v>
      </c>
      <c r="G406" s="22" t="s">
        <v>354</v>
      </c>
      <c r="H406" s="23">
        <v>255.0</v>
      </c>
      <c r="I406" s="22" t="s">
        <v>659</v>
      </c>
      <c r="J406" s="19">
        <v>28.0</v>
      </c>
      <c r="K406" s="23">
        <v>0.0</v>
      </c>
      <c r="L406" s="23">
        <v>0.0</v>
      </c>
      <c r="M406" s="22" t="s">
        <v>354</v>
      </c>
      <c r="N406" s="101" t="s">
        <v>17</v>
      </c>
      <c r="O406" s="101" t="s">
        <v>17</v>
      </c>
      <c r="P406" s="24" t="s">
        <v>172</v>
      </c>
      <c r="Q406" s="24" t="s">
        <v>171</v>
      </c>
      <c r="R406" s="24" t="s">
        <v>171</v>
      </c>
      <c r="S406" s="24" t="s">
        <v>171</v>
      </c>
      <c r="T406" s="19"/>
      <c r="U406" s="19"/>
      <c r="V406" s="19"/>
      <c r="W406" s="19"/>
      <c r="X406" s="19"/>
      <c r="Y406" s="19"/>
      <c r="Z406" s="19"/>
      <c r="AA406" s="19"/>
      <c r="AB406" s="23" t="s">
        <v>661</v>
      </c>
      <c r="AC406" s="19"/>
      <c r="AD406" s="19"/>
      <c r="AE406" s="19"/>
      <c r="AF406" s="33">
        <v>0.0</v>
      </c>
      <c r="AG406" s="33" t="s">
        <v>354</v>
      </c>
      <c r="AH406" s="33"/>
      <c r="AI406" s="33" t="s">
        <v>354</v>
      </c>
      <c r="AJ406" s="19"/>
      <c r="AK406" s="19"/>
      <c r="AL406" s="40" t="s">
        <v>357</v>
      </c>
      <c r="AM406" s="40" t="s">
        <v>357</v>
      </c>
      <c r="AN406" s="40" t="s">
        <v>357</v>
      </c>
    </row>
    <row r="407">
      <c r="A407" s="17" t="s">
        <v>171</v>
      </c>
      <c r="B407" s="18" t="s">
        <v>658</v>
      </c>
      <c r="C407" s="19" t="s">
        <v>170</v>
      </c>
      <c r="D407" s="20" t="s">
        <v>547</v>
      </c>
      <c r="E407" s="21" t="s">
        <v>7</v>
      </c>
      <c r="F407" s="19" t="s">
        <v>67</v>
      </c>
      <c r="G407" s="22" t="s">
        <v>354</v>
      </c>
      <c r="H407" s="23">
        <v>265.0</v>
      </c>
      <c r="I407" s="22" t="s">
        <v>659</v>
      </c>
      <c r="J407" s="19">
        <v>31.0</v>
      </c>
      <c r="K407" s="23">
        <v>0.0</v>
      </c>
      <c r="L407" s="23">
        <v>0.0</v>
      </c>
      <c r="M407" s="22" t="s">
        <v>354</v>
      </c>
      <c r="N407" s="101" t="s">
        <v>17</v>
      </c>
      <c r="O407" s="101" t="s">
        <v>17</v>
      </c>
      <c r="P407" s="24" t="s">
        <v>172</v>
      </c>
      <c r="Q407" s="24" t="s">
        <v>171</v>
      </c>
      <c r="R407" s="24" t="s">
        <v>171</v>
      </c>
      <c r="S407" s="24" t="s">
        <v>171</v>
      </c>
      <c r="T407" s="24" t="s">
        <v>171</v>
      </c>
      <c r="U407" s="19"/>
      <c r="V407" s="19"/>
      <c r="W407" s="19"/>
      <c r="X407" s="19"/>
      <c r="Y407" s="19"/>
      <c r="Z407" s="19"/>
      <c r="AA407" s="19"/>
      <c r="AB407" s="22" t="s">
        <v>354</v>
      </c>
      <c r="AC407" s="19"/>
      <c r="AD407" s="19"/>
      <c r="AE407" s="19"/>
      <c r="AF407" s="33">
        <v>0.0</v>
      </c>
      <c r="AG407" s="33" t="s">
        <v>354</v>
      </c>
      <c r="AH407" s="33"/>
      <c r="AI407" s="33" t="s">
        <v>354</v>
      </c>
      <c r="AJ407" s="19"/>
      <c r="AK407" s="19"/>
      <c r="AL407" s="82" t="s">
        <v>361</v>
      </c>
      <c r="AM407" s="89" t="s">
        <v>356</v>
      </c>
      <c r="AN407" s="89" t="s">
        <v>356</v>
      </c>
    </row>
    <row r="408">
      <c r="A408" s="17" t="s">
        <v>171</v>
      </c>
      <c r="B408" s="18" t="s">
        <v>658</v>
      </c>
      <c r="C408" s="19" t="s">
        <v>170</v>
      </c>
      <c r="D408" s="20" t="s">
        <v>547</v>
      </c>
      <c r="E408" s="21" t="s">
        <v>7</v>
      </c>
      <c r="F408" s="19" t="s">
        <v>67</v>
      </c>
      <c r="G408" s="22" t="s">
        <v>354</v>
      </c>
      <c r="H408" s="23">
        <v>285.0</v>
      </c>
      <c r="I408" s="22" t="s">
        <v>659</v>
      </c>
      <c r="J408" s="19">
        <v>30.0</v>
      </c>
      <c r="K408" s="23">
        <v>1.0</v>
      </c>
      <c r="L408" s="23">
        <v>0.0</v>
      </c>
      <c r="M408" s="22" t="s">
        <v>354</v>
      </c>
      <c r="N408" s="101" t="s">
        <v>17</v>
      </c>
      <c r="O408" s="101" t="s">
        <v>17</v>
      </c>
      <c r="P408" s="24" t="s">
        <v>172</v>
      </c>
      <c r="Q408" s="24" t="s">
        <v>171</v>
      </c>
      <c r="R408" s="24" t="s">
        <v>171</v>
      </c>
      <c r="S408" s="24" t="s">
        <v>171</v>
      </c>
      <c r="T408" s="24" t="s">
        <v>171</v>
      </c>
      <c r="U408" s="24" t="s">
        <v>171</v>
      </c>
      <c r="V408" s="19"/>
      <c r="W408" s="19"/>
      <c r="X408" s="19"/>
      <c r="Y408" s="19"/>
      <c r="Z408" s="19"/>
      <c r="AA408" s="19"/>
      <c r="AB408" s="23" t="s">
        <v>662</v>
      </c>
      <c r="AC408" s="19"/>
      <c r="AD408" s="19"/>
      <c r="AE408" s="19"/>
      <c r="AF408" s="33">
        <v>0.0</v>
      </c>
      <c r="AG408" s="33" t="s">
        <v>354</v>
      </c>
      <c r="AH408" s="33"/>
      <c r="AI408" s="33" t="s">
        <v>354</v>
      </c>
      <c r="AJ408" s="19"/>
      <c r="AK408" s="19"/>
      <c r="AL408" s="89" t="s">
        <v>356</v>
      </c>
      <c r="AM408" s="89" t="s">
        <v>356</v>
      </c>
      <c r="AN408" s="89" t="s">
        <v>356</v>
      </c>
    </row>
    <row r="409">
      <c r="A409" s="17" t="s">
        <v>171</v>
      </c>
      <c r="B409" s="18" t="s">
        <v>658</v>
      </c>
      <c r="C409" s="19" t="s">
        <v>170</v>
      </c>
      <c r="D409" s="20" t="s">
        <v>547</v>
      </c>
      <c r="E409" s="21" t="s">
        <v>7</v>
      </c>
      <c r="F409" s="19" t="s">
        <v>67</v>
      </c>
      <c r="G409" s="22" t="s">
        <v>354</v>
      </c>
      <c r="H409" s="23">
        <v>315.0</v>
      </c>
      <c r="I409" s="22" t="s">
        <v>659</v>
      </c>
      <c r="J409" s="19">
        <v>30.0</v>
      </c>
      <c r="K409" s="23">
        <v>1.0</v>
      </c>
      <c r="L409" s="23">
        <v>0.0</v>
      </c>
      <c r="M409" s="22" t="s">
        <v>354</v>
      </c>
      <c r="N409" s="101" t="s">
        <v>17</v>
      </c>
      <c r="O409" s="101" t="s">
        <v>17</v>
      </c>
      <c r="P409" s="24" t="s">
        <v>172</v>
      </c>
      <c r="Q409" s="24" t="s">
        <v>171</v>
      </c>
      <c r="R409" s="24" t="s">
        <v>171</v>
      </c>
      <c r="S409" s="24" t="s">
        <v>171</v>
      </c>
      <c r="T409" s="24" t="s">
        <v>171</v>
      </c>
      <c r="U409" s="24" t="s">
        <v>171</v>
      </c>
      <c r="V409" s="24" t="s">
        <v>171</v>
      </c>
      <c r="W409" s="44" t="s">
        <v>373</v>
      </c>
      <c r="X409" s="19"/>
      <c r="Y409" s="19"/>
      <c r="Z409" s="19"/>
      <c r="AA409" s="19"/>
      <c r="AB409" s="22" t="s">
        <v>354</v>
      </c>
      <c r="AC409" s="19"/>
      <c r="AD409" s="19"/>
      <c r="AE409" s="19"/>
      <c r="AF409" s="33">
        <v>0.0</v>
      </c>
      <c r="AG409" s="33" t="s">
        <v>354</v>
      </c>
      <c r="AH409" s="33"/>
      <c r="AI409" s="33" t="s">
        <v>354</v>
      </c>
      <c r="AJ409" s="19"/>
      <c r="AK409" s="19"/>
      <c r="AL409" s="89" t="s">
        <v>356</v>
      </c>
      <c r="AM409" s="89" t="s">
        <v>356</v>
      </c>
      <c r="AN409" s="89" t="s">
        <v>356</v>
      </c>
    </row>
    <row r="410">
      <c r="A410" s="17" t="s">
        <v>171</v>
      </c>
      <c r="B410" s="18" t="s">
        <v>658</v>
      </c>
      <c r="C410" s="19" t="s">
        <v>170</v>
      </c>
      <c r="D410" s="20" t="s">
        <v>547</v>
      </c>
      <c r="E410" s="21" t="s">
        <v>7</v>
      </c>
      <c r="F410" s="19" t="s">
        <v>67</v>
      </c>
      <c r="G410" s="22" t="s">
        <v>354</v>
      </c>
      <c r="H410" s="22" t="s">
        <v>354</v>
      </c>
      <c r="I410" s="22" t="s">
        <v>659</v>
      </c>
      <c r="J410" s="19">
        <v>30.0</v>
      </c>
      <c r="K410" s="23">
        <v>0.0</v>
      </c>
      <c r="L410" s="78">
        <v>1.0</v>
      </c>
      <c r="M410" s="78" t="s">
        <v>663</v>
      </c>
      <c r="N410" s="101" t="s">
        <v>17</v>
      </c>
      <c r="O410" s="101" t="s">
        <v>17</v>
      </c>
      <c r="P410" s="24" t="s">
        <v>172</v>
      </c>
      <c r="Q410" s="24" t="s">
        <v>171</v>
      </c>
      <c r="R410" s="24" t="s">
        <v>171</v>
      </c>
      <c r="S410" s="24" t="s">
        <v>171</v>
      </c>
      <c r="T410" s="24" t="s">
        <v>171</v>
      </c>
      <c r="U410" s="24" t="s">
        <v>171</v>
      </c>
      <c r="V410" s="24" t="s">
        <v>171</v>
      </c>
      <c r="W410" s="44" t="s">
        <v>373</v>
      </c>
      <c r="X410" s="18" t="s">
        <v>171</v>
      </c>
      <c r="Y410" s="19"/>
      <c r="Z410" s="137"/>
      <c r="AA410" s="137"/>
      <c r="AB410" s="158" t="s">
        <v>664</v>
      </c>
      <c r="AC410" s="137"/>
      <c r="AD410" s="137"/>
      <c r="AE410" s="137"/>
      <c r="AF410" s="33">
        <v>0.0</v>
      </c>
      <c r="AG410" s="33" t="s">
        <v>354</v>
      </c>
      <c r="AH410" s="33"/>
      <c r="AI410" s="33" t="s">
        <v>354</v>
      </c>
      <c r="AJ410" s="137"/>
      <c r="AK410" s="137"/>
      <c r="AL410" s="170" t="s">
        <v>361</v>
      </c>
      <c r="AM410" s="170" t="s">
        <v>356</v>
      </c>
      <c r="AN410" s="171" t="s">
        <v>363</v>
      </c>
    </row>
    <row r="411">
      <c r="A411" s="17" t="s">
        <v>171</v>
      </c>
      <c r="B411" s="18" t="s">
        <v>658</v>
      </c>
      <c r="C411" s="19" t="s">
        <v>170</v>
      </c>
      <c r="D411" s="20" t="s">
        <v>547</v>
      </c>
      <c r="E411" s="21" t="s">
        <v>7</v>
      </c>
      <c r="F411" s="19" t="s">
        <v>67</v>
      </c>
      <c r="G411" s="22" t="s">
        <v>354</v>
      </c>
      <c r="H411" s="22" t="s">
        <v>354</v>
      </c>
      <c r="I411" s="22" t="s">
        <v>659</v>
      </c>
      <c r="J411" s="19">
        <v>30.0</v>
      </c>
      <c r="K411" s="23">
        <v>1.0</v>
      </c>
      <c r="L411" s="78">
        <v>1.0</v>
      </c>
      <c r="M411" s="78" t="s">
        <v>663</v>
      </c>
      <c r="N411" s="101" t="s">
        <v>17</v>
      </c>
      <c r="O411" s="101" t="s">
        <v>17</v>
      </c>
      <c r="P411" s="24" t="s">
        <v>172</v>
      </c>
      <c r="Q411" s="24" t="s">
        <v>171</v>
      </c>
      <c r="R411" s="24" t="s">
        <v>171</v>
      </c>
      <c r="S411" s="24" t="s">
        <v>171</v>
      </c>
      <c r="T411" s="24" t="s">
        <v>171</v>
      </c>
      <c r="U411" s="24" t="s">
        <v>171</v>
      </c>
      <c r="V411" s="24" t="s">
        <v>171</v>
      </c>
      <c r="W411" s="44" t="s">
        <v>373</v>
      </c>
      <c r="X411" s="18" t="s">
        <v>171</v>
      </c>
      <c r="Y411" s="130" t="s">
        <v>171</v>
      </c>
      <c r="Z411" s="19"/>
      <c r="AA411" s="19"/>
      <c r="AB411" s="158" t="s">
        <v>665</v>
      </c>
      <c r="AC411" s="19"/>
      <c r="AD411" s="19"/>
      <c r="AE411" s="19"/>
      <c r="AF411" s="33">
        <v>0.0</v>
      </c>
      <c r="AG411" s="33" t="s">
        <v>354</v>
      </c>
      <c r="AH411" s="33"/>
      <c r="AI411" s="33" t="s">
        <v>354</v>
      </c>
      <c r="AJ411" s="19"/>
      <c r="AK411" s="19"/>
      <c r="AL411" s="89" t="s">
        <v>356</v>
      </c>
      <c r="AM411" s="89" t="s">
        <v>356</v>
      </c>
      <c r="AN411" s="89" t="s">
        <v>356</v>
      </c>
    </row>
    <row r="412">
      <c r="A412" s="17" t="s">
        <v>171</v>
      </c>
      <c r="B412" s="18" t="s">
        <v>658</v>
      </c>
      <c r="C412" s="19" t="s">
        <v>170</v>
      </c>
      <c r="D412" s="20" t="s">
        <v>547</v>
      </c>
      <c r="E412" s="21" t="s">
        <v>7</v>
      </c>
      <c r="F412" s="19" t="s">
        <v>67</v>
      </c>
      <c r="G412" s="22" t="s">
        <v>354</v>
      </c>
      <c r="H412" s="22" t="s">
        <v>354</v>
      </c>
      <c r="I412" s="22" t="s">
        <v>659</v>
      </c>
      <c r="J412" s="19">
        <v>30.0</v>
      </c>
      <c r="K412" s="23">
        <v>1.0</v>
      </c>
      <c r="L412" s="78">
        <v>1.0</v>
      </c>
      <c r="M412" s="78" t="s">
        <v>663</v>
      </c>
      <c r="N412" s="101" t="s">
        <v>17</v>
      </c>
      <c r="O412" s="101" t="s">
        <v>17</v>
      </c>
      <c r="P412" s="24" t="s">
        <v>172</v>
      </c>
      <c r="Q412" s="24" t="s">
        <v>171</v>
      </c>
      <c r="R412" s="24" t="s">
        <v>171</v>
      </c>
      <c r="S412" s="24" t="s">
        <v>171</v>
      </c>
      <c r="T412" s="24" t="s">
        <v>171</v>
      </c>
      <c r="U412" s="24" t="s">
        <v>171</v>
      </c>
      <c r="V412" s="24" t="s">
        <v>171</v>
      </c>
      <c r="W412" s="44" t="s">
        <v>373</v>
      </c>
      <c r="X412" s="18" t="s">
        <v>171</v>
      </c>
      <c r="Y412" s="130" t="s">
        <v>171</v>
      </c>
      <c r="Z412" s="24" t="s">
        <v>171</v>
      </c>
      <c r="AA412" s="19"/>
      <c r="AB412" s="158" t="s">
        <v>664</v>
      </c>
      <c r="AC412" s="19"/>
      <c r="AD412" s="19"/>
      <c r="AE412" s="19"/>
      <c r="AF412" s="33">
        <v>0.0</v>
      </c>
      <c r="AG412" s="23" t="s">
        <v>356</v>
      </c>
      <c r="AH412" s="19"/>
      <c r="AI412" s="23" t="s">
        <v>356</v>
      </c>
      <c r="AJ412" s="43" t="s">
        <v>361</v>
      </c>
      <c r="AK412" s="23" t="s">
        <v>356</v>
      </c>
      <c r="AL412" s="116" t="s">
        <v>361</v>
      </c>
      <c r="AM412" s="82" t="s">
        <v>361</v>
      </c>
      <c r="AN412" s="113" t="s">
        <v>356</v>
      </c>
    </row>
    <row r="413">
      <c r="A413" s="17" t="s">
        <v>171</v>
      </c>
      <c r="B413" s="18" t="s">
        <v>658</v>
      </c>
      <c r="C413" s="19" t="s">
        <v>170</v>
      </c>
      <c r="D413" s="20" t="s">
        <v>547</v>
      </c>
      <c r="E413" s="21" t="s">
        <v>7</v>
      </c>
      <c r="F413" s="19" t="s">
        <v>67</v>
      </c>
      <c r="G413" s="22" t="s">
        <v>354</v>
      </c>
      <c r="H413" s="22" t="s">
        <v>354</v>
      </c>
      <c r="I413" s="22" t="s">
        <v>659</v>
      </c>
      <c r="J413" s="19">
        <v>30.0</v>
      </c>
      <c r="K413" s="23">
        <v>1.0</v>
      </c>
      <c r="L413" s="78">
        <v>1.0</v>
      </c>
      <c r="M413" s="78" t="s">
        <v>663</v>
      </c>
      <c r="N413" s="101" t="s">
        <v>17</v>
      </c>
      <c r="O413" s="101" t="s">
        <v>17</v>
      </c>
      <c r="P413" s="24" t="s">
        <v>172</v>
      </c>
      <c r="Q413" s="24" t="s">
        <v>171</v>
      </c>
      <c r="R413" s="24" t="s">
        <v>171</v>
      </c>
      <c r="S413" s="24" t="s">
        <v>171</v>
      </c>
      <c r="T413" s="24" t="s">
        <v>171</v>
      </c>
      <c r="U413" s="24" t="s">
        <v>171</v>
      </c>
      <c r="V413" s="24" t="s">
        <v>171</v>
      </c>
      <c r="W413" s="44" t="s">
        <v>373</v>
      </c>
      <c r="X413" s="18" t="s">
        <v>171</v>
      </c>
      <c r="Y413" s="130" t="s">
        <v>171</v>
      </c>
      <c r="Z413" s="24" t="s">
        <v>171</v>
      </c>
      <c r="AA413" s="24" t="s">
        <v>171</v>
      </c>
      <c r="AB413" s="158" t="s">
        <v>664</v>
      </c>
      <c r="AC413" s="19"/>
      <c r="AD413" s="19"/>
      <c r="AE413" s="19"/>
      <c r="AF413" s="33">
        <v>0.0</v>
      </c>
      <c r="AG413" s="33" t="s">
        <v>354</v>
      </c>
      <c r="AH413" s="33"/>
      <c r="AI413" s="33" t="s">
        <v>354</v>
      </c>
      <c r="AJ413" s="43"/>
      <c r="AK413" s="23"/>
      <c r="AL413" s="89" t="s">
        <v>356</v>
      </c>
      <c r="AM413" s="89" t="s">
        <v>356</v>
      </c>
      <c r="AN413" s="75" t="s">
        <v>357</v>
      </c>
    </row>
    <row r="414">
      <c r="A414" s="121" t="s">
        <v>666</v>
      </c>
      <c r="B414" s="18" t="s">
        <v>667</v>
      </c>
      <c r="C414" s="122" t="s">
        <v>301</v>
      </c>
      <c r="D414" s="123" t="s">
        <v>490</v>
      </c>
      <c r="E414" s="124" t="s">
        <v>491</v>
      </c>
      <c r="F414" s="122" t="s">
        <v>8</v>
      </c>
      <c r="G414" s="125">
        <v>86.0</v>
      </c>
      <c r="H414" s="147" t="s">
        <v>354</v>
      </c>
      <c r="I414" s="125" t="s">
        <v>659</v>
      </c>
      <c r="J414" s="122">
        <v>67.0</v>
      </c>
      <c r="K414" s="147" t="s">
        <v>354</v>
      </c>
      <c r="L414" s="147">
        <v>0.0</v>
      </c>
      <c r="M414" s="147" t="s">
        <v>354</v>
      </c>
      <c r="N414" s="101" t="s">
        <v>17</v>
      </c>
      <c r="O414" s="101" t="s">
        <v>17</v>
      </c>
      <c r="P414" s="101" t="s">
        <v>17</v>
      </c>
      <c r="Q414" s="101" t="s">
        <v>17</v>
      </c>
      <c r="R414" s="24" t="s">
        <v>302</v>
      </c>
      <c r="S414" s="122"/>
      <c r="T414" s="122"/>
      <c r="U414" s="122"/>
      <c r="V414" s="122"/>
      <c r="W414" s="122"/>
      <c r="X414" s="122"/>
      <c r="Y414" s="122"/>
      <c r="Z414" s="122"/>
      <c r="AA414" s="122"/>
      <c r="AB414" s="147" t="s">
        <v>354</v>
      </c>
      <c r="AC414" s="122"/>
      <c r="AD414" s="122"/>
      <c r="AE414" s="122"/>
      <c r="AF414" s="125">
        <v>0.0</v>
      </c>
      <c r="AG414" s="125" t="s">
        <v>356</v>
      </c>
      <c r="AH414" s="122"/>
      <c r="AI414" s="125" t="s">
        <v>356</v>
      </c>
      <c r="AJ414" s="122"/>
      <c r="AK414" s="122"/>
      <c r="AL414" s="172" t="s">
        <v>361</v>
      </c>
      <c r="AM414" s="125" t="s">
        <v>356</v>
      </c>
      <c r="AN414" s="125" t="s">
        <v>356</v>
      </c>
    </row>
    <row r="415">
      <c r="A415" s="121" t="s">
        <v>666</v>
      </c>
      <c r="B415" s="18" t="s">
        <v>667</v>
      </c>
      <c r="C415" s="122" t="s">
        <v>301</v>
      </c>
      <c r="D415" s="123" t="s">
        <v>490</v>
      </c>
      <c r="E415" s="124" t="s">
        <v>62</v>
      </c>
      <c r="F415" s="122" t="s">
        <v>8</v>
      </c>
      <c r="G415" s="125">
        <v>91.0</v>
      </c>
      <c r="H415" s="125">
        <v>70.0</v>
      </c>
      <c r="I415" s="125" t="s">
        <v>659</v>
      </c>
      <c r="J415" s="122">
        <v>59.0</v>
      </c>
      <c r="K415" s="147" t="s">
        <v>354</v>
      </c>
      <c r="L415" s="147">
        <v>0.0</v>
      </c>
      <c r="M415" s="147" t="s">
        <v>354</v>
      </c>
      <c r="N415" s="101" t="s">
        <v>17</v>
      </c>
      <c r="O415" s="101" t="s">
        <v>17</v>
      </c>
      <c r="P415" s="101" t="s">
        <v>17</v>
      </c>
      <c r="Q415" s="101" t="s">
        <v>17</v>
      </c>
      <c r="R415" s="24" t="s">
        <v>302</v>
      </c>
      <c r="S415" s="24" t="s">
        <v>303</v>
      </c>
      <c r="T415" s="122"/>
      <c r="U415" s="122"/>
      <c r="V415" s="122"/>
      <c r="W415" s="122"/>
      <c r="X415" s="122"/>
      <c r="Y415" s="122"/>
      <c r="Z415" s="122"/>
      <c r="AA415" s="122"/>
      <c r="AB415" s="125" t="s">
        <v>590</v>
      </c>
      <c r="AC415" s="122"/>
      <c r="AD415" s="122"/>
      <c r="AE415" s="122"/>
      <c r="AF415" s="125">
        <v>0.0</v>
      </c>
      <c r="AG415" s="125" t="s">
        <v>354</v>
      </c>
      <c r="AH415" s="122"/>
      <c r="AI415" s="125" t="s">
        <v>354</v>
      </c>
      <c r="AJ415" s="122"/>
      <c r="AK415" s="122"/>
      <c r="AL415" s="172" t="s">
        <v>361</v>
      </c>
      <c r="AM415" s="122" t="s">
        <v>356</v>
      </c>
      <c r="AN415" s="122" t="s">
        <v>356</v>
      </c>
    </row>
    <row r="416">
      <c r="A416" s="121" t="s">
        <v>666</v>
      </c>
      <c r="B416" s="18" t="s">
        <v>667</v>
      </c>
      <c r="C416" s="122" t="s">
        <v>301</v>
      </c>
      <c r="D416" s="123" t="s">
        <v>490</v>
      </c>
      <c r="E416" s="124" t="s">
        <v>62</v>
      </c>
      <c r="F416" s="122" t="s">
        <v>8</v>
      </c>
      <c r="G416" s="125">
        <v>101.0</v>
      </c>
      <c r="H416" s="125">
        <v>110.0</v>
      </c>
      <c r="I416" s="125" t="s">
        <v>659</v>
      </c>
      <c r="J416" s="122">
        <v>67.0</v>
      </c>
      <c r="K416" s="147" t="s">
        <v>354</v>
      </c>
      <c r="L416" s="147">
        <v>0.0</v>
      </c>
      <c r="M416" s="147" t="s">
        <v>354</v>
      </c>
      <c r="N416" s="101" t="s">
        <v>17</v>
      </c>
      <c r="O416" s="101" t="s">
        <v>17</v>
      </c>
      <c r="P416" s="101" t="s">
        <v>17</v>
      </c>
      <c r="Q416" s="101" t="s">
        <v>17</v>
      </c>
      <c r="R416" s="24" t="s">
        <v>302</v>
      </c>
      <c r="S416" s="24" t="s">
        <v>303</v>
      </c>
      <c r="T416" s="24" t="s">
        <v>304</v>
      </c>
      <c r="U416" s="122"/>
      <c r="V416" s="122"/>
      <c r="W416" s="122"/>
      <c r="X416" s="122"/>
      <c r="Y416" s="122"/>
      <c r="Z416" s="122"/>
      <c r="AA416" s="122"/>
      <c r="AB416" s="125" t="s">
        <v>590</v>
      </c>
      <c r="AC416" s="122"/>
      <c r="AD416" s="122"/>
      <c r="AE416" s="122"/>
      <c r="AF416" s="125">
        <v>0.0</v>
      </c>
      <c r="AG416" s="125" t="s">
        <v>354</v>
      </c>
      <c r="AH416" s="122"/>
      <c r="AI416" s="125" t="s">
        <v>354</v>
      </c>
      <c r="AJ416" s="122"/>
      <c r="AK416" s="122"/>
      <c r="AL416" s="172" t="s">
        <v>361</v>
      </c>
      <c r="AM416" s="122" t="s">
        <v>356</v>
      </c>
      <c r="AN416" s="122" t="s">
        <v>356</v>
      </c>
    </row>
    <row r="417">
      <c r="A417" s="121" t="s">
        <v>666</v>
      </c>
      <c r="B417" s="18" t="s">
        <v>667</v>
      </c>
      <c r="C417" s="122" t="s">
        <v>301</v>
      </c>
      <c r="D417" s="123" t="s">
        <v>490</v>
      </c>
      <c r="E417" s="124" t="s">
        <v>62</v>
      </c>
      <c r="F417" s="122" t="s">
        <v>8</v>
      </c>
      <c r="G417" s="125">
        <v>109.0</v>
      </c>
      <c r="H417" s="125">
        <v>135.0</v>
      </c>
      <c r="I417" s="125" t="s">
        <v>659</v>
      </c>
      <c r="J417" s="122"/>
      <c r="K417" s="147" t="s">
        <v>354</v>
      </c>
      <c r="L417" s="147">
        <v>0.0</v>
      </c>
      <c r="M417" s="147" t="s">
        <v>354</v>
      </c>
      <c r="N417" s="101" t="s">
        <v>17</v>
      </c>
      <c r="O417" s="101" t="s">
        <v>17</v>
      </c>
      <c r="P417" s="101" t="s">
        <v>17</v>
      </c>
      <c r="Q417" s="101" t="s">
        <v>17</v>
      </c>
      <c r="R417" s="24" t="s">
        <v>302</v>
      </c>
      <c r="S417" s="24" t="s">
        <v>303</v>
      </c>
      <c r="T417" s="24" t="s">
        <v>304</v>
      </c>
      <c r="U417" s="18" t="s">
        <v>668</v>
      </c>
      <c r="V417" s="122"/>
      <c r="W417" s="122"/>
      <c r="X417" s="122"/>
      <c r="Y417" s="122"/>
      <c r="Z417" s="122"/>
      <c r="AA417" s="122"/>
      <c r="AB417" s="125" t="s">
        <v>592</v>
      </c>
      <c r="AC417" s="122"/>
      <c r="AD417" s="122"/>
      <c r="AE417" s="122"/>
      <c r="AF417" s="125">
        <v>0.0</v>
      </c>
      <c r="AG417" s="125" t="s">
        <v>354</v>
      </c>
      <c r="AH417" s="122"/>
      <c r="AI417" s="125" t="s">
        <v>354</v>
      </c>
      <c r="AJ417" s="122"/>
      <c r="AK417" s="122"/>
      <c r="AL417" s="122" t="s">
        <v>356</v>
      </c>
      <c r="AM417" s="122" t="s">
        <v>356</v>
      </c>
      <c r="AN417" s="122" t="s">
        <v>356</v>
      </c>
    </row>
    <row r="418">
      <c r="A418" s="121" t="s">
        <v>666</v>
      </c>
      <c r="B418" s="18" t="s">
        <v>667</v>
      </c>
      <c r="C418" s="136"/>
      <c r="D418" s="173" t="s">
        <v>490</v>
      </c>
      <c r="E418" s="124" t="s">
        <v>37</v>
      </c>
      <c r="F418" s="125" t="s">
        <v>8</v>
      </c>
      <c r="G418" s="147" t="s">
        <v>354</v>
      </c>
      <c r="H418" s="147" t="s">
        <v>354</v>
      </c>
      <c r="I418" s="147" t="s">
        <v>354</v>
      </c>
      <c r="J418" s="147" t="s">
        <v>354</v>
      </c>
      <c r="K418" s="147" t="s">
        <v>354</v>
      </c>
      <c r="L418" s="147">
        <v>0.0</v>
      </c>
      <c r="M418" s="147" t="s">
        <v>354</v>
      </c>
      <c r="N418" s="174" t="s">
        <v>17</v>
      </c>
      <c r="O418" s="174" t="s">
        <v>17</v>
      </c>
      <c r="P418" s="174" t="s">
        <v>17</v>
      </c>
      <c r="Q418" s="174" t="s">
        <v>17</v>
      </c>
      <c r="R418" s="24" t="s">
        <v>302</v>
      </c>
      <c r="S418" s="24" t="s">
        <v>303</v>
      </c>
      <c r="T418" s="24" t="s">
        <v>304</v>
      </c>
      <c r="U418" s="18" t="s">
        <v>668</v>
      </c>
      <c r="V418" s="18">
        <v>2.0</v>
      </c>
      <c r="W418" s="122"/>
      <c r="X418" s="122"/>
      <c r="Y418" s="122"/>
      <c r="Z418" s="122"/>
      <c r="AA418" s="122"/>
      <c r="AB418" s="125" t="s">
        <v>354</v>
      </c>
      <c r="AC418" s="122"/>
      <c r="AD418" s="122"/>
      <c r="AE418" s="122"/>
      <c r="AF418" s="125">
        <v>0.0</v>
      </c>
      <c r="AG418" s="125" t="s">
        <v>354</v>
      </c>
      <c r="AH418" s="122"/>
      <c r="AI418" s="125" t="s">
        <v>354</v>
      </c>
      <c r="AJ418" s="122"/>
      <c r="AK418" s="122"/>
      <c r="AL418" s="125" t="s">
        <v>356</v>
      </c>
      <c r="AM418" s="125" t="s">
        <v>356</v>
      </c>
      <c r="AN418" s="125" t="s">
        <v>356</v>
      </c>
    </row>
    <row r="419">
      <c r="A419" s="121" t="s">
        <v>666</v>
      </c>
      <c r="B419" s="18" t="s">
        <v>667</v>
      </c>
      <c r="C419" s="122" t="s">
        <v>301</v>
      </c>
      <c r="D419" s="123" t="s">
        <v>490</v>
      </c>
      <c r="E419" s="124" t="s">
        <v>37</v>
      </c>
      <c r="F419" s="122" t="s">
        <v>8</v>
      </c>
      <c r="G419" s="125">
        <v>119.0</v>
      </c>
      <c r="H419" s="125">
        <v>215.0</v>
      </c>
      <c r="I419" s="125" t="s">
        <v>659</v>
      </c>
      <c r="J419" s="122"/>
      <c r="K419" s="147" t="s">
        <v>354</v>
      </c>
      <c r="L419" s="147">
        <v>0.0</v>
      </c>
      <c r="M419" s="147" t="s">
        <v>354</v>
      </c>
      <c r="N419" s="101" t="s">
        <v>17</v>
      </c>
      <c r="O419" s="101" t="s">
        <v>17</v>
      </c>
      <c r="P419" s="101" t="s">
        <v>17</v>
      </c>
      <c r="Q419" s="101" t="s">
        <v>17</v>
      </c>
      <c r="R419" s="24" t="s">
        <v>302</v>
      </c>
      <c r="S419" s="24" t="s">
        <v>303</v>
      </c>
      <c r="T419" s="24" t="s">
        <v>304</v>
      </c>
      <c r="U419" s="18" t="s">
        <v>668</v>
      </c>
      <c r="V419" s="18">
        <v>2.0</v>
      </c>
      <c r="W419" s="18" t="s">
        <v>669</v>
      </c>
      <c r="X419" s="122"/>
      <c r="Y419" s="122"/>
      <c r="Z419" s="122"/>
      <c r="AA419" s="122"/>
      <c r="AB419" s="158" t="s">
        <v>600</v>
      </c>
      <c r="AC419" s="122"/>
      <c r="AD419" s="122"/>
      <c r="AE419" s="122"/>
      <c r="AF419" s="125">
        <v>0.0</v>
      </c>
      <c r="AG419" s="125" t="s">
        <v>354</v>
      </c>
      <c r="AH419" s="122"/>
      <c r="AI419" s="125" t="s">
        <v>354</v>
      </c>
      <c r="AJ419" s="122"/>
      <c r="AK419" s="122"/>
      <c r="AL419" s="122" t="s">
        <v>356</v>
      </c>
      <c r="AM419" s="122" t="s">
        <v>356</v>
      </c>
      <c r="AN419" s="122" t="s">
        <v>356</v>
      </c>
    </row>
    <row r="420">
      <c r="A420" s="121" t="s">
        <v>666</v>
      </c>
      <c r="B420" s="18" t="s">
        <v>667</v>
      </c>
      <c r="C420" s="122" t="s">
        <v>301</v>
      </c>
      <c r="D420" s="123" t="s">
        <v>490</v>
      </c>
      <c r="E420" s="124" t="s">
        <v>37</v>
      </c>
      <c r="F420" s="122" t="s">
        <v>8</v>
      </c>
      <c r="G420" s="147" t="s">
        <v>354</v>
      </c>
      <c r="H420" s="147" t="s">
        <v>354</v>
      </c>
      <c r="I420" s="125" t="s">
        <v>659</v>
      </c>
      <c r="J420" s="122"/>
      <c r="K420" s="147" t="s">
        <v>354</v>
      </c>
      <c r="L420" s="78">
        <v>1.0</v>
      </c>
      <c r="M420" s="78" t="s">
        <v>670</v>
      </c>
      <c r="N420" s="101" t="s">
        <v>17</v>
      </c>
      <c r="O420" s="101" t="s">
        <v>17</v>
      </c>
      <c r="P420" s="101" t="s">
        <v>17</v>
      </c>
      <c r="Q420" s="101" t="s">
        <v>17</v>
      </c>
      <c r="R420" s="24" t="s">
        <v>302</v>
      </c>
      <c r="S420" s="24" t="s">
        <v>303</v>
      </c>
      <c r="T420" s="24" t="s">
        <v>304</v>
      </c>
      <c r="U420" s="18" t="s">
        <v>668</v>
      </c>
      <c r="V420" s="18">
        <v>2.0</v>
      </c>
      <c r="W420" s="18" t="s">
        <v>669</v>
      </c>
      <c r="X420" s="18" t="s">
        <v>671</v>
      </c>
      <c r="Y420" s="125"/>
      <c r="Z420" s="125"/>
      <c r="AA420" s="122"/>
      <c r="AB420" s="158" t="s">
        <v>600</v>
      </c>
      <c r="AC420" s="122"/>
      <c r="AD420" s="122"/>
      <c r="AE420" s="122"/>
      <c r="AF420" s="125">
        <v>0.0</v>
      </c>
      <c r="AG420" s="125" t="s">
        <v>354</v>
      </c>
      <c r="AH420" s="122"/>
      <c r="AI420" s="125" t="s">
        <v>354</v>
      </c>
      <c r="AJ420" s="125"/>
      <c r="AK420" s="125"/>
      <c r="AL420" s="91" t="s">
        <v>413</v>
      </c>
      <c r="AM420" s="122" t="s">
        <v>356</v>
      </c>
      <c r="AN420" s="122" t="s">
        <v>356</v>
      </c>
    </row>
    <row r="421">
      <c r="A421" s="121" t="s">
        <v>666</v>
      </c>
      <c r="B421" s="18" t="s">
        <v>667</v>
      </c>
      <c r="C421" s="122" t="s">
        <v>301</v>
      </c>
      <c r="D421" s="123" t="s">
        <v>490</v>
      </c>
      <c r="E421" s="124" t="s">
        <v>37</v>
      </c>
      <c r="F421" s="122" t="s">
        <v>8</v>
      </c>
      <c r="G421" s="147" t="s">
        <v>354</v>
      </c>
      <c r="H421" s="147" t="s">
        <v>354</v>
      </c>
      <c r="I421" s="125" t="s">
        <v>659</v>
      </c>
      <c r="J421" s="122"/>
      <c r="K421" s="147" t="s">
        <v>354</v>
      </c>
      <c r="L421" s="78">
        <v>1.0</v>
      </c>
      <c r="M421" s="78" t="s">
        <v>670</v>
      </c>
      <c r="N421" s="101" t="s">
        <v>17</v>
      </c>
      <c r="O421" s="101" t="s">
        <v>17</v>
      </c>
      <c r="P421" s="101" t="s">
        <v>17</v>
      </c>
      <c r="Q421" s="101" t="s">
        <v>17</v>
      </c>
      <c r="R421" s="24" t="s">
        <v>302</v>
      </c>
      <c r="S421" s="24" t="s">
        <v>303</v>
      </c>
      <c r="T421" s="24" t="s">
        <v>304</v>
      </c>
      <c r="U421" s="18" t="s">
        <v>668</v>
      </c>
      <c r="V421" s="18">
        <v>2.0</v>
      </c>
      <c r="W421" s="18" t="s">
        <v>669</v>
      </c>
      <c r="X421" s="18" t="s">
        <v>671</v>
      </c>
      <c r="Y421" s="18" t="s">
        <v>671</v>
      </c>
      <c r="Z421" s="125"/>
      <c r="AA421" s="122"/>
      <c r="AB421" s="158" t="s">
        <v>600</v>
      </c>
      <c r="AC421" s="122"/>
      <c r="AD421" s="122"/>
      <c r="AE421" s="122"/>
      <c r="AF421" s="125">
        <v>0.0</v>
      </c>
      <c r="AG421" s="125" t="s">
        <v>354</v>
      </c>
      <c r="AH421" s="122"/>
      <c r="AI421" s="125" t="s">
        <v>354</v>
      </c>
      <c r="AJ421" s="125"/>
      <c r="AK421" s="125"/>
      <c r="AL421" s="75" t="s">
        <v>357</v>
      </c>
      <c r="AM421" s="119" t="s">
        <v>413</v>
      </c>
      <c r="AN421" s="133" t="s">
        <v>420</v>
      </c>
    </row>
    <row r="422">
      <c r="A422" s="121" t="s">
        <v>666</v>
      </c>
      <c r="B422" s="18" t="s">
        <v>667</v>
      </c>
      <c r="C422" s="122" t="s">
        <v>301</v>
      </c>
      <c r="D422" s="123" t="s">
        <v>490</v>
      </c>
      <c r="E422" s="124" t="s">
        <v>37</v>
      </c>
      <c r="F422" s="122" t="s">
        <v>8</v>
      </c>
      <c r="G422" s="147" t="s">
        <v>354</v>
      </c>
      <c r="H422" s="147" t="s">
        <v>354</v>
      </c>
      <c r="I422" s="125" t="s">
        <v>659</v>
      </c>
      <c r="J422" s="122"/>
      <c r="K422" s="147" t="s">
        <v>354</v>
      </c>
      <c r="L422" s="78">
        <v>1.0</v>
      </c>
      <c r="M422" s="78" t="s">
        <v>670</v>
      </c>
      <c r="N422" s="101" t="s">
        <v>17</v>
      </c>
      <c r="O422" s="101" t="s">
        <v>17</v>
      </c>
      <c r="P422" s="101" t="s">
        <v>17</v>
      </c>
      <c r="Q422" s="101" t="s">
        <v>17</v>
      </c>
      <c r="R422" s="24" t="s">
        <v>302</v>
      </c>
      <c r="S422" s="24" t="s">
        <v>303</v>
      </c>
      <c r="T422" s="24" t="s">
        <v>304</v>
      </c>
      <c r="U422" s="18" t="s">
        <v>668</v>
      </c>
      <c r="V422" s="18">
        <v>2.0</v>
      </c>
      <c r="W422" s="18" t="s">
        <v>669</v>
      </c>
      <c r="X422" s="18" t="s">
        <v>671</v>
      </c>
      <c r="Y422" s="18" t="s">
        <v>671</v>
      </c>
      <c r="Z422" s="18" t="s">
        <v>671</v>
      </c>
      <c r="AA422" s="122"/>
      <c r="AB422" s="158" t="s">
        <v>600</v>
      </c>
      <c r="AC422" s="122"/>
      <c r="AD422" s="122"/>
      <c r="AE422" s="122"/>
      <c r="AF422" s="125">
        <v>0.0</v>
      </c>
      <c r="AG422" s="125" t="s">
        <v>356</v>
      </c>
      <c r="AH422" s="122"/>
      <c r="AI422" s="125" t="s">
        <v>356</v>
      </c>
      <c r="AJ422" s="125" t="s">
        <v>356</v>
      </c>
      <c r="AK422" s="172" t="s">
        <v>361</v>
      </c>
      <c r="AL422" s="125" t="s">
        <v>356</v>
      </c>
      <c r="AM422" s="125" t="s">
        <v>356</v>
      </c>
      <c r="AN422" s="125" t="s">
        <v>356</v>
      </c>
    </row>
    <row r="423">
      <c r="A423" s="121" t="s">
        <v>666</v>
      </c>
      <c r="B423" s="18" t="s">
        <v>667</v>
      </c>
      <c r="C423" s="122" t="s">
        <v>301</v>
      </c>
      <c r="D423" s="123" t="s">
        <v>490</v>
      </c>
      <c r="E423" s="124" t="s">
        <v>7</v>
      </c>
      <c r="F423" s="122" t="s">
        <v>8</v>
      </c>
      <c r="G423" s="147" t="s">
        <v>354</v>
      </c>
      <c r="H423" s="147" t="s">
        <v>354</v>
      </c>
      <c r="I423" s="125" t="s">
        <v>659</v>
      </c>
      <c r="J423" s="122"/>
      <c r="K423" s="147" t="s">
        <v>354</v>
      </c>
      <c r="L423" s="78">
        <v>1.0</v>
      </c>
      <c r="M423" s="78" t="s">
        <v>670</v>
      </c>
      <c r="N423" s="101" t="s">
        <v>17</v>
      </c>
      <c r="O423" s="101" t="s">
        <v>17</v>
      </c>
      <c r="P423" s="101" t="s">
        <v>17</v>
      </c>
      <c r="Q423" s="101" t="s">
        <v>17</v>
      </c>
      <c r="R423" s="24" t="s">
        <v>302</v>
      </c>
      <c r="S423" s="24" t="s">
        <v>303</v>
      </c>
      <c r="T423" s="24" t="s">
        <v>304</v>
      </c>
      <c r="U423" s="18" t="s">
        <v>668</v>
      </c>
      <c r="V423" s="18">
        <v>2.0</v>
      </c>
      <c r="W423" s="18" t="s">
        <v>669</v>
      </c>
      <c r="X423" s="18" t="s">
        <v>671</v>
      </c>
      <c r="Y423" s="18" t="s">
        <v>671</v>
      </c>
      <c r="Z423" s="18" t="s">
        <v>671</v>
      </c>
      <c r="AA423" s="18" t="s">
        <v>671</v>
      </c>
      <c r="AB423" s="158" t="s">
        <v>672</v>
      </c>
      <c r="AC423" s="122"/>
      <c r="AD423" s="122"/>
      <c r="AE423" s="122"/>
      <c r="AF423" s="131">
        <v>33.4653525377292</v>
      </c>
      <c r="AG423" s="125" t="s">
        <v>354</v>
      </c>
      <c r="AH423" s="122"/>
      <c r="AI423" s="125" t="s">
        <v>354</v>
      </c>
      <c r="AJ423" s="125"/>
      <c r="AK423" s="172"/>
      <c r="AL423" s="115" t="s">
        <v>358</v>
      </c>
      <c r="AM423" s="172" t="s">
        <v>361</v>
      </c>
      <c r="AN423" s="115" t="s">
        <v>358</v>
      </c>
    </row>
    <row r="424">
      <c r="A424" s="45" t="s">
        <v>174</v>
      </c>
      <c r="B424" s="98" t="s">
        <v>673</v>
      </c>
      <c r="C424" s="46" t="s">
        <v>173</v>
      </c>
      <c r="D424" s="47" t="s">
        <v>547</v>
      </c>
      <c r="E424" s="48" t="s">
        <v>7</v>
      </c>
      <c r="F424" s="46" t="s">
        <v>8</v>
      </c>
      <c r="G424" s="49">
        <v>123.0</v>
      </c>
      <c r="H424" s="49">
        <v>290.0</v>
      </c>
      <c r="I424" s="49" t="s">
        <v>354</v>
      </c>
      <c r="J424" s="46">
        <v>39.0</v>
      </c>
      <c r="K424" s="49" t="s">
        <v>354</v>
      </c>
      <c r="L424" s="49">
        <v>0.0</v>
      </c>
      <c r="M424" s="49" t="s">
        <v>354</v>
      </c>
      <c r="N424" s="101" t="s">
        <v>17</v>
      </c>
      <c r="O424" s="101" t="s">
        <v>17</v>
      </c>
      <c r="P424" s="24" t="s">
        <v>175</v>
      </c>
      <c r="Q424" s="44" t="s">
        <v>373</v>
      </c>
      <c r="R424" s="61" t="s">
        <v>373</v>
      </c>
      <c r="S424" s="62" t="s">
        <v>381</v>
      </c>
      <c r="T424" s="62" t="s">
        <v>381</v>
      </c>
      <c r="U424" s="62" t="s">
        <v>381</v>
      </c>
      <c r="V424" s="62" t="s">
        <v>381</v>
      </c>
      <c r="W424" s="62" t="s">
        <v>381</v>
      </c>
      <c r="X424" s="62" t="s">
        <v>381</v>
      </c>
      <c r="Y424" s="62" t="s">
        <v>381</v>
      </c>
      <c r="Z424" s="62" t="s">
        <v>381</v>
      </c>
      <c r="AA424" s="62" t="s">
        <v>381</v>
      </c>
      <c r="AB424" s="175" t="s">
        <v>674</v>
      </c>
      <c r="AC424" s="46">
        <v>36342.0</v>
      </c>
      <c r="AD424" s="46"/>
      <c r="AE424" s="46"/>
      <c r="AF424" s="55">
        <v>35.74</v>
      </c>
      <c r="AG424" s="49" t="s">
        <v>356</v>
      </c>
      <c r="AH424" s="46"/>
      <c r="AI424" s="49" t="s">
        <v>354</v>
      </c>
      <c r="AJ424" s="49" t="s">
        <v>354</v>
      </c>
      <c r="AK424" s="49" t="s">
        <v>354</v>
      </c>
      <c r="AL424" s="88" t="s">
        <v>358</v>
      </c>
      <c r="AM424" s="54" t="s">
        <v>356</v>
      </c>
      <c r="AN424" s="88" t="s">
        <v>358</v>
      </c>
    </row>
    <row r="425">
      <c r="A425" s="95" t="s">
        <v>675</v>
      </c>
      <c r="B425" s="18" t="s">
        <v>676</v>
      </c>
      <c r="C425" s="19" t="s">
        <v>176</v>
      </c>
      <c r="D425" s="20" t="s">
        <v>547</v>
      </c>
      <c r="E425" s="21" t="s">
        <v>37</v>
      </c>
      <c r="F425" s="19" t="s">
        <v>8</v>
      </c>
      <c r="G425" s="23">
        <v>117.0</v>
      </c>
      <c r="H425" s="23">
        <v>255.0</v>
      </c>
      <c r="I425" s="23" t="s">
        <v>354</v>
      </c>
      <c r="J425" s="22" t="s">
        <v>354</v>
      </c>
      <c r="K425" s="22" t="s">
        <v>354</v>
      </c>
      <c r="L425" s="22">
        <v>0.0</v>
      </c>
      <c r="M425" s="22" t="s">
        <v>354</v>
      </c>
      <c r="N425" s="101" t="s">
        <v>17</v>
      </c>
      <c r="O425" s="101" t="s">
        <v>17</v>
      </c>
      <c r="P425" s="24" t="s">
        <v>178</v>
      </c>
      <c r="Q425" s="19"/>
      <c r="R425" s="19"/>
      <c r="S425" s="19"/>
      <c r="T425" s="19"/>
      <c r="U425" s="19"/>
      <c r="V425" s="19"/>
      <c r="W425" s="19"/>
      <c r="X425" s="19"/>
      <c r="Y425" s="19"/>
      <c r="Z425" s="19"/>
      <c r="AA425" s="19"/>
      <c r="AB425" s="22" t="s">
        <v>354</v>
      </c>
      <c r="AC425" s="19">
        <v>36343.0</v>
      </c>
      <c r="AD425" s="19"/>
      <c r="AE425" s="19"/>
      <c r="AF425" s="66">
        <v>31.64</v>
      </c>
      <c r="AG425" s="36" t="s">
        <v>365</v>
      </c>
      <c r="AH425" s="23" t="s">
        <v>379</v>
      </c>
      <c r="AI425" s="58" t="s">
        <v>380</v>
      </c>
      <c r="AJ425" s="19"/>
      <c r="AK425" s="19"/>
      <c r="AL425" s="73" t="s">
        <v>357</v>
      </c>
      <c r="AM425" s="23" t="s">
        <v>677</v>
      </c>
      <c r="AN425" s="32" t="s">
        <v>361</v>
      </c>
    </row>
    <row r="426">
      <c r="A426" s="95" t="s">
        <v>675</v>
      </c>
      <c r="B426" s="18" t="s">
        <v>676</v>
      </c>
      <c r="C426" s="19" t="s">
        <v>176</v>
      </c>
      <c r="D426" s="20" t="s">
        <v>547</v>
      </c>
      <c r="E426" s="21" t="s">
        <v>37</v>
      </c>
      <c r="F426" s="19" t="s">
        <v>8</v>
      </c>
      <c r="G426" s="23" t="s">
        <v>354</v>
      </c>
      <c r="H426" s="23">
        <v>190.0</v>
      </c>
      <c r="I426" s="23" t="s">
        <v>354</v>
      </c>
      <c r="J426" s="22" t="s">
        <v>354</v>
      </c>
      <c r="K426" s="22" t="s">
        <v>354</v>
      </c>
      <c r="L426" s="23">
        <v>0.0</v>
      </c>
      <c r="M426" s="22" t="s">
        <v>354</v>
      </c>
      <c r="N426" s="101" t="s">
        <v>17</v>
      </c>
      <c r="O426" s="101" t="s">
        <v>17</v>
      </c>
      <c r="P426" s="24" t="s">
        <v>178</v>
      </c>
      <c r="Q426" s="24" t="s">
        <v>177</v>
      </c>
      <c r="R426" s="19"/>
      <c r="S426" s="19"/>
      <c r="T426" s="19"/>
      <c r="U426" s="19"/>
      <c r="V426" s="19"/>
      <c r="W426" s="19"/>
      <c r="X426" s="19"/>
      <c r="Y426" s="19"/>
      <c r="Z426" s="19"/>
      <c r="AA426" s="19"/>
      <c r="AB426" s="23" t="s">
        <v>678</v>
      </c>
      <c r="AC426" s="19">
        <v>36621.0</v>
      </c>
      <c r="AD426" s="19"/>
      <c r="AE426" s="19"/>
      <c r="AF426" s="66">
        <v>30.88</v>
      </c>
      <c r="AG426" s="36" t="s">
        <v>365</v>
      </c>
      <c r="AH426" s="23" t="s">
        <v>366</v>
      </c>
      <c r="AI426" s="26" t="s">
        <v>357</v>
      </c>
      <c r="AJ426" s="19"/>
      <c r="AK426" s="19"/>
      <c r="AL426" s="59" t="s">
        <v>357</v>
      </c>
      <c r="AM426" s="38" t="s">
        <v>357</v>
      </c>
      <c r="AN426" s="75" t="s">
        <v>357</v>
      </c>
    </row>
    <row r="427">
      <c r="A427" s="95" t="s">
        <v>675</v>
      </c>
      <c r="B427" s="18" t="s">
        <v>676</v>
      </c>
      <c r="C427" s="19" t="s">
        <v>176</v>
      </c>
      <c r="D427" s="20" t="s">
        <v>547</v>
      </c>
      <c r="E427" s="33" t="s">
        <v>7</v>
      </c>
      <c r="F427" s="19" t="s">
        <v>8</v>
      </c>
      <c r="G427" s="23" t="s">
        <v>354</v>
      </c>
      <c r="H427" s="23">
        <v>205.0</v>
      </c>
      <c r="I427" s="23" t="s">
        <v>354</v>
      </c>
      <c r="J427" s="22" t="s">
        <v>354</v>
      </c>
      <c r="K427" s="22" t="s">
        <v>354</v>
      </c>
      <c r="L427" s="22">
        <v>0.0</v>
      </c>
      <c r="M427" s="22" t="s">
        <v>354</v>
      </c>
      <c r="N427" s="101" t="s">
        <v>17</v>
      </c>
      <c r="O427" s="101" t="s">
        <v>17</v>
      </c>
      <c r="P427" s="24" t="s">
        <v>178</v>
      </c>
      <c r="Q427" s="24" t="s">
        <v>177</v>
      </c>
      <c r="R427" s="24" t="s">
        <v>177</v>
      </c>
      <c r="S427" s="44" t="s">
        <v>373</v>
      </c>
      <c r="T427" s="19"/>
      <c r="U427" s="19"/>
      <c r="V427" s="19"/>
      <c r="W427" s="19"/>
      <c r="X427" s="19"/>
      <c r="Y427" s="19"/>
      <c r="Z427" s="19"/>
      <c r="AA427" s="19"/>
      <c r="AB427" s="22" t="s">
        <v>354</v>
      </c>
      <c r="AC427" s="19"/>
      <c r="AD427" s="19"/>
      <c r="AE427" s="19"/>
      <c r="AF427" s="66">
        <v>35.72</v>
      </c>
      <c r="AG427" s="36" t="s">
        <v>365</v>
      </c>
      <c r="AH427" s="23" t="s">
        <v>366</v>
      </c>
      <c r="AI427" s="26" t="s">
        <v>357</v>
      </c>
      <c r="AJ427" s="19"/>
      <c r="AK427" s="19"/>
      <c r="AL427" s="32" t="s">
        <v>361</v>
      </c>
      <c r="AM427" s="59" t="s">
        <v>357</v>
      </c>
      <c r="AN427" s="75" t="s">
        <v>357</v>
      </c>
    </row>
    <row r="428">
      <c r="A428" s="95" t="s">
        <v>675</v>
      </c>
      <c r="B428" s="18" t="s">
        <v>676</v>
      </c>
      <c r="C428" s="19" t="s">
        <v>176</v>
      </c>
      <c r="D428" s="20" t="s">
        <v>547</v>
      </c>
      <c r="E428" s="33" t="s">
        <v>7</v>
      </c>
      <c r="F428" s="19" t="s">
        <v>8</v>
      </c>
      <c r="G428" s="23" t="s">
        <v>354</v>
      </c>
      <c r="H428" s="23">
        <v>230.0</v>
      </c>
      <c r="I428" s="23" t="s">
        <v>354</v>
      </c>
      <c r="J428" s="22" t="s">
        <v>354</v>
      </c>
      <c r="K428" s="22" t="s">
        <v>354</v>
      </c>
      <c r="L428" s="22">
        <v>0.0</v>
      </c>
      <c r="M428" s="22" t="s">
        <v>354</v>
      </c>
      <c r="N428" s="101" t="s">
        <v>17</v>
      </c>
      <c r="O428" s="101" t="s">
        <v>17</v>
      </c>
      <c r="P428" s="24" t="s">
        <v>178</v>
      </c>
      <c r="Q428" s="24" t="s">
        <v>177</v>
      </c>
      <c r="R428" s="24" t="s">
        <v>177</v>
      </c>
      <c r="S428" s="44" t="s">
        <v>373</v>
      </c>
      <c r="T428" s="24" t="s">
        <v>177</v>
      </c>
      <c r="U428" s="19"/>
      <c r="V428" s="19"/>
      <c r="W428" s="19"/>
      <c r="X428" s="19"/>
      <c r="Y428" s="19"/>
      <c r="Z428" s="19"/>
      <c r="AA428" s="19"/>
      <c r="AB428" s="22" t="s">
        <v>354</v>
      </c>
      <c r="AC428" s="19"/>
      <c r="AD428" s="19"/>
      <c r="AE428" s="19"/>
      <c r="AF428" s="23">
        <v>0.0</v>
      </c>
      <c r="AG428" s="23" t="s">
        <v>354</v>
      </c>
      <c r="AH428" s="19"/>
      <c r="AI428" s="23" t="s">
        <v>354</v>
      </c>
      <c r="AJ428" s="19"/>
      <c r="AK428" s="19"/>
      <c r="AL428" s="82" t="s">
        <v>361</v>
      </c>
      <c r="AM428" s="59" t="s">
        <v>357</v>
      </c>
      <c r="AN428" s="59" t="s">
        <v>357</v>
      </c>
    </row>
    <row r="429">
      <c r="A429" s="95" t="s">
        <v>675</v>
      </c>
      <c r="B429" s="18" t="s">
        <v>676</v>
      </c>
      <c r="C429" s="19" t="s">
        <v>176</v>
      </c>
      <c r="D429" s="20" t="s">
        <v>547</v>
      </c>
      <c r="E429" s="33" t="s">
        <v>7</v>
      </c>
      <c r="F429" s="19" t="s">
        <v>8</v>
      </c>
      <c r="G429" s="23" t="s">
        <v>354</v>
      </c>
      <c r="H429" s="23">
        <v>215.0</v>
      </c>
      <c r="I429" s="23" t="s">
        <v>354</v>
      </c>
      <c r="J429" s="22" t="s">
        <v>354</v>
      </c>
      <c r="K429" s="22" t="s">
        <v>354</v>
      </c>
      <c r="L429" s="22">
        <v>0.0</v>
      </c>
      <c r="M429" s="22" t="s">
        <v>354</v>
      </c>
      <c r="N429" s="101" t="s">
        <v>17</v>
      </c>
      <c r="O429" s="101" t="s">
        <v>17</v>
      </c>
      <c r="P429" s="24" t="s">
        <v>178</v>
      </c>
      <c r="Q429" s="24" t="s">
        <v>177</v>
      </c>
      <c r="R429" s="24" t="s">
        <v>177</v>
      </c>
      <c r="S429" s="44" t="s">
        <v>373</v>
      </c>
      <c r="T429" s="24" t="s">
        <v>177</v>
      </c>
      <c r="U429" s="18" t="s">
        <v>174</v>
      </c>
      <c r="V429" s="19"/>
      <c r="W429" s="19"/>
      <c r="X429" s="19"/>
      <c r="Y429" s="19"/>
      <c r="Z429" s="19"/>
      <c r="AA429" s="19"/>
      <c r="AB429" s="23" t="s">
        <v>679</v>
      </c>
      <c r="AC429" s="176"/>
      <c r="AD429" s="176"/>
      <c r="AE429" s="176"/>
      <c r="AF429" s="23">
        <v>0.0</v>
      </c>
      <c r="AG429" s="36" t="s">
        <v>354</v>
      </c>
      <c r="AH429" s="23"/>
      <c r="AI429" s="23" t="s">
        <v>354</v>
      </c>
      <c r="AJ429" s="19"/>
      <c r="AK429" s="19"/>
      <c r="AL429" s="40" t="s">
        <v>357</v>
      </c>
      <c r="AM429" s="40" t="s">
        <v>357</v>
      </c>
      <c r="AN429" s="40" t="s">
        <v>357</v>
      </c>
    </row>
    <row r="430">
      <c r="A430" s="95" t="s">
        <v>675</v>
      </c>
      <c r="B430" s="18" t="s">
        <v>676</v>
      </c>
      <c r="C430" s="19" t="s">
        <v>176</v>
      </c>
      <c r="D430" s="20" t="s">
        <v>547</v>
      </c>
      <c r="E430" s="33" t="s">
        <v>7</v>
      </c>
      <c r="F430" s="19" t="s">
        <v>8</v>
      </c>
      <c r="G430" s="23" t="s">
        <v>354</v>
      </c>
      <c r="H430" s="23">
        <v>230.0</v>
      </c>
      <c r="I430" s="23" t="s">
        <v>354</v>
      </c>
      <c r="J430" s="22" t="s">
        <v>354</v>
      </c>
      <c r="K430" s="22" t="s">
        <v>354</v>
      </c>
      <c r="L430" s="22">
        <v>0.0</v>
      </c>
      <c r="M430" s="22" t="s">
        <v>354</v>
      </c>
      <c r="N430" s="101" t="s">
        <v>17</v>
      </c>
      <c r="O430" s="101" t="s">
        <v>17</v>
      </c>
      <c r="P430" s="24" t="s">
        <v>178</v>
      </c>
      <c r="Q430" s="24" t="s">
        <v>177</v>
      </c>
      <c r="R430" s="24" t="s">
        <v>177</v>
      </c>
      <c r="S430" s="44" t="s">
        <v>373</v>
      </c>
      <c r="T430" s="24" t="s">
        <v>177</v>
      </c>
      <c r="U430" s="18" t="s">
        <v>174</v>
      </c>
      <c r="V430" s="24" t="s">
        <v>177</v>
      </c>
      <c r="W430" s="19"/>
      <c r="X430" s="19"/>
      <c r="Y430" s="19"/>
      <c r="Z430" s="19"/>
      <c r="AA430" s="19"/>
      <c r="AB430" s="23" t="s">
        <v>354</v>
      </c>
      <c r="AC430" s="19"/>
      <c r="AD430" s="19"/>
      <c r="AE430" s="19"/>
      <c r="AF430" s="23">
        <v>0.0</v>
      </c>
      <c r="AG430" s="23" t="s">
        <v>354</v>
      </c>
      <c r="AH430" s="19"/>
      <c r="AI430" s="23" t="s">
        <v>354</v>
      </c>
      <c r="AJ430" s="19"/>
      <c r="AK430" s="19"/>
      <c r="AL430" s="19" t="s">
        <v>356</v>
      </c>
      <c r="AM430" s="19" t="s">
        <v>356</v>
      </c>
      <c r="AN430" s="19" t="s">
        <v>356</v>
      </c>
    </row>
    <row r="431">
      <c r="A431" s="95" t="s">
        <v>675</v>
      </c>
      <c r="B431" s="18" t="s">
        <v>676</v>
      </c>
      <c r="C431" s="19" t="s">
        <v>176</v>
      </c>
      <c r="D431" s="20" t="s">
        <v>547</v>
      </c>
      <c r="E431" s="33" t="s">
        <v>7</v>
      </c>
      <c r="F431" s="19" t="s">
        <v>8</v>
      </c>
      <c r="G431" s="23">
        <v>114.0</v>
      </c>
      <c r="H431" s="23">
        <v>222.0</v>
      </c>
      <c r="I431" s="23" t="s">
        <v>354</v>
      </c>
      <c r="J431" s="22" t="s">
        <v>354</v>
      </c>
      <c r="K431" s="22" t="s">
        <v>354</v>
      </c>
      <c r="L431" s="22">
        <v>0.0</v>
      </c>
      <c r="M431" s="22" t="s">
        <v>354</v>
      </c>
      <c r="N431" s="101" t="s">
        <v>17</v>
      </c>
      <c r="O431" s="101" t="s">
        <v>17</v>
      </c>
      <c r="P431" s="24" t="s">
        <v>178</v>
      </c>
      <c r="Q431" s="24" t="s">
        <v>177</v>
      </c>
      <c r="R431" s="24" t="s">
        <v>177</v>
      </c>
      <c r="S431" s="44" t="s">
        <v>373</v>
      </c>
      <c r="T431" s="24" t="s">
        <v>177</v>
      </c>
      <c r="U431" s="18" t="s">
        <v>174</v>
      </c>
      <c r="V431" s="24" t="s">
        <v>177</v>
      </c>
      <c r="W431" s="18" t="s">
        <v>680</v>
      </c>
      <c r="X431" s="23"/>
      <c r="Y431" s="23"/>
      <c r="Z431" s="23"/>
      <c r="AA431" s="19"/>
      <c r="AB431" s="158" t="s">
        <v>455</v>
      </c>
      <c r="AC431" s="19"/>
      <c r="AD431" s="19"/>
      <c r="AE431" s="19"/>
      <c r="AF431" s="23">
        <v>0.0</v>
      </c>
      <c r="AG431" s="23" t="s">
        <v>354</v>
      </c>
      <c r="AH431" s="19"/>
      <c r="AI431" s="23" t="s">
        <v>354</v>
      </c>
      <c r="AJ431" s="19"/>
      <c r="AK431" s="19"/>
      <c r="AL431" s="19" t="s">
        <v>356</v>
      </c>
      <c r="AM431" s="19" t="s">
        <v>356</v>
      </c>
      <c r="AN431" s="59" t="s">
        <v>357</v>
      </c>
    </row>
    <row r="432">
      <c r="A432" s="95" t="s">
        <v>675</v>
      </c>
      <c r="B432" s="18" t="s">
        <v>676</v>
      </c>
      <c r="C432" s="19" t="s">
        <v>176</v>
      </c>
      <c r="D432" s="20" t="s">
        <v>547</v>
      </c>
      <c r="E432" s="33" t="s">
        <v>7</v>
      </c>
      <c r="F432" s="19" t="s">
        <v>8</v>
      </c>
      <c r="G432" s="23" t="s">
        <v>354</v>
      </c>
      <c r="H432" s="23" t="s">
        <v>354</v>
      </c>
      <c r="I432" s="23" t="s">
        <v>354</v>
      </c>
      <c r="J432" s="22" t="s">
        <v>354</v>
      </c>
      <c r="K432" s="22" t="s">
        <v>354</v>
      </c>
      <c r="L432" s="78">
        <v>1.0</v>
      </c>
      <c r="M432" s="78" t="s">
        <v>681</v>
      </c>
      <c r="N432" s="101" t="s">
        <v>17</v>
      </c>
      <c r="O432" s="101" t="s">
        <v>17</v>
      </c>
      <c r="P432" s="24" t="s">
        <v>178</v>
      </c>
      <c r="Q432" s="24" t="s">
        <v>177</v>
      </c>
      <c r="R432" s="24" t="s">
        <v>177</v>
      </c>
      <c r="S432" s="44" t="s">
        <v>373</v>
      </c>
      <c r="T432" s="24" t="s">
        <v>177</v>
      </c>
      <c r="U432" s="18" t="s">
        <v>174</v>
      </c>
      <c r="V432" s="24" t="s">
        <v>177</v>
      </c>
      <c r="W432" s="18" t="s">
        <v>680</v>
      </c>
      <c r="X432" s="18">
        <v>5151.0</v>
      </c>
      <c r="Y432" s="23"/>
      <c r="Z432" s="23"/>
      <c r="AA432" s="19"/>
      <c r="AB432" s="158" t="s">
        <v>455</v>
      </c>
      <c r="AC432" s="19"/>
      <c r="AD432" s="19"/>
      <c r="AE432" s="19"/>
      <c r="AF432" s="23">
        <v>0.0</v>
      </c>
      <c r="AG432" s="23" t="s">
        <v>354</v>
      </c>
      <c r="AH432" s="19"/>
      <c r="AI432" s="23" t="s">
        <v>354</v>
      </c>
      <c r="AJ432" s="43"/>
      <c r="AK432" s="23"/>
      <c r="AL432" s="116" t="s">
        <v>407</v>
      </c>
      <c r="AM432" s="89" t="s">
        <v>356</v>
      </c>
      <c r="AN432" s="67" t="s">
        <v>356</v>
      </c>
    </row>
    <row r="433">
      <c r="A433" s="95" t="s">
        <v>675</v>
      </c>
      <c r="B433" s="18" t="s">
        <v>676</v>
      </c>
      <c r="C433" s="19" t="s">
        <v>176</v>
      </c>
      <c r="D433" s="20" t="s">
        <v>547</v>
      </c>
      <c r="E433" s="33" t="s">
        <v>7</v>
      </c>
      <c r="F433" s="19" t="s">
        <v>8</v>
      </c>
      <c r="G433" s="23" t="s">
        <v>354</v>
      </c>
      <c r="H433" s="23" t="s">
        <v>354</v>
      </c>
      <c r="I433" s="23" t="s">
        <v>354</v>
      </c>
      <c r="J433" s="22" t="s">
        <v>354</v>
      </c>
      <c r="K433" s="22" t="s">
        <v>354</v>
      </c>
      <c r="L433" s="78">
        <v>1.0</v>
      </c>
      <c r="M433" s="78" t="s">
        <v>681</v>
      </c>
      <c r="N433" s="101" t="s">
        <v>17</v>
      </c>
      <c r="O433" s="101" t="s">
        <v>17</v>
      </c>
      <c r="P433" s="24" t="s">
        <v>178</v>
      </c>
      <c r="Q433" s="24" t="s">
        <v>177</v>
      </c>
      <c r="R433" s="24" t="s">
        <v>177</v>
      </c>
      <c r="S433" s="44" t="s">
        <v>373</v>
      </c>
      <c r="T433" s="24" t="s">
        <v>177</v>
      </c>
      <c r="U433" s="18" t="s">
        <v>174</v>
      </c>
      <c r="V433" s="24" t="s">
        <v>177</v>
      </c>
      <c r="W433" s="18" t="s">
        <v>680</v>
      </c>
      <c r="X433" s="18">
        <v>5151.0</v>
      </c>
      <c r="Y433" s="18" t="s">
        <v>682</v>
      </c>
      <c r="Z433" s="23"/>
      <c r="AA433" s="19"/>
      <c r="AB433" s="158" t="s">
        <v>455</v>
      </c>
      <c r="AC433" s="19"/>
      <c r="AD433" s="19"/>
      <c r="AE433" s="19"/>
      <c r="AF433" s="23">
        <v>0.0</v>
      </c>
      <c r="AG433" s="23" t="s">
        <v>354</v>
      </c>
      <c r="AH433" s="19"/>
      <c r="AI433" s="23" t="s">
        <v>354</v>
      </c>
      <c r="AJ433" s="19"/>
      <c r="AK433" s="19"/>
      <c r="AL433" s="19" t="s">
        <v>356</v>
      </c>
      <c r="AM433" s="19" t="s">
        <v>356</v>
      </c>
      <c r="AN433" s="19" t="s">
        <v>356</v>
      </c>
    </row>
    <row r="434">
      <c r="A434" s="95" t="s">
        <v>675</v>
      </c>
      <c r="B434" s="18" t="s">
        <v>676</v>
      </c>
      <c r="C434" s="19" t="s">
        <v>176</v>
      </c>
      <c r="D434" s="20" t="s">
        <v>547</v>
      </c>
      <c r="E434" s="33" t="s">
        <v>7</v>
      </c>
      <c r="F434" s="19" t="s">
        <v>8</v>
      </c>
      <c r="G434" s="23" t="s">
        <v>354</v>
      </c>
      <c r="H434" s="23" t="s">
        <v>354</v>
      </c>
      <c r="I434" s="23" t="s">
        <v>354</v>
      </c>
      <c r="J434" s="22" t="s">
        <v>354</v>
      </c>
      <c r="K434" s="22" t="s">
        <v>354</v>
      </c>
      <c r="L434" s="78">
        <v>1.0</v>
      </c>
      <c r="M434" s="78" t="s">
        <v>681</v>
      </c>
      <c r="N434" s="101" t="s">
        <v>17</v>
      </c>
      <c r="O434" s="101" t="s">
        <v>17</v>
      </c>
      <c r="P434" s="24" t="s">
        <v>178</v>
      </c>
      <c r="Q434" s="24" t="s">
        <v>177</v>
      </c>
      <c r="R434" s="24" t="s">
        <v>177</v>
      </c>
      <c r="S434" s="44" t="s">
        <v>373</v>
      </c>
      <c r="T434" s="24" t="s">
        <v>177</v>
      </c>
      <c r="U434" s="18" t="s">
        <v>174</v>
      </c>
      <c r="V434" s="24" t="s">
        <v>177</v>
      </c>
      <c r="W434" s="18" t="s">
        <v>680</v>
      </c>
      <c r="X434" s="18">
        <v>5151.0</v>
      </c>
      <c r="Y434" s="18" t="s">
        <v>682</v>
      </c>
      <c r="Z434" s="18" t="s">
        <v>683</v>
      </c>
      <c r="AA434" s="19"/>
      <c r="AB434" s="158" t="s">
        <v>684</v>
      </c>
      <c r="AC434" s="19"/>
      <c r="AD434" s="19"/>
      <c r="AE434" s="19"/>
      <c r="AF434" s="23">
        <v>0.0</v>
      </c>
      <c r="AG434" s="23" t="s">
        <v>356</v>
      </c>
      <c r="AH434" s="19"/>
      <c r="AI434" s="23" t="s">
        <v>356</v>
      </c>
      <c r="AJ434" s="43" t="s">
        <v>361</v>
      </c>
      <c r="AK434" s="43" t="s">
        <v>361</v>
      </c>
      <c r="AL434" s="32" t="s">
        <v>361</v>
      </c>
      <c r="AM434" s="19" t="s">
        <v>356</v>
      </c>
      <c r="AN434" s="31" t="s">
        <v>356</v>
      </c>
    </row>
    <row r="435">
      <c r="A435" s="95" t="s">
        <v>675</v>
      </c>
      <c r="B435" s="18" t="s">
        <v>676</v>
      </c>
      <c r="C435" s="19" t="s">
        <v>176</v>
      </c>
      <c r="D435" s="20" t="s">
        <v>547</v>
      </c>
      <c r="E435" s="33" t="s">
        <v>7</v>
      </c>
      <c r="F435" s="19" t="s">
        <v>8</v>
      </c>
      <c r="G435" s="23" t="s">
        <v>354</v>
      </c>
      <c r="H435" s="23" t="s">
        <v>354</v>
      </c>
      <c r="I435" s="23" t="s">
        <v>354</v>
      </c>
      <c r="J435" s="22" t="s">
        <v>354</v>
      </c>
      <c r="K435" s="22" t="s">
        <v>354</v>
      </c>
      <c r="L435" s="78">
        <v>1.0</v>
      </c>
      <c r="M435" s="78" t="s">
        <v>681</v>
      </c>
      <c r="N435" s="101" t="s">
        <v>17</v>
      </c>
      <c r="O435" s="101" t="s">
        <v>17</v>
      </c>
      <c r="P435" s="24" t="s">
        <v>178</v>
      </c>
      <c r="Q435" s="24" t="s">
        <v>177</v>
      </c>
      <c r="R435" s="24" t="s">
        <v>177</v>
      </c>
      <c r="S435" s="44" t="s">
        <v>373</v>
      </c>
      <c r="T435" s="24" t="s">
        <v>177</v>
      </c>
      <c r="U435" s="18" t="s">
        <v>174</v>
      </c>
      <c r="V435" s="24" t="s">
        <v>177</v>
      </c>
      <c r="W435" s="18" t="s">
        <v>680</v>
      </c>
      <c r="X435" s="18">
        <v>5151.0</v>
      </c>
      <c r="Y435" s="18" t="s">
        <v>682</v>
      </c>
      <c r="Z435" s="18" t="s">
        <v>683</v>
      </c>
      <c r="AA435" s="18" t="s">
        <v>682</v>
      </c>
      <c r="AB435" s="158" t="s">
        <v>455</v>
      </c>
      <c r="AC435" s="19"/>
      <c r="AD435" s="19"/>
      <c r="AE435" s="19"/>
      <c r="AF435" s="23">
        <v>0.0</v>
      </c>
      <c r="AG435" s="23" t="s">
        <v>354</v>
      </c>
      <c r="AH435" s="19"/>
      <c r="AI435" s="23" t="s">
        <v>354</v>
      </c>
      <c r="AJ435" s="19"/>
      <c r="AK435" s="19"/>
      <c r="AL435" s="19" t="s">
        <v>356</v>
      </c>
      <c r="AM435" s="19" t="s">
        <v>356</v>
      </c>
      <c r="AN435" s="19" t="s">
        <v>356</v>
      </c>
    </row>
    <row r="436">
      <c r="A436" s="45" t="s">
        <v>180</v>
      </c>
      <c r="B436" s="18" t="s">
        <v>685</v>
      </c>
      <c r="C436" s="46" t="s">
        <v>179</v>
      </c>
      <c r="D436" s="47" t="s">
        <v>547</v>
      </c>
      <c r="E436" s="48" t="s">
        <v>7</v>
      </c>
      <c r="F436" s="46" t="s">
        <v>8</v>
      </c>
      <c r="G436" s="49">
        <v>116.0</v>
      </c>
      <c r="H436" s="49">
        <v>260.0</v>
      </c>
      <c r="I436" s="57" t="s">
        <v>354</v>
      </c>
      <c r="J436" s="57" t="s">
        <v>354</v>
      </c>
      <c r="K436" s="57" t="s">
        <v>354</v>
      </c>
      <c r="L436" s="49">
        <v>0.0</v>
      </c>
      <c r="M436" s="57" t="s">
        <v>354</v>
      </c>
      <c r="N436" s="101" t="s">
        <v>17</v>
      </c>
      <c r="O436" s="101" t="s">
        <v>17</v>
      </c>
      <c r="P436" s="24" t="s">
        <v>181</v>
      </c>
      <c r="Q436" s="46"/>
      <c r="R436" s="46"/>
      <c r="S436" s="46"/>
      <c r="T436" s="46"/>
      <c r="U436" s="46"/>
      <c r="V436" s="46"/>
      <c r="W436" s="46"/>
      <c r="X436" s="46"/>
      <c r="Y436" s="46"/>
      <c r="Z436" s="46"/>
      <c r="AA436" s="46"/>
      <c r="AB436" s="57" t="s">
        <v>354</v>
      </c>
      <c r="AC436" s="46">
        <v>36344.0</v>
      </c>
      <c r="AD436" s="46"/>
      <c r="AE436" s="46"/>
      <c r="AF436" s="55">
        <v>28.89</v>
      </c>
      <c r="AG436" s="56" t="s">
        <v>365</v>
      </c>
      <c r="AH436" s="49" t="s">
        <v>686</v>
      </c>
      <c r="AI436" s="87" t="s">
        <v>413</v>
      </c>
      <c r="AJ436" s="46"/>
      <c r="AK436" s="46"/>
      <c r="AL436" s="87" t="s">
        <v>413</v>
      </c>
      <c r="AM436" s="87" t="s">
        <v>413</v>
      </c>
      <c r="AN436" s="87" t="s">
        <v>413</v>
      </c>
    </row>
    <row r="437">
      <c r="A437" s="45" t="s">
        <v>180</v>
      </c>
      <c r="B437" s="18" t="s">
        <v>685</v>
      </c>
      <c r="C437" s="46" t="s">
        <v>179</v>
      </c>
      <c r="D437" s="47" t="s">
        <v>547</v>
      </c>
      <c r="E437" s="48" t="s">
        <v>7</v>
      </c>
      <c r="F437" s="46" t="s">
        <v>8</v>
      </c>
      <c r="G437" s="57" t="s">
        <v>354</v>
      </c>
      <c r="H437" s="49">
        <v>215.0</v>
      </c>
      <c r="I437" s="57" t="s">
        <v>354</v>
      </c>
      <c r="J437" s="57" t="s">
        <v>354</v>
      </c>
      <c r="K437" s="57" t="s">
        <v>354</v>
      </c>
      <c r="L437" s="49">
        <v>0.0</v>
      </c>
      <c r="M437" s="57" t="s">
        <v>354</v>
      </c>
      <c r="N437" s="101" t="s">
        <v>17</v>
      </c>
      <c r="O437" s="101" t="s">
        <v>17</v>
      </c>
      <c r="P437" s="24" t="s">
        <v>181</v>
      </c>
      <c r="Q437" s="24" t="s">
        <v>180</v>
      </c>
      <c r="R437" s="46"/>
      <c r="S437" s="46"/>
      <c r="T437" s="46"/>
      <c r="U437" s="46"/>
      <c r="V437" s="46"/>
      <c r="W437" s="46"/>
      <c r="X437" s="46"/>
      <c r="Y437" s="46"/>
      <c r="Z437" s="46"/>
      <c r="AA437" s="46"/>
      <c r="AB437" s="57" t="s">
        <v>354</v>
      </c>
      <c r="AC437" s="46">
        <v>36622.0</v>
      </c>
      <c r="AD437" s="46"/>
      <c r="AE437" s="46"/>
      <c r="AF437" s="55">
        <v>32.43</v>
      </c>
      <c r="AG437" s="56" t="s">
        <v>365</v>
      </c>
      <c r="AH437" s="49" t="s">
        <v>687</v>
      </c>
      <c r="AI437" s="58" t="s">
        <v>380</v>
      </c>
      <c r="AJ437" s="46"/>
      <c r="AK437" s="46"/>
      <c r="AL437" s="87" t="s">
        <v>413</v>
      </c>
      <c r="AM437" s="87" t="s">
        <v>413</v>
      </c>
      <c r="AN437" s="53" t="s">
        <v>361</v>
      </c>
    </row>
    <row r="438">
      <c r="A438" s="45" t="s">
        <v>180</v>
      </c>
      <c r="B438" s="18" t="s">
        <v>685</v>
      </c>
      <c r="C438" s="46" t="s">
        <v>179</v>
      </c>
      <c r="D438" s="47" t="s">
        <v>547</v>
      </c>
      <c r="E438" s="48" t="s">
        <v>7</v>
      </c>
      <c r="F438" s="46" t="s">
        <v>8</v>
      </c>
      <c r="G438" s="57" t="s">
        <v>354</v>
      </c>
      <c r="H438" s="49">
        <v>245.0</v>
      </c>
      <c r="I438" s="57" t="s">
        <v>354</v>
      </c>
      <c r="J438" s="57" t="s">
        <v>354</v>
      </c>
      <c r="K438" s="57" t="s">
        <v>354</v>
      </c>
      <c r="L438" s="57">
        <v>0.0</v>
      </c>
      <c r="M438" s="57" t="s">
        <v>354</v>
      </c>
      <c r="N438" s="101" t="s">
        <v>17</v>
      </c>
      <c r="O438" s="101" t="s">
        <v>17</v>
      </c>
      <c r="P438" s="24" t="s">
        <v>181</v>
      </c>
      <c r="Q438" s="24" t="s">
        <v>180</v>
      </c>
      <c r="R438" s="24" t="s">
        <v>180</v>
      </c>
      <c r="S438" s="46"/>
      <c r="T438" s="46"/>
      <c r="U438" s="46"/>
      <c r="V438" s="46"/>
      <c r="W438" s="46"/>
      <c r="X438" s="46"/>
      <c r="Y438" s="46"/>
      <c r="Z438" s="46"/>
      <c r="AA438" s="46"/>
      <c r="AB438" s="57" t="s">
        <v>354</v>
      </c>
      <c r="AC438" s="46"/>
      <c r="AD438" s="46"/>
      <c r="AE438" s="46"/>
      <c r="AF438" s="55">
        <v>31.16</v>
      </c>
      <c r="AG438" s="56" t="s">
        <v>365</v>
      </c>
      <c r="AH438" s="49" t="s">
        <v>433</v>
      </c>
      <c r="AI438" s="35" t="s">
        <v>363</v>
      </c>
      <c r="AJ438" s="46"/>
      <c r="AK438" s="46"/>
      <c r="AL438" s="112" t="s">
        <v>363</v>
      </c>
      <c r="AM438" s="59" t="s">
        <v>357</v>
      </c>
      <c r="AN438" s="37" t="s">
        <v>363</v>
      </c>
    </row>
    <row r="439">
      <c r="A439" s="45" t="s">
        <v>180</v>
      </c>
      <c r="B439" s="18" t="s">
        <v>685</v>
      </c>
      <c r="C439" s="46" t="s">
        <v>179</v>
      </c>
      <c r="D439" s="47" t="s">
        <v>547</v>
      </c>
      <c r="E439" s="48" t="s">
        <v>7</v>
      </c>
      <c r="F439" s="46" t="s">
        <v>8</v>
      </c>
      <c r="G439" s="57" t="s">
        <v>354</v>
      </c>
      <c r="H439" s="49">
        <v>255.0</v>
      </c>
      <c r="I439" s="57" t="s">
        <v>354</v>
      </c>
      <c r="J439" s="57" t="s">
        <v>354</v>
      </c>
      <c r="K439" s="57" t="s">
        <v>354</v>
      </c>
      <c r="L439" s="57">
        <v>0.0</v>
      </c>
      <c r="M439" s="57" t="s">
        <v>354</v>
      </c>
      <c r="N439" s="101" t="s">
        <v>17</v>
      </c>
      <c r="O439" s="101" t="s">
        <v>17</v>
      </c>
      <c r="P439" s="24" t="s">
        <v>181</v>
      </c>
      <c r="Q439" s="24" t="s">
        <v>180</v>
      </c>
      <c r="R439" s="24" t="s">
        <v>180</v>
      </c>
      <c r="S439" s="24" t="s">
        <v>180</v>
      </c>
      <c r="T439" s="46"/>
      <c r="U439" s="46"/>
      <c r="V439" s="46"/>
      <c r="W439" s="46"/>
      <c r="X439" s="46"/>
      <c r="Y439" s="46"/>
      <c r="Z439" s="46"/>
      <c r="AA439" s="46"/>
      <c r="AB439" s="57" t="s">
        <v>354</v>
      </c>
      <c r="AC439" s="46"/>
      <c r="AD439" s="46"/>
      <c r="AE439" s="46"/>
      <c r="AF439" s="56">
        <v>30.72</v>
      </c>
      <c r="AG439" s="63" t="s">
        <v>354</v>
      </c>
      <c r="AH439" s="63"/>
      <c r="AI439" s="63" t="s">
        <v>354</v>
      </c>
      <c r="AJ439" s="46"/>
      <c r="AK439" s="46"/>
      <c r="AL439" s="40" t="s">
        <v>357</v>
      </c>
      <c r="AM439" s="40" t="s">
        <v>357</v>
      </c>
      <c r="AN439" s="40" t="s">
        <v>357</v>
      </c>
    </row>
    <row r="440">
      <c r="A440" s="45" t="s">
        <v>180</v>
      </c>
      <c r="B440" s="18" t="s">
        <v>685</v>
      </c>
      <c r="C440" s="176" t="s">
        <v>188</v>
      </c>
      <c r="D440" s="47" t="s">
        <v>547</v>
      </c>
      <c r="E440" s="48" t="s">
        <v>7</v>
      </c>
      <c r="F440" s="46" t="s">
        <v>8</v>
      </c>
      <c r="G440" s="57" t="s">
        <v>354</v>
      </c>
      <c r="H440" s="49">
        <v>205.0</v>
      </c>
      <c r="I440" s="57" t="s">
        <v>354</v>
      </c>
      <c r="J440" s="57" t="s">
        <v>354</v>
      </c>
      <c r="K440" s="57" t="s">
        <v>354</v>
      </c>
      <c r="L440" s="57">
        <v>0.0</v>
      </c>
      <c r="M440" s="57" t="s">
        <v>354</v>
      </c>
      <c r="N440" s="101" t="s">
        <v>17</v>
      </c>
      <c r="O440" s="101" t="s">
        <v>17</v>
      </c>
      <c r="P440" s="24" t="s">
        <v>181</v>
      </c>
      <c r="Q440" s="24" t="s">
        <v>180</v>
      </c>
      <c r="R440" s="24" t="s">
        <v>180</v>
      </c>
      <c r="S440" s="24" t="s">
        <v>180</v>
      </c>
      <c r="T440" s="18" t="s">
        <v>189</v>
      </c>
      <c r="U440" s="46"/>
      <c r="V440" s="177"/>
      <c r="W440" s="177"/>
      <c r="X440" s="177"/>
      <c r="Y440" s="177"/>
      <c r="Z440" s="177"/>
      <c r="AA440" s="177"/>
      <c r="AB440" s="49" t="s">
        <v>688</v>
      </c>
      <c r="AC440" s="176"/>
      <c r="AD440" s="176"/>
      <c r="AE440" s="176"/>
      <c r="AF440" s="56">
        <v>29.62</v>
      </c>
      <c r="AG440" s="63" t="s">
        <v>354</v>
      </c>
      <c r="AH440" s="48"/>
      <c r="AI440" s="63" t="s">
        <v>354</v>
      </c>
      <c r="AJ440" s="46"/>
      <c r="AK440" s="46"/>
      <c r="AL440" s="40" t="s">
        <v>357</v>
      </c>
      <c r="AM440" s="40" t="s">
        <v>357</v>
      </c>
      <c r="AN440" s="40" t="s">
        <v>357</v>
      </c>
    </row>
    <row r="441">
      <c r="A441" s="45" t="s">
        <v>180</v>
      </c>
      <c r="B441" s="18" t="s">
        <v>685</v>
      </c>
      <c r="C441" s="46" t="s">
        <v>179</v>
      </c>
      <c r="D441" s="47" t="s">
        <v>547</v>
      </c>
      <c r="E441" s="48" t="s">
        <v>7</v>
      </c>
      <c r="F441" s="46" t="s">
        <v>8</v>
      </c>
      <c r="G441" s="57" t="s">
        <v>354</v>
      </c>
      <c r="H441" s="157">
        <v>230.0</v>
      </c>
      <c r="I441" s="57" t="s">
        <v>354</v>
      </c>
      <c r="J441" s="57" t="s">
        <v>354</v>
      </c>
      <c r="K441" s="57" t="s">
        <v>354</v>
      </c>
      <c r="L441" s="57">
        <v>0.0</v>
      </c>
      <c r="M441" s="57" t="s">
        <v>354</v>
      </c>
      <c r="N441" s="101" t="s">
        <v>17</v>
      </c>
      <c r="O441" s="101" t="s">
        <v>17</v>
      </c>
      <c r="P441" s="24" t="s">
        <v>181</v>
      </c>
      <c r="Q441" s="24" t="s">
        <v>180</v>
      </c>
      <c r="R441" s="24" t="s">
        <v>180</v>
      </c>
      <c r="S441" s="24" t="s">
        <v>180</v>
      </c>
      <c r="T441" s="18" t="s">
        <v>189</v>
      </c>
      <c r="U441" s="24" t="s">
        <v>180</v>
      </c>
      <c r="V441" s="46"/>
      <c r="W441" s="46"/>
      <c r="X441" s="46"/>
      <c r="Y441" s="46"/>
      <c r="Z441" s="46"/>
      <c r="AA441" s="46"/>
      <c r="AB441" s="178" t="s">
        <v>611</v>
      </c>
      <c r="AC441" s="46"/>
      <c r="AD441" s="46"/>
      <c r="AE441" s="46"/>
      <c r="AF441" s="77">
        <v>44.44</v>
      </c>
      <c r="AG441" s="63" t="s">
        <v>354</v>
      </c>
      <c r="AH441" s="46"/>
      <c r="AI441" s="63" t="s">
        <v>354</v>
      </c>
      <c r="AJ441" s="46"/>
      <c r="AK441" s="46"/>
      <c r="AL441" s="40" t="s">
        <v>357</v>
      </c>
      <c r="AM441" s="40" t="s">
        <v>357</v>
      </c>
      <c r="AN441" s="40" t="s">
        <v>357</v>
      </c>
    </row>
    <row r="442">
      <c r="A442" s="45" t="s">
        <v>180</v>
      </c>
      <c r="B442" s="18" t="s">
        <v>685</v>
      </c>
      <c r="C442" s="46" t="s">
        <v>179</v>
      </c>
      <c r="D442" s="47" t="s">
        <v>547</v>
      </c>
      <c r="E442" s="48" t="s">
        <v>7</v>
      </c>
      <c r="F442" s="46" t="s">
        <v>8</v>
      </c>
      <c r="G442" s="57" t="s">
        <v>354</v>
      </c>
      <c r="H442" s="49">
        <v>255.0</v>
      </c>
      <c r="I442" s="57" t="s">
        <v>354</v>
      </c>
      <c r="J442" s="57" t="s">
        <v>354</v>
      </c>
      <c r="K442" s="57" t="s">
        <v>354</v>
      </c>
      <c r="L442" s="57">
        <v>0.0</v>
      </c>
      <c r="M442" s="57" t="s">
        <v>354</v>
      </c>
      <c r="N442" s="101" t="s">
        <v>17</v>
      </c>
      <c r="O442" s="101" t="s">
        <v>17</v>
      </c>
      <c r="P442" s="24" t="s">
        <v>181</v>
      </c>
      <c r="Q442" s="24" t="s">
        <v>180</v>
      </c>
      <c r="R442" s="24" t="s">
        <v>180</v>
      </c>
      <c r="S442" s="24" t="s">
        <v>180</v>
      </c>
      <c r="T442" s="18" t="s">
        <v>189</v>
      </c>
      <c r="U442" s="24" t="s">
        <v>180</v>
      </c>
      <c r="V442" s="24" t="s">
        <v>180</v>
      </c>
      <c r="W442" s="46"/>
      <c r="X442" s="46"/>
      <c r="Y442" s="46"/>
      <c r="Z442" s="46"/>
      <c r="AA442" s="46"/>
      <c r="AB442" s="49" t="s">
        <v>354</v>
      </c>
      <c r="AC442" s="46"/>
      <c r="AD442" s="46"/>
      <c r="AE442" s="46"/>
      <c r="AF442" s="63">
        <v>0.0</v>
      </c>
      <c r="AG442" s="63" t="s">
        <v>354</v>
      </c>
      <c r="AH442" s="48"/>
      <c r="AI442" s="63" t="s">
        <v>354</v>
      </c>
      <c r="AJ442" s="46"/>
      <c r="AK442" s="46"/>
      <c r="AL442" s="59" t="s">
        <v>357</v>
      </c>
      <c r="AM442" s="59" t="s">
        <v>357</v>
      </c>
      <c r="AN442" s="59" t="s">
        <v>357</v>
      </c>
    </row>
    <row r="443">
      <c r="A443" s="45" t="s">
        <v>180</v>
      </c>
      <c r="B443" s="18" t="s">
        <v>685</v>
      </c>
      <c r="C443" s="46" t="s">
        <v>179</v>
      </c>
      <c r="D443" s="47" t="s">
        <v>547</v>
      </c>
      <c r="E443" s="48" t="s">
        <v>7</v>
      </c>
      <c r="F443" s="46" t="s">
        <v>8</v>
      </c>
      <c r="G443" s="49">
        <v>118.0</v>
      </c>
      <c r="H443" s="49">
        <v>285.0</v>
      </c>
      <c r="I443" s="57" t="s">
        <v>354</v>
      </c>
      <c r="J443" s="57" t="s">
        <v>354</v>
      </c>
      <c r="K443" s="57" t="s">
        <v>354</v>
      </c>
      <c r="L443" s="57">
        <v>0.0</v>
      </c>
      <c r="M443" s="57" t="s">
        <v>354</v>
      </c>
      <c r="N443" s="101" t="s">
        <v>17</v>
      </c>
      <c r="O443" s="101" t="s">
        <v>17</v>
      </c>
      <c r="P443" s="24" t="s">
        <v>181</v>
      </c>
      <c r="Q443" s="24" t="s">
        <v>180</v>
      </c>
      <c r="R443" s="24" t="s">
        <v>180</v>
      </c>
      <c r="S443" s="24" t="s">
        <v>180</v>
      </c>
      <c r="T443" s="18" t="s">
        <v>189</v>
      </c>
      <c r="U443" s="24" t="s">
        <v>180</v>
      </c>
      <c r="V443" s="24" t="s">
        <v>180</v>
      </c>
      <c r="W443" s="18" t="s">
        <v>689</v>
      </c>
      <c r="X443" s="46"/>
      <c r="Y443" s="46"/>
      <c r="Z443" s="46"/>
      <c r="AA443" s="46"/>
      <c r="AB443" s="179" t="s">
        <v>690</v>
      </c>
      <c r="AC443" s="46"/>
      <c r="AD443" s="46"/>
      <c r="AE443" s="46"/>
      <c r="AF443" s="63">
        <v>0.0</v>
      </c>
      <c r="AG443" s="63" t="s">
        <v>354</v>
      </c>
      <c r="AH443" s="48"/>
      <c r="AI443" s="63" t="s">
        <v>354</v>
      </c>
      <c r="AJ443" s="46"/>
      <c r="AK443" s="46"/>
      <c r="AL443" s="46" t="s">
        <v>356</v>
      </c>
      <c r="AM443" s="46" t="s">
        <v>356</v>
      </c>
      <c r="AN443" s="53" t="s">
        <v>361</v>
      </c>
    </row>
    <row r="444">
      <c r="A444" s="45" t="s">
        <v>180</v>
      </c>
      <c r="B444" s="18" t="s">
        <v>685</v>
      </c>
      <c r="C444" s="46" t="s">
        <v>179</v>
      </c>
      <c r="D444" s="47" t="s">
        <v>547</v>
      </c>
      <c r="E444" s="48" t="s">
        <v>7</v>
      </c>
      <c r="F444" s="46" t="s">
        <v>8</v>
      </c>
      <c r="G444" s="57" t="s">
        <v>354</v>
      </c>
      <c r="H444" s="57" t="s">
        <v>354</v>
      </c>
      <c r="I444" s="57" t="s">
        <v>354</v>
      </c>
      <c r="J444" s="57" t="s">
        <v>354</v>
      </c>
      <c r="K444" s="57" t="s">
        <v>354</v>
      </c>
      <c r="L444" s="61">
        <v>1.0</v>
      </c>
      <c r="M444" s="61" t="s">
        <v>354</v>
      </c>
      <c r="N444" s="101" t="s">
        <v>17</v>
      </c>
      <c r="O444" s="101" t="s">
        <v>17</v>
      </c>
      <c r="P444" s="24" t="s">
        <v>181</v>
      </c>
      <c r="Q444" s="24" t="s">
        <v>180</v>
      </c>
      <c r="R444" s="24" t="s">
        <v>180</v>
      </c>
      <c r="S444" s="24" t="s">
        <v>180</v>
      </c>
      <c r="T444" s="18" t="s">
        <v>189</v>
      </c>
      <c r="U444" s="24" t="s">
        <v>180</v>
      </c>
      <c r="V444" s="24" t="s">
        <v>180</v>
      </c>
      <c r="W444" s="18" t="s">
        <v>689</v>
      </c>
      <c r="X444" s="83" t="s">
        <v>180</v>
      </c>
      <c r="Y444" s="49"/>
      <c r="Z444" s="49"/>
      <c r="AA444" s="46"/>
      <c r="AB444" s="179" t="s">
        <v>690</v>
      </c>
      <c r="AC444" s="46"/>
      <c r="AD444" s="46"/>
      <c r="AE444" s="46"/>
      <c r="AF444" s="63">
        <v>0.0</v>
      </c>
      <c r="AG444" s="63" t="s">
        <v>354</v>
      </c>
      <c r="AH444" s="48"/>
      <c r="AI444" s="63" t="s">
        <v>354</v>
      </c>
      <c r="AJ444" s="46"/>
      <c r="AK444" s="46"/>
      <c r="AL444" s="75" t="s">
        <v>357</v>
      </c>
      <c r="AM444" s="119" t="s">
        <v>413</v>
      </c>
      <c r="AN444" s="180" t="s">
        <v>691</v>
      </c>
    </row>
    <row r="445">
      <c r="A445" s="45" t="s">
        <v>180</v>
      </c>
      <c r="B445" s="18" t="s">
        <v>685</v>
      </c>
      <c r="C445" s="46" t="s">
        <v>179</v>
      </c>
      <c r="D445" s="47" t="s">
        <v>547</v>
      </c>
      <c r="E445" s="48" t="s">
        <v>7</v>
      </c>
      <c r="F445" s="46" t="s">
        <v>8</v>
      </c>
      <c r="G445" s="57" t="s">
        <v>354</v>
      </c>
      <c r="H445" s="57" t="s">
        <v>354</v>
      </c>
      <c r="I445" s="57" t="s">
        <v>354</v>
      </c>
      <c r="J445" s="57" t="s">
        <v>354</v>
      </c>
      <c r="K445" s="57" t="s">
        <v>354</v>
      </c>
      <c r="L445" s="61">
        <v>1.0</v>
      </c>
      <c r="M445" s="61" t="s">
        <v>354</v>
      </c>
      <c r="N445" s="101" t="s">
        <v>17</v>
      </c>
      <c r="O445" s="101" t="s">
        <v>17</v>
      </c>
      <c r="P445" s="24" t="s">
        <v>181</v>
      </c>
      <c r="Q445" s="24" t="s">
        <v>180</v>
      </c>
      <c r="R445" s="24" t="s">
        <v>180</v>
      </c>
      <c r="S445" s="24" t="s">
        <v>180</v>
      </c>
      <c r="T445" s="18" t="s">
        <v>189</v>
      </c>
      <c r="U445" s="24" t="s">
        <v>180</v>
      </c>
      <c r="V445" s="24" t="s">
        <v>180</v>
      </c>
      <c r="W445" s="18" t="s">
        <v>689</v>
      </c>
      <c r="X445" s="83" t="s">
        <v>180</v>
      </c>
      <c r="Y445" s="83" t="s">
        <v>180</v>
      </c>
      <c r="Z445" s="49"/>
      <c r="AA445" s="46"/>
      <c r="AB445" s="179" t="s">
        <v>690</v>
      </c>
      <c r="AC445" s="46"/>
      <c r="AD445" s="46"/>
      <c r="AE445" s="46"/>
      <c r="AF445" s="154">
        <v>32.8188609316904</v>
      </c>
      <c r="AG445" s="63" t="s">
        <v>354</v>
      </c>
      <c r="AH445" s="48"/>
      <c r="AI445" s="63" t="s">
        <v>354</v>
      </c>
      <c r="AJ445" s="46"/>
      <c r="AK445" s="46"/>
      <c r="AL445" s="91" t="s">
        <v>413</v>
      </c>
      <c r="AM445" s="59" t="s">
        <v>357</v>
      </c>
      <c r="AN445" s="115" t="s">
        <v>358</v>
      </c>
    </row>
    <row r="446">
      <c r="A446" s="45" t="s">
        <v>180</v>
      </c>
      <c r="B446" s="18" t="s">
        <v>685</v>
      </c>
      <c r="C446" s="46" t="s">
        <v>179</v>
      </c>
      <c r="D446" s="47" t="s">
        <v>547</v>
      </c>
      <c r="E446" s="48" t="s">
        <v>7</v>
      </c>
      <c r="F446" s="46" t="s">
        <v>8</v>
      </c>
      <c r="G446" s="57" t="s">
        <v>354</v>
      </c>
      <c r="H446" s="57" t="s">
        <v>354</v>
      </c>
      <c r="I446" s="57" t="s">
        <v>354</v>
      </c>
      <c r="J446" s="57" t="s">
        <v>354</v>
      </c>
      <c r="K446" s="57" t="s">
        <v>354</v>
      </c>
      <c r="L446" s="61">
        <v>1.0</v>
      </c>
      <c r="M446" s="61" t="s">
        <v>354</v>
      </c>
      <c r="N446" s="101" t="s">
        <v>17</v>
      </c>
      <c r="O446" s="101" t="s">
        <v>17</v>
      </c>
      <c r="P446" s="24" t="s">
        <v>181</v>
      </c>
      <c r="Q446" s="24" t="s">
        <v>180</v>
      </c>
      <c r="R446" s="24" t="s">
        <v>180</v>
      </c>
      <c r="S446" s="24" t="s">
        <v>180</v>
      </c>
      <c r="T446" s="18" t="s">
        <v>189</v>
      </c>
      <c r="U446" s="24" t="s">
        <v>180</v>
      </c>
      <c r="V446" s="24" t="s">
        <v>180</v>
      </c>
      <c r="W446" s="18" t="s">
        <v>689</v>
      </c>
      <c r="X446" s="83" t="s">
        <v>180</v>
      </c>
      <c r="Y446" s="83" t="s">
        <v>180</v>
      </c>
      <c r="Z446" s="18" t="s">
        <v>692</v>
      </c>
      <c r="AA446" s="46"/>
      <c r="AB446" s="179" t="s">
        <v>690</v>
      </c>
      <c r="AC446" s="46"/>
      <c r="AD446" s="46"/>
      <c r="AE446" s="46"/>
      <c r="AF446" s="63">
        <v>0.0</v>
      </c>
      <c r="AG446" s="56" t="s">
        <v>365</v>
      </c>
      <c r="AH446" s="46"/>
      <c r="AI446" s="51" t="s">
        <v>358</v>
      </c>
      <c r="AJ446" s="51" t="s">
        <v>358</v>
      </c>
      <c r="AK446" s="51" t="s">
        <v>358</v>
      </c>
      <c r="AL446" s="59" t="s">
        <v>357</v>
      </c>
      <c r="AM446" s="53" t="s">
        <v>361</v>
      </c>
      <c r="AN446" s="115" t="s">
        <v>358</v>
      </c>
    </row>
    <row r="447">
      <c r="A447" s="45" t="s">
        <v>180</v>
      </c>
      <c r="B447" s="18" t="s">
        <v>685</v>
      </c>
      <c r="C447" s="46" t="s">
        <v>179</v>
      </c>
      <c r="D447" s="47" t="s">
        <v>547</v>
      </c>
      <c r="E447" s="48" t="s">
        <v>7</v>
      </c>
      <c r="F447" s="46" t="s">
        <v>8</v>
      </c>
      <c r="G447" s="57" t="s">
        <v>354</v>
      </c>
      <c r="H447" s="57" t="s">
        <v>354</v>
      </c>
      <c r="I447" s="57" t="s">
        <v>354</v>
      </c>
      <c r="J447" s="57" t="s">
        <v>354</v>
      </c>
      <c r="K447" s="57" t="s">
        <v>354</v>
      </c>
      <c r="L447" s="61">
        <v>1.0</v>
      </c>
      <c r="M447" s="61" t="s">
        <v>354</v>
      </c>
      <c r="N447" s="101" t="s">
        <v>17</v>
      </c>
      <c r="O447" s="101" t="s">
        <v>17</v>
      </c>
      <c r="P447" s="24" t="s">
        <v>181</v>
      </c>
      <c r="Q447" s="24" t="s">
        <v>180</v>
      </c>
      <c r="R447" s="24" t="s">
        <v>180</v>
      </c>
      <c r="S447" s="24" t="s">
        <v>180</v>
      </c>
      <c r="T447" s="18" t="s">
        <v>189</v>
      </c>
      <c r="U447" s="24" t="s">
        <v>180</v>
      </c>
      <c r="V447" s="24" t="s">
        <v>180</v>
      </c>
      <c r="W447" s="18" t="s">
        <v>689</v>
      </c>
      <c r="X447" s="83" t="s">
        <v>180</v>
      </c>
      <c r="Y447" s="83" t="s">
        <v>180</v>
      </c>
      <c r="Z447" s="18" t="s">
        <v>692</v>
      </c>
      <c r="AA447" s="24" t="s">
        <v>180</v>
      </c>
      <c r="AB447" s="179" t="s">
        <v>693</v>
      </c>
      <c r="AC447" s="46"/>
      <c r="AD447" s="46"/>
      <c r="AE447" s="46"/>
      <c r="AF447" s="154">
        <v>31.0</v>
      </c>
      <c r="AG447" s="63" t="s">
        <v>354</v>
      </c>
      <c r="AH447" s="48"/>
      <c r="AI447" s="63" t="s">
        <v>354</v>
      </c>
      <c r="AJ447" s="46"/>
      <c r="AK447" s="46"/>
      <c r="AL447" s="59" t="s">
        <v>357</v>
      </c>
      <c r="AM447" s="46" t="s">
        <v>356</v>
      </c>
      <c r="AN447" s="115" t="s">
        <v>358</v>
      </c>
    </row>
    <row r="448">
      <c r="A448" s="95" t="s">
        <v>694</v>
      </c>
      <c r="B448" s="18" t="s">
        <v>695</v>
      </c>
      <c r="C448" s="19" t="s">
        <v>182</v>
      </c>
      <c r="D448" s="20" t="s">
        <v>547</v>
      </c>
      <c r="E448" s="21" t="s">
        <v>7</v>
      </c>
      <c r="F448" s="19" t="s">
        <v>8</v>
      </c>
      <c r="G448" s="23">
        <v>122.0</v>
      </c>
      <c r="H448" s="23">
        <v>265.0</v>
      </c>
      <c r="I448" s="22" t="s">
        <v>354</v>
      </c>
      <c r="J448" s="22" t="s">
        <v>354</v>
      </c>
      <c r="K448" s="22" t="s">
        <v>354</v>
      </c>
      <c r="L448" s="22">
        <v>0.0</v>
      </c>
      <c r="M448" s="22" t="s">
        <v>354</v>
      </c>
      <c r="N448" s="101" t="s">
        <v>17</v>
      </c>
      <c r="O448" s="101" t="s">
        <v>17</v>
      </c>
      <c r="P448" s="24" t="s">
        <v>184</v>
      </c>
      <c r="Q448" s="19"/>
      <c r="R448" s="19"/>
      <c r="S448" s="19"/>
      <c r="T448" s="19"/>
      <c r="U448" s="19"/>
      <c r="V448" s="19"/>
      <c r="W448" s="19"/>
      <c r="X448" s="19"/>
      <c r="Y448" s="19"/>
      <c r="Z448" s="19"/>
      <c r="AA448" s="19"/>
      <c r="AB448" s="22" t="s">
        <v>354</v>
      </c>
      <c r="AC448" s="19">
        <v>36345.0</v>
      </c>
      <c r="AD448" s="19"/>
      <c r="AE448" s="19"/>
      <c r="AF448" s="66">
        <v>26.82</v>
      </c>
      <c r="AG448" s="36" t="s">
        <v>365</v>
      </c>
      <c r="AH448" s="23" t="s">
        <v>366</v>
      </c>
      <c r="AI448" s="26" t="s">
        <v>357</v>
      </c>
      <c r="AJ448" s="19"/>
      <c r="AK448" s="19"/>
      <c r="AL448" s="23" t="s">
        <v>696</v>
      </c>
      <c r="AM448" s="34" t="s">
        <v>357</v>
      </c>
      <c r="AN448" s="88" t="s">
        <v>358</v>
      </c>
    </row>
    <row r="449">
      <c r="A449" s="95" t="s">
        <v>694</v>
      </c>
      <c r="B449" s="18" t="s">
        <v>695</v>
      </c>
      <c r="C449" s="19" t="s">
        <v>182</v>
      </c>
      <c r="D449" s="20" t="s">
        <v>547</v>
      </c>
      <c r="E449" s="21" t="s">
        <v>7</v>
      </c>
      <c r="F449" s="19" t="s">
        <v>8</v>
      </c>
      <c r="G449" s="22" t="s">
        <v>354</v>
      </c>
      <c r="H449" s="23">
        <v>245.0</v>
      </c>
      <c r="I449" s="22" t="s">
        <v>354</v>
      </c>
      <c r="J449" s="22" t="s">
        <v>354</v>
      </c>
      <c r="K449" s="22" t="s">
        <v>354</v>
      </c>
      <c r="L449" s="23">
        <v>0.0</v>
      </c>
      <c r="M449" s="22" t="s">
        <v>354</v>
      </c>
      <c r="N449" s="101" t="s">
        <v>17</v>
      </c>
      <c r="O449" s="101" t="s">
        <v>17</v>
      </c>
      <c r="P449" s="24" t="s">
        <v>184</v>
      </c>
      <c r="Q449" s="24" t="s">
        <v>183</v>
      </c>
      <c r="R449" s="19"/>
      <c r="S449" s="19"/>
      <c r="T449" s="19"/>
      <c r="U449" s="19"/>
      <c r="V449" s="19"/>
      <c r="W449" s="19"/>
      <c r="X449" s="19"/>
      <c r="Y449" s="19"/>
      <c r="Z449" s="19"/>
      <c r="AA449" s="19"/>
      <c r="AB449" s="22" t="s">
        <v>354</v>
      </c>
      <c r="AC449" s="19">
        <v>36623.0</v>
      </c>
      <c r="AD449" s="19"/>
      <c r="AE449" s="19"/>
      <c r="AF449" s="66">
        <v>28.63</v>
      </c>
      <c r="AG449" s="36" t="s">
        <v>365</v>
      </c>
      <c r="AH449" s="23" t="s">
        <v>366</v>
      </c>
      <c r="AI449" s="26" t="s">
        <v>357</v>
      </c>
      <c r="AJ449" s="19"/>
      <c r="AK449" s="19"/>
      <c r="AL449" s="119" t="s">
        <v>413</v>
      </c>
      <c r="AM449" s="38" t="s">
        <v>357</v>
      </c>
      <c r="AN449" s="28" t="s">
        <v>358</v>
      </c>
    </row>
    <row r="450">
      <c r="A450" s="95" t="s">
        <v>694</v>
      </c>
      <c r="B450" s="18" t="s">
        <v>695</v>
      </c>
      <c r="C450" s="19" t="s">
        <v>182</v>
      </c>
      <c r="D450" s="20" t="s">
        <v>547</v>
      </c>
      <c r="E450" s="21" t="s">
        <v>7</v>
      </c>
      <c r="F450" s="19" t="s">
        <v>8</v>
      </c>
      <c r="G450" s="22" t="s">
        <v>354</v>
      </c>
      <c r="H450" s="23">
        <v>235.0</v>
      </c>
      <c r="I450" s="22" t="s">
        <v>354</v>
      </c>
      <c r="J450" s="22" t="s">
        <v>354</v>
      </c>
      <c r="K450" s="22" t="s">
        <v>354</v>
      </c>
      <c r="L450" s="22">
        <v>0.0</v>
      </c>
      <c r="M450" s="22" t="s">
        <v>354</v>
      </c>
      <c r="N450" s="101" t="s">
        <v>17</v>
      </c>
      <c r="O450" s="101" t="s">
        <v>17</v>
      </c>
      <c r="P450" s="24" t="s">
        <v>184</v>
      </c>
      <c r="Q450" s="24" t="s">
        <v>183</v>
      </c>
      <c r="R450" s="24" t="s">
        <v>183</v>
      </c>
      <c r="S450" s="44" t="s">
        <v>373</v>
      </c>
      <c r="T450" s="19"/>
      <c r="U450" s="19"/>
      <c r="V450" s="19"/>
      <c r="W450" s="19"/>
      <c r="X450" s="19"/>
      <c r="Y450" s="19"/>
      <c r="Z450" s="19"/>
      <c r="AA450" s="19"/>
      <c r="AB450" s="22" t="s">
        <v>354</v>
      </c>
      <c r="AC450" s="19"/>
      <c r="AD450" s="19"/>
      <c r="AE450" s="19"/>
      <c r="AF450" s="66">
        <v>30.03</v>
      </c>
      <c r="AG450" s="36" t="s">
        <v>365</v>
      </c>
      <c r="AH450" s="23" t="s">
        <v>366</v>
      </c>
      <c r="AI450" s="26" t="s">
        <v>357</v>
      </c>
      <c r="AJ450" s="19"/>
      <c r="AK450" s="19"/>
      <c r="AL450" s="26" t="s">
        <v>357</v>
      </c>
      <c r="AM450" s="26" t="s">
        <v>357</v>
      </c>
      <c r="AN450" s="26" t="s">
        <v>357</v>
      </c>
    </row>
    <row r="451">
      <c r="A451" s="95" t="s">
        <v>694</v>
      </c>
      <c r="B451" s="18" t="s">
        <v>695</v>
      </c>
      <c r="C451" s="19" t="s">
        <v>182</v>
      </c>
      <c r="D451" s="20" t="s">
        <v>547</v>
      </c>
      <c r="E451" s="21" t="s">
        <v>7</v>
      </c>
      <c r="F451" s="19" t="s">
        <v>8</v>
      </c>
      <c r="G451" s="22" t="s">
        <v>354</v>
      </c>
      <c r="H451" s="23">
        <v>240.0</v>
      </c>
      <c r="I451" s="22" t="s">
        <v>354</v>
      </c>
      <c r="J451" s="22" t="s">
        <v>354</v>
      </c>
      <c r="K451" s="22" t="s">
        <v>354</v>
      </c>
      <c r="L451" s="22">
        <v>0.0</v>
      </c>
      <c r="M451" s="22" t="s">
        <v>354</v>
      </c>
      <c r="N451" s="101" t="s">
        <v>17</v>
      </c>
      <c r="O451" s="101" t="s">
        <v>17</v>
      </c>
      <c r="P451" s="24" t="s">
        <v>184</v>
      </c>
      <c r="Q451" s="24" t="s">
        <v>183</v>
      </c>
      <c r="R451" s="24" t="s">
        <v>183</v>
      </c>
      <c r="S451" s="44" t="s">
        <v>373</v>
      </c>
      <c r="T451" s="24" t="s">
        <v>183</v>
      </c>
      <c r="U451" s="19"/>
      <c r="V451" s="19"/>
      <c r="W451" s="19"/>
      <c r="X451" s="19"/>
      <c r="Y451" s="19"/>
      <c r="Z451" s="19"/>
      <c r="AA451" s="19"/>
      <c r="AB451" s="22" t="s">
        <v>354</v>
      </c>
      <c r="AC451" s="19"/>
      <c r="AD451" s="19"/>
      <c r="AE451" s="19"/>
      <c r="AF451" s="36">
        <v>30.46</v>
      </c>
      <c r="AG451" s="33" t="s">
        <v>354</v>
      </c>
      <c r="AH451" s="33"/>
      <c r="AI451" s="33" t="s">
        <v>354</v>
      </c>
      <c r="AJ451" s="19"/>
      <c r="AK451" s="19"/>
      <c r="AL451" s="40" t="s">
        <v>357</v>
      </c>
      <c r="AM451" s="40" t="s">
        <v>357</v>
      </c>
      <c r="AN451" s="40" t="s">
        <v>357</v>
      </c>
    </row>
    <row r="452">
      <c r="A452" s="95" t="s">
        <v>694</v>
      </c>
      <c r="B452" s="18" t="s">
        <v>695</v>
      </c>
      <c r="C452" s="19" t="s">
        <v>182</v>
      </c>
      <c r="D452" s="20" t="s">
        <v>547</v>
      </c>
      <c r="E452" s="21" t="s">
        <v>7</v>
      </c>
      <c r="F452" s="19" t="s">
        <v>8</v>
      </c>
      <c r="G452" s="22" t="s">
        <v>354</v>
      </c>
      <c r="H452" s="23">
        <v>220.0</v>
      </c>
      <c r="I452" s="22" t="s">
        <v>354</v>
      </c>
      <c r="J452" s="22" t="s">
        <v>354</v>
      </c>
      <c r="K452" s="22" t="s">
        <v>354</v>
      </c>
      <c r="L452" s="22">
        <v>0.0</v>
      </c>
      <c r="M452" s="22" t="s">
        <v>354</v>
      </c>
      <c r="N452" s="101" t="s">
        <v>17</v>
      </c>
      <c r="O452" s="101" t="s">
        <v>17</v>
      </c>
      <c r="P452" s="24" t="s">
        <v>184</v>
      </c>
      <c r="Q452" s="24" t="s">
        <v>183</v>
      </c>
      <c r="R452" s="24" t="s">
        <v>183</v>
      </c>
      <c r="S452" s="44" t="s">
        <v>373</v>
      </c>
      <c r="T452" s="24" t="s">
        <v>183</v>
      </c>
      <c r="U452" s="24" t="s">
        <v>183</v>
      </c>
      <c r="V452" s="44" t="s">
        <v>373</v>
      </c>
      <c r="W452" s="61" t="s">
        <v>373</v>
      </c>
      <c r="X452" s="23"/>
      <c r="Y452" s="23"/>
      <c r="Z452" s="23"/>
      <c r="AA452" s="19"/>
      <c r="AB452" s="22" t="s">
        <v>354</v>
      </c>
      <c r="AC452" s="19"/>
      <c r="AD452" s="19"/>
      <c r="AE452" s="19"/>
      <c r="AF452" s="36">
        <v>33.48</v>
      </c>
      <c r="AG452" s="33" t="s">
        <v>354</v>
      </c>
      <c r="AH452" s="33"/>
      <c r="AI452" s="33" t="s">
        <v>354</v>
      </c>
      <c r="AJ452" s="19"/>
      <c r="AK452" s="19"/>
      <c r="AL452" s="119" t="s">
        <v>413</v>
      </c>
      <c r="AM452" s="119" t="s">
        <v>413</v>
      </c>
      <c r="AN452" s="28" t="s">
        <v>358</v>
      </c>
    </row>
    <row r="453">
      <c r="A453" s="95" t="s">
        <v>694</v>
      </c>
      <c r="B453" s="18" t="s">
        <v>695</v>
      </c>
      <c r="C453" s="19" t="s">
        <v>182</v>
      </c>
      <c r="D453" s="20" t="s">
        <v>547</v>
      </c>
      <c r="E453" s="21" t="s">
        <v>7</v>
      </c>
      <c r="F453" s="19" t="s">
        <v>8</v>
      </c>
      <c r="G453" s="22" t="s">
        <v>354</v>
      </c>
      <c r="H453" s="22" t="s">
        <v>354</v>
      </c>
      <c r="I453" s="22" t="s">
        <v>354</v>
      </c>
      <c r="J453" s="22" t="s">
        <v>354</v>
      </c>
      <c r="K453" s="22" t="s">
        <v>354</v>
      </c>
      <c r="L453" s="78">
        <v>1.0</v>
      </c>
      <c r="M453" s="78" t="s">
        <v>697</v>
      </c>
      <c r="N453" s="101" t="s">
        <v>17</v>
      </c>
      <c r="O453" s="101" t="s">
        <v>17</v>
      </c>
      <c r="P453" s="24" t="s">
        <v>184</v>
      </c>
      <c r="Q453" s="24" t="s">
        <v>183</v>
      </c>
      <c r="R453" s="24" t="s">
        <v>183</v>
      </c>
      <c r="S453" s="44" t="s">
        <v>373</v>
      </c>
      <c r="T453" s="24" t="s">
        <v>183</v>
      </c>
      <c r="U453" s="24" t="s">
        <v>183</v>
      </c>
      <c r="V453" s="44" t="s">
        <v>373</v>
      </c>
      <c r="W453" s="61" t="s">
        <v>373</v>
      </c>
      <c r="X453" s="18" t="s">
        <v>698</v>
      </c>
      <c r="Y453" s="23"/>
      <c r="Z453" s="23"/>
      <c r="AA453" s="19"/>
      <c r="AB453" s="158" t="s">
        <v>398</v>
      </c>
      <c r="AC453" s="19"/>
      <c r="AD453" s="19"/>
      <c r="AE453" s="19"/>
      <c r="AF453" s="33">
        <v>0.0</v>
      </c>
      <c r="AG453" s="33" t="s">
        <v>354</v>
      </c>
      <c r="AH453" s="33"/>
      <c r="AI453" s="33" t="s">
        <v>354</v>
      </c>
      <c r="AJ453" s="23"/>
      <c r="AK453" s="23"/>
      <c r="AL453" s="116" t="s">
        <v>361</v>
      </c>
      <c r="AM453" s="89" t="s">
        <v>356</v>
      </c>
      <c r="AN453" s="89" t="s">
        <v>356</v>
      </c>
    </row>
    <row r="454">
      <c r="A454" s="95" t="s">
        <v>694</v>
      </c>
      <c r="B454" s="18" t="s">
        <v>695</v>
      </c>
      <c r="C454" s="19" t="s">
        <v>182</v>
      </c>
      <c r="D454" s="20" t="s">
        <v>547</v>
      </c>
      <c r="E454" s="21" t="s">
        <v>7</v>
      </c>
      <c r="F454" s="19" t="s">
        <v>8</v>
      </c>
      <c r="G454" s="22" t="s">
        <v>354</v>
      </c>
      <c r="H454" s="22" t="s">
        <v>354</v>
      </c>
      <c r="I454" s="22" t="s">
        <v>354</v>
      </c>
      <c r="J454" s="22" t="s">
        <v>354</v>
      </c>
      <c r="K454" s="22" t="s">
        <v>354</v>
      </c>
      <c r="L454" s="78">
        <v>1.0</v>
      </c>
      <c r="M454" s="78" t="s">
        <v>697</v>
      </c>
      <c r="N454" s="101" t="s">
        <v>17</v>
      </c>
      <c r="O454" s="101" t="s">
        <v>17</v>
      </c>
      <c r="P454" s="24" t="s">
        <v>184</v>
      </c>
      <c r="Q454" s="24" t="s">
        <v>183</v>
      </c>
      <c r="R454" s="24" t="s">
        <v>183</v>
      </c>
      <c r="S454" s="44" t="s">
        <v>373</v>
      </c>
      <c r="T454" s="24" t="s">
        <v>183</v>
      </c>
      <c r="U454" s="24" t="s">
        <v>183</v>
      </c>
      <c r="V454" s="44" t="s">
        <v>373</v>
      </c>
      <c r="W454" s="61" t="s">
        <v>373</v>
      </c>
      <c r="X454" s="18" t="s">
        <v>698</v>
      </c>
      <c r="Y454" s="18" t="s">
        <v>698</v>
      </c>
      <c r="Z454" s="23"/>
      <c r="AA454" s="19"/>
      <c r="AB454" s="158" t="s">
        <v>398</v>
      </c>
      <c r="AC454" s="19"/>
      <c r="AD454" s="19"/>
      <c r="AE454" s="19"/>
      <c r="AF454" s="33">
        <v>0.0</v>
      </c>
      <c r="AG454" s="33" t="s">
        <v>354</v>
      </c>
      <c r="AH454" s="33"/>
      <c r="AI454" s="33" t="s">
        <v>354</v>
      </c>
      <c r="AJ454" s="23"/>
      <c r="AK454" s="23"/>
      <c r="AL454" s="89" t="s">
        <v>356</v>
      </c>
      <c r="AM454" s="89" t="s">
        <v>356</v>
      </c>
      <c r="AN454" s="89" t="s">
        <v>356</v>
      </c>
    </row>
    <row r="455">
      <c r="A455" s="95" t="s">
        <v>694</v>
      </c>
      <c r="B455" s="18" t="s">
        <v>695</v>
      </c>
      <c r="C455" s="19" t="s">
        <v>182</v>
      </c>
      <c r="D455" s="20" t="s">
        <v>547</v>
      </c>
      <c r="E455" s="21" t="s">
        <v>7</v>
      </c>
      <c r="F455" s="19" t="s">
        <v>8</v>
      </c>
      <c r="G455" s="22" t="s">
        <v>354</v>
      </c>
      <c r="H455" s="22" t="s">
        <v>354</v>
      </c>
      <c r="I455" s="22" t="s">
        <v>354</v>
      </c>
      <c r="J455" s="22" t="s">
        <v>354</v>
      </c>
      <c r="K455" s="22" t="s">
        <v>354</v>
      </c>
      <c r="L455" s="78">
        <v>1.0</v>
      </c>
      <c r="M455" s="78" t="s">
        <v>697</v>
      </c>
      <c r="N455" s="101" t="s">
        <v>17</v>
      </c>
      <c r="O455" s="101" t="s">
        <v>17</v>
      </c>
      <c r="P455" s="24" t="s">
        <v>184</v>
      </c>
      <c r="Q455" s="24" t="s">
        <v>183</v>
      </c>
      <c r="R455" s="24" t="s">
        <v>183</v>
      </c>
      <c r="S455" s="44" t="s">
        <v>373</v>
      </c>
      <c r="T455" s="24" t="s">
        <v>183</v>
      </c>
      <c r="U455" s="24" t="s">
        <v>183</v>
      </c>
      <c r="V455" s="44" t="s">
        <v>373</v>
      </c>
      <c r="W455" s="61" t="s">
        <v>373</v>
      </c>
      <c r="X455" s="18" t="s">
        <v>698</v>
      </c>
      <c r="Y455" s="18" t="s">
        <v>698</v>
      </c>
      <c r="Z455" s="18" t="s">
        <v>699</v>
      </c>
      <c r="AA455" s="19"/>
      <c r="AB455" s="158" t="s">
        <v>398</v>
      </c>
      <c r="AC455" s="19"/>
      <c r="AD455" s="19"/>
      <c r="AE455" s="19"/>
      <c r="AF455" s="30">
        <v>44.1044721144322</v>
      </c>
      <c r="AG455" s="23" t="s">
        <v>356</v>
      </c>
      <c r="AH455" s="19"/>
      <c r="AI455" s="23" t="s">
        <v>356</v>
      </c>
      <c r="AJ455" s="23" t="s">
        <v>356</v>
      </c>
      <c r="AK455" s="23" t="s">
        <v>356</v>
      </c>
      <c r="AL455" s="35" t="s">
        <v>363</v>
      </c>
      <c r="AM455" s="116" t="s">
        <v>361</v>
      </c>
      <c r="AN455" s="35" t="s">
        <v>363</v>
      </c>
    </row>
    <row r="456">
      <c r="A456" s="95" t="s">
        <v>694</v>
      </c>
      <c r="B456" s="18" t="s">
        <v>695</v>
      </c>
      <c r="C456" s="19" t="s">
        <v>182</v>
      </c>
      <c r="D456" s="20" t="s">
        <v>547</v>
      </c>
      <c r="E456" s="21" t="s">
        <v>7</v>
      </c>
      <c r="F456" s="19" t="s">
        <v>8</v>
      </c>
      <c r="G456" s="22" t="s">
        <v>354</v>
      </c>
      <c r="H456" s="22" t="s">
        <v>354</v>
      </c>
      <c r="I456" s="22" t="s">
        <v>354</v>
      </c>
      <c r="J456" s="22" t="s">
        <v>354</v>
      </c>
      <c r="K456" s="22" t="s">
        <v>354</v>
      </c>
      <c r="L456" s="78">
        <v>1.0</v>
      </c>
      <c r="M456" s="78" t="s">
        <v>697</v>
      </c>
      <c r="N456" s="101" t="s">
        <v>17</v>
      </c>
      <c r="O456" s="101" t="s">
        <v>17</v>
      </c>
      <c r="P456" s="24" t="s">
        <v>184</v>
      </c>
      <c r="Q456" s="24" t="s">
        <v>183</v>
      </c>
      <c r="R456" s="24" t="s">
        <v>183</v>
      </c>
      <c r="S456" s="44" t="s">
        <v>373</v>
      </c>
      <c r="T456" s="24" t="s">
        <v>183</v>
      </c>
      <c r="U456" s="24" t="s">
        <v>183</v>
      </c>
      <c r="V456" s="44" t="s">
        <v>373</v>
      </c>
      <c r="W456" s="61" t="s">
        <v>373</v>
      </c>
      <c r="X456" s="18" t="s">
        <v>698</v>
      </c>
      <c r="Y456" s="18" t="s">
        <v>698</v>
      </c>
      <c r="Z456" s="18" t="s">
        <v>699</v>
      </c>
      <c r="AA456" s="18" t="s">
        <v>698</v>
      </c>
      <c r="AB456" s="158" t="s">
        <v>700</v>
      </c>
      <c r="AC456" s="19"/>
      <c r="AD456" s="19"/>
      <c r="AE456" s="19"/>
      <c r="AF456" s="33">
        <v>0.0</v>
      </c>
      <c r="AG456" s="33" t="s">
        <v>354</v>
      </c>
      <c r="AH456" s="33"/>
      <c r="AI456" s="33" t="s">
        <v>354</v>
      </c>
      <c r="AJ456" s="23"/>
      <c r="AK456" s="23"/>
      <c r="AL456" s="89" t="s">
        <v>356</v>
      </c>
      <c r="AM456" s="89" t="s">
        <v>356</v>
      </c>
      <c r="AN456" s="89" t="s">
        <v>356</v>
      </c>
    </row>
    <row r="457">
      <c r="A457" s="45" t="s">
        <v>186</v>
      </c>
      <c r="B457" s="98" t="s">
        <v>701</v>
      </c>
      <c r="C457" s="46" t="s">
        <v>185</v>
      </c>
      <c r="D457" s="47" t="s">
        <v>547</v>
      </c>
      <c r="E457" s="48" t="s">
        <v>7</v>
      </c>
      <c r="F457" s="46" t="s">
        <v>67</v>
      </c>
      <c r="G457" s="49" t="s">
        <v>354</v>
      </c>
      <c r="H457" s="49" t="s">
        <v>354</v>
      </c>
      <c r="I457" s="49" t="s">
        <v>354</v>
      </c>
      <c r="J457" s="46">
        <v>48.0</v>
      </c>
      <c r="K457" s="49" t="s">
        <v>354</v>
      </c>
      <c r="L457" s="49">
        <v>0.0</v>
      </c>
      <c r="M457" s="49" t="s">
        <v>354</v>
      </c>
      <c r="N457" s="101" t="s">
        <v>17</v>
      </c>
      <c r="O457" s="101" t="s">
        <v>17</v>
      </c>
      <c r="P457" s="24" t="s">
        <v>187</v>
      </c>
      <c r="Q457" s="62" t="s">
        <v>381</v>
      </c>
      <c r="R457" s="62" t="s">
        <v>381</v>
      </c>
      <c r="S457" s="62" t="s">
        <v>381</v>
      </c>
      <c r="T457" s="62" t="s">
        <v>381</v>
      </c>
      <c r="U457" s="62" t="s">
        <v>381</v>
      </c>
      <c r="V457" s="62" t="s">
        <v>381</v>
      </c>
      <c r="W457" s="62" t="s">
        <v>381</v>
      </c>
      <c r="X457" s="62" t="s">
        <v>381</v>
      </c>
      <c r="Y457" s="62" t="s">
        <v>381</v>
      </c>
      <c r="Z457" s="62" t="s">
        <v>381</v>
      </c>
      <c r="AA457" s="62" t="s">
        <v>381</v>
      </c>
      <c r="AB457" s="62" t="s">
        <v>702</v>
      </c>
      <c r="AC457" s="46">
        <v>36442.0</v>
      </c>
      <c r="AD457" s="46"/>
      <c r="AE457" s="46"/>
      <c r="AF457" s="49">
        <v>0.0</v>
      </c>
      <c r="AG457" s="49" t="s">
        <v>356</v>
      </c>
      <c r="AH457" s="46"/>
      <c r="AI457" s="46"/>
      <c r="AJ457" s="46"/>
      <c r="AK457" s="46"/>
      <c r="AL457" s="88" t="s">
        <v>358</v>
      </c>
      <c r="AM457" s="54" t="s">
        <v>356</v>
      </c>
      <c r="AN457" s="88" t="s">
        <v>358</v>
      </c>
    </row>
    <row r="458">
      <c r="A458" s="17" t="s">
        <v>189</v>
      </c>
      <c r="B458" s="98" t="s">
        <v>703</v>
      </c>
      <c r="C458" s="19" t="s">
        <v>188</v>
      </c>
      <c r="D458" s="20" t="s">
        <v>547</v>
      </c>
      <c r="E458" s="21" t="s">
        <v>7</v>
      </c>
      <c r="F458" s="19" t="s">
        <v>67</v>
      </c>
      <c r="G458" s="23">
        <v>122.0</v>
      </c>
      <c r="H458" s="23">
        <v>270.0</v>
      </c>
      <c r="I458" s="23" t="s">
        <v>354</v>
      </c>
      <c r="J458" s="19">
        <v>49.0</v>
      </c>
      <c r="K458" s="23" t="s">
        <v>354</v>
      </c>
      <c r="L458" s="23">
        <v>0.0</v>
      </c>
      <c r="M458" s="23" t="s">
        <v>354</v>
      </c>
      <c r="N458" s="101" t="s">
        <v>17</v>
      </c>
      <c r="O458" s="101" t="s">
        <v>17</v>
      </c>
      <c r="P458" s="24" t="s">
        <v>190</v>
      </c>
      <c r="Q458" s="62" t="s">
        <v>381</v>
      </c>
      <c r="R458" s="62" t="s">
        <v>381</v>
      </c>
      <c r="S458" s="62" t="s">
        <v>381</v>
      </c>
      <c r="T458" s="62" t="s">
        <v>381</v>
      </c>
      <c r="U458" s="62" t="s">
        <v>381</v>
      </c>
      <c r="V458" s="62" t="s">
        <v>381</v>
      </c>
      <c r="W458" s="62" t="s">
        <v>381</v>
      </c>
      <c r="X458" s="62" t="s">
        <v>381</v>
      </c>
      <c r="Y458" s="62" t="s">
        <v>381</v>
      </c>
      <c r="Z458" s="62" t="s">
        <v>381</v>
      </c>
      <c r="AA458" s="62" t="s">
        <v>381</v>
      </c>
      <c r="AB458" s="181" t="s">
        <v>704</v>
      </c>
      <c r="AC458" s="19">
        <v>36443.0</v>
      </c>
      <c r="AD458" s="19"/>
      <c r="AE458" s="19"/>
      <c r="AF458" s="66">
        <v>22.88</v>
      </c>
      <c r="AG458" s="33" t="s">
        <v>356</v>
      </c>
      <c r="AH458" s="21"/>
      <c r="AI458" s="33" t="s">
        <v>354</v>
      </c>
      <c r="AJ458" s="19"/>
      <c r="AK458" s="19"/>
      <c r="AL458" s="87" t="s">
        <v>413</v>
      </c>
      <c r="AM458" s="87" t="s">
        <v>413</v>
      </c>
      <c r="AN458" s="88" t="s">
        <v>358</v>
      </c>
    </row>
    <row r="459">
      <c r="A459" s="45" t="s">
        <v>192</v>
      </c>
      <c r="B459" s="98" t="s">
        <v>705</v>
      </c>
      <c r="C459" s="46" t="s">
        <v>191</v>
      </c>
      <c r="D459" s="47" t="s">
        <v>547</v>
      </c>
      <c r="E459" s="48" t="s">
        <v>7</v>
      </c>
      <c r="F459" s="46" t="s">
        <v>67</v>
      </c>
      <c r="G459" s="49">
        <v>125.0</v>
      </c>
      <c r="H459" s="57" t="s">
        <v>354</v>
      </c>
      <c r="I459" s="57" t="s">
        <v>354</v>
      </c>
      <c r="J459" s="46">
        <v>51.0</v>
      </c>
      <c r="K459" s="49">
        <v>1.0</v>
      </c>
      <c r="L459" s="57">
        <v>0.0</v>
      </c>
      <c r="M459" s="57" t="s">
        <v>354</v>
      </c>
      <c r="N459" s="101" t="s">
        <v>17</v>
      </c>
      <c r="O459" s="101" t="s">
        <v>17</v>
      </c>
      <c r="P459" s="24" t="s">
        <v>193</v>
      </c>
      <c r="Q459" s="44" t="s">
        <v>373</v>
      </c>
      <c r="R459" s="61" t="s">
        <v>373</v>
      </c>
      <c r="S459" s="62" t="s">
        <v>381</v>
      </c>
      <c r="T459" s="62" t="s">
        <v>381</v>
      </c>
      <c r="U459" s="62" t="s">
        <v>381</v>
      </c>
      <c r="V459" s="62" t="s">
        <v>381</v>
      </c>
      <c r="W459" s="62" t="s">
        <v>381</v>
      </c>
      <c r="X459" s="62" t="s">
        <v>381</v>
      </c>
      <c r="Y459" s="62" t="s">
        <v>381</v>
      </c>
      <c r="Z459" s="62" t="s">
        <v>381</v>
      </c>
      <c r="AA459" s="62" t="s">
        <v>381</v>
      </c>
      <c r="AB459" s="62" t="s">
        <v>706</v>
      </c>
      <c r="AC459" s="46">
        <v>36445.0</v>
      </c>
      <c r="AD459" s="46"/>
      <c r="AE459" s="46"/>
      <c r="AF459" s="49">
        <v>0.0</v>
      </c>
      <c r="AG459" s="49" t="s">
        <v>356</v>
      </c>
      <c r="AH459" s="46"/>
      <c r="AI459" s="46"/>
      <c r="AJ459" s="46"/>
      <c r="AK459" s="46"/>
      <c r="AL459" s="54" t="s">
        <v>356</v>
      </c>
      <c r="AM459" s="54" t="s">
        <v>356</v>
      </c>
      <c r="AN459" s="54" t="s">
        <v>356</v>
      </c>
    </row>
    <row r="460">
      <c r="A460" s="17" t="s">
        <v>195</v>
      </c>
      <c r="B460" s="18" t="s">
        <v>707</v>
      </c>
      <c r="C460" s="19" t="s">
        <v>194</v>
      </c>
      <c r="D460" s="20" t="s">
        <v>547</v>
      </c>
      <c r="E460" s="21" t="s">
        <v>7</v>
      </c>
      <c r="F460" s="19" t="s">
        <v>67</v>
      </c>
      <c r="G460" s="23">
        <v>121.0</v>
      </c>
      <c r="H460" s="23">
        <v>275.0</v>
      </c>
      <c r="I460" s="22" t="s">
        <v>354</v>
      </c>
      <c r="J460" s="19">
        <v>52.0</v>
      </c>
      <c r="K460" s="23">
        <v>1.0</v>
      </c>
      <c r="L460" s="22">
        <v>0.0</v>
      </c>
      <c r="M460" s="22" t="s">
        <v>354</v>
      </c>
      <c r="N460" s="101" t="s">
        <v>17</v>
      </c>
      <c r="O460" s="101" t="s">
        <v>17</v>
      </c>
      <c r="P460" s="24" t="s">
        <v>196</v>
      </c>
      <c r="Q460" s="19"/>
      <c r="R460" s="19"/>
      <c r="S460" s="19"/>
      <c r="T460" s="19"/>
      <c r="U460" s="19"/>
      <c r="V460" s="19"/>
      <c r="W460" s="19"/>
      <c r="X460" s="19"/>
      <c r="Y460" s="19"/>
      <c r="Z460" s="19"/>
      <c r="AA460" s="19"/>
      <c r="AB460" s="22" t="s">
        <v>354</v>
      </c>
      <c r="AC460" s="19">
        <v>36446.0</v>
      </c>
      <c r="AD460" s="19"/>
      <c r="AE460" s="19"/>
      <c r="AF460" s="66">
        <v>35.91</v>
      </c>
      <c r="AG460" s="23" t="s">
        <v>356</v>
      </c>
      <c r="AH460" s="19"/>
      <c r="AI460" s="19"/>
      <c r="AJ460" s="19"/>
      <c r="AK460" s="19"/>
      <c r="AL460" s="73" t="s">
        <v>357</v>
      </c>
      <c r="AM460" s="73" t="s">
        <v>357</v>
      </c>
      <c r="AN460" s="32" t="s">
        <v>361</v>
      </c>
    </row>
    <row r="461" ht="13.5" customHeight="1">
      <c r="A461" s="17" t="s">
        <v>195</v>
      </c>
      <c r="B461" s="18" t="s">
        <v>707</v>
      </c>
      <c r="C461" s="19" t="s">
        <v>194</v>
      </c>
      <c r="D461" s="20" t="s">
        <v>547</v>
      </c>
      <c r="E461" s="21" t="s">
        <v>7</v>
      </c>
      <c r="F461" s="19" t="s">
        <v>67</v>
      </c>
      <c r="G461" s="22" t="s">
        <v>354</v>
      </c>
      <c r="H461" s="23">
        <v>240.0</v>
      </c>
      <c r="I461" s="22" t="s">
        <v>354</v>
      </c>
      <c r="J461" s="19">
        <v>34.0</v>
      </c>
      <c r="K461" s="23">
        <v>1.0</v>
      </c>
      <c r="L461" s="23">
        <v>0.0</v>
      </c>
      <c r="M461" s="22" t="s">
        <v>354</v>
      </c>
      <c r="N461" s="101" t="s">
        <v>17</v>
      </c>
      <c r="O461" s="101" t="s">
        <v>17</v>
      </c>
      <c r="P461" s="24" t="s">
        <v>196</v>
      </c>
      <c r="Q461" s="24" t="s">
        <v>195</v>
      </c>
      <c r="R461" s="19"/>
      <c r="S461" s="19"/>
      <c r="T461" s="19"/>
      <c r="U461" s="19"/>
      <c r="V461" s="19"/>
      <c r="W461" s="19"/>
      <c r="X461" s="19"/>
      <c r="Y461" s="19"/>
      <c r="Z461" s="19"/>
      <c r="AA461" s="19"/>
      <c r="AB461" s="22" t="s">
        <v>354</v>
      </c>
      <c r="AC461" s="19">
        <v>36624.0</v>
      </c>
      <c r="AD461" s="19"/>
      <c r="AE461" s="19"/>
      <c r="AF461" s="33">
        <v>0.0</v>
      </c>
      <c r="AG461" s="36" t="s">
        <v>365</v>
      </c>
      <c r="AH461" s="23" t="s">
        <v>7</v>
      </c>
      <c r="AI461" s="58" t="s">
        <v>380</v>
      </c>
      <c r="AJ461" s="19"/>
      <c r="AK461" s="19"/>
      <c r="AL461" s="89" t="s">
        <v>356</v>
      </c>
      <c r="AM461" s="142" t="s">
        <v>356</v>
      </c>
      <c r="AN461" s="75" t="s">
        <v>357</v>
      </c>
    </row>
    <row r="462">
      <c r="A462" s="17" t="s">
        <v>195</v>
      </c>
      <c r="B462" s="18" t="s">
        <v>707</v>
      </c>
      <c r="C462" s="19" t="s">
        <v>194</v>
      </c>
      <c r="D462" s="20" t="s">
        <v>547</v>
      </c>
      <c r="E462" s="21" t="s">
        <v>7</v>
      </c>
      <c r="F462" s="19" t="s">
        <v>67</v>
      </c>
      <c r="G462" s="22" t="s">
        <v>354</v>
      </c>
      <c r="H462" s="23">
        <v>230.0</v>
      </c>
      <c r="I462" s="22" t="s">
        <v>354</v>
      </c>
      <c r="J462" s="19">
        <v>32.0</v>
      </c>
      <c r="K462" s="23">
        <v>0.0</v>
      </c>
      <c r="L462" s="22">
        <v>0.0</v>
      </c>
      <c r="M462" s="22" t="s">
        <v>354</v>
      </c>
      <c r="N462" s="101" t="s">
        <v>17</v>
      </c>
      <c r="O462" s="101" t="s">
        <v>17</v>
      </c>
      <c r="P462" s="24" t="s">
        <v>196</v>
      </c>
      <c r="Q462" s="24" t="s">
        <v>195</v>
      </c>
      <c r="R462" s="24" t="s">
        <v>195</v>
      </c>
      <c r="S462" s="19"/>
      <c r="T462" s="19"/>
      <c r="U462" s="19"/>
      <c r="V462" s="19"/>
      <c r="W462" s="19"/>
      <c r="X462" s="19"/>
      <c r="Y462" s="19"/>
      <c r="Z462" s="19"/>
      <c r="AA462" s="19"/>
      <c r="AB462" s="23" t="s">
        <v>708</v>
      </c>
      <c r="AC462" s="19"/>
      <c r="AD462" s="19"/>
      <c r="AE462" s="19"/>
      <c r="AF462" s="33">
        <v>0.0</v>
      </c>
      <c r="AG462" s="23" t="s">
        <v>356</v>
      </c>
      <c r="AH462" s="19"/>
      <c r="AI462" s="19"/>
      <c r="AJ462" s="19"/>
      <c r="AK462" s="19"/>
      <c r="AL462" s="23" t="s">
        <v>356</v>
      </c>
      <c r="AM462" s="23" t="s">
        <v>356</v>
      </c>
      <c r="AN462" s="23" t="s">
        <v>356</v>
      </c>
    </row>
    <row r="463">
      <c r="A463" s="17" t="s">
        <v>195</v>
      </c>
      <c r="B463" s="18" t="s">
        <v>707</v>
      </c>
      <c r="C463" s="19" t="s">
        <v>194</v>
      </c>
      <c r="D463" s="20" t="s">
        <v>547</v>
      </c>
      <c r="E463" s="21" t="s">
        <v>7</v>
      </c>
      <c r="F463" s="19" t="s">
        <v>67</v>
      </c>
      <c r="G463" s="22" t="s">
        <v>354</v>
      </c>
      <c r="H463" s="23">
        <v>250.0</v>
      </c>
      <c r="I463" s="22" t="s">
        <v>354</v>
      </c>
      <c r="J463" s="19">
        <v>30.0</v>
      </c>
      <c r="K463" s="23">
        <v>0.0</v>
      </c>
      <c r="L463" s="22">
        <v>0.0</v>
      </c>
      <c r="M463" s="22" t="s">
        <v>354</v>
      </c>
      <c r="N463" s="101" t="s">
        <v>17</v>
      </c>
      <c r="O463" s="101" t="s">
        <v>17</v>
      </c>
      <c r="P463" s="24" t="s">
        <v>196</v>
      </c>
      <c r="Q463" s="24" t="s">
        <v>195</v>
      </c>
      <c r="R463" s="24" t="s">
        <v>195</v>
      </c>
      <c r="S463" s="24" t="s">
        <v>195</v>
      </c>
      <c r="T463" s="19"/>
      <c r="U463" s="19"/>
      <c r="V463" s="19"/>
      <c r="W463" s="19"/>
      <c r="X463" s="19"/>
      <c r="Y463" s="19"/>
      <c r="Z463" s="19"/>
      <c r="AA463" s="19"/>
      <c r="AB463" s="22" t="s">
        <v>354</v>
      </c>
      <c r="AC463" s="19"/>
      <c r="AD463" s="19"/>
      <c r="AE463" s="19"/>
      <c r="AF463" s="33">
        <v>0.0</v>
      </c>
      <c r="AG463" s="33" t="s">
        <v>354</v>
      </c>
      <c r="AH463" s="33"/>
      <c r="AI463" s="33" t="s">
        <v>354</v>
      </c>
      <c r="AJ463" s="19"/>
      <c r="AK463" s="19"/>
      <c r="AL463" s="40" t="s">
        <v>357</v>
      </c>
      <c r="AM463" s="40" t="s">
        <v>357</v>
      </c>
      <c r="AN463" s="40" t="s">
        <v>357</v>
      </c>
    </row>
    <row r="464">
      <c r="A464" s="17" t="s">
        <v>195</v>
      </c>
      <c r="B464" s="18" t="s">
        <v>707</v>
      </c>
      <c r="C464" s="19" t="s">
        <v>194</v>
      </c>
      <c r="D464" s="20" t="s">
        <v>547</v>
      </c>
      <c r="E464" s="21" t="s">
        <v>7</v>
      </c>
      <c r="F464" s="19" t="s">
        <v>67</v>
      </c>
      <c r="G464" s="22" t="s">
        <v>354</v>
      </c>
      <c r="H464" s="23">
        <v>300.0</v>
      </c>
      <c r="I464" s="22" t="s">
        <v>354</v>
      </c>
      <c r="J464" s="19">
        <v>35.0</v>
      </c>
      <c r="K464" s="23">
        <v>1.0</v>
      </c>
      <c r="L464" s="22">
        <v>0.0</v>
      </c>
      <c r="M464" s="22" t="s">
        <v>354</v>
      </c>
      <c r="N464" s="101" t="s">
        <v>17</v>
      </c>
      <c r="O464" s="101" t="s">
        <v>17</v>
      </c>
      <c r="P464" s="24" t="s">
        <v>196</v>
      </c>
      <c r="Q464" s="24" t="s">
        <v>195</v>
      </c>
      <c r="R464" s="24" t="s">
        <v>195</v>
      </c>
      <c r="S464" s="24" t="s">
        <v>195</v>
      </c>
      <c r="T464" s="24" t="s">
        <v>195</v>
      </c>
      <c r="U464" s="19"/>
      <c r="V464" s="19"/>
      <c r="W464" s="19"/>
      <c r="X464" s="19"/>
      <c r="Y464" s="19"/>
      <c r="Z464" s="19"/>
      <c r="AA464" s="19"/>
      <c r="AB464" s="23" t="s">
        <v>709</v>
      </c>
      <c r="AC464" s="19"/>
      <c r="AD464" s="19"/>
      <c r="AE464" s="19"/>
      <c r="AF464" s="33">
        <v>0.0</v>
      </c>
      <c r="AG464" s="33" t="s">
        <v>354</v>
      </c>
      <c r="AH464" s="33"/>
      <c r="AI464" s="33" t="s">
        <v>354</v>
      </c>
      <c r="AJ464" s="19"/>
      <c r="AK464" s="19"/>
      <c r="AL464" s="40" t="s">
        <v>357</v>
      </c>
      <c r="AM464" s="40" t="s">
        <v>357</v>
      </c>
      <c r="AN464" s="40" t="s">
        <v>357</v>
      </c>
    </row>
    <row r="465">
      <c r="A465" s="17" t="s">
        <v>195</v>
      </c>
      <c r="B465" s="18" t="s">
        <v>707</v>
      </c>
      <c r="C465" s="19" t="s">
        <v>194</v>
      </c>
      <c r="D465" s="20" t="s">
        <v>547</v>
      </c>
      <c r="E465" s="21" t="s">
        <v>7</v>
      </c>
      <c r="F465" s="19" t="s">
        <v>67</v>
      </c>
      <c r="G465" s="22" t="s">
        <v>354</v>
      </c>
      <c r="H465" s="23">
        <v>270.0</v>
      </c>
      <c r="I465" s="22" t="s">
        <v>354</v>
      </c>
      <c r="J465" s="19">
        <v>34.0</v>
      </c>
      <c r="K465" s="23">
        <v>1.0</v>
      </c>
      <c r="L465" s="22">
        <v>0.0</v>
      </c>
      <c r="M465" s="22" t="s">
        <v>354</v>
      </c>
      <c r="N465" s="101" t="s">
        <v>17</v>
      </c>
      <c r="O465" s="101" t="s">
        <v>17</v>
      </c>
      <c r="P465" s="24" t="s">
        <v>196</v>
      </c>
      <c r="Q465" s="24" t="s">
        <v>195</v>
      </c>
      <c r="R465" s="24" t="s">
        <v>195</v>
      </c>
      <c r="S465" s="24" t="s">
        <v>195</v>
      </c>
      <c r="T465" s="24" t="s">
        <v>195</v>
      </c>
      <c r="U465" s="24" t="s">
        <v>195</v>
      </c>
      <c r="V465" s="19"/>
      <c r="W465" s="19"/>
      <c r="X465" s="19"/>
      <c r="Y465" s="19"/>
      <c r="Z465" s="19"/>
      <c r="AA465" s="19"/>
      <c r="AB465" s="23" t="s">
        <v>710</v>
      </c>
      <c r="AC465" s="19"/>
      <c r="AD465" s="19"/>
      <c r="AE465" s="19"/>
      <c r="AF465" s="33">
        <v>0.0</v>
      </c>
      <c r="AG465" s="33" t="s">
        <v>354</v>
      </c>
      <c r="AH465" s="33"/>
      <c r="AI465" s="33" t="s">
        <v>354</v>
      </c>
      <c r="AJ465" s="19"/>
      <c r="AK465" s="19"/>
      <c r="AL465" s="40" t="s">
        <v>357</v>
      </c>
      <c r="AM465" s="23" t="s">
        <v>356</v>
      </c>
      <c r="AN465" s="23" t="s">
        <v>356</v>
      </c>
    </row>
    <row r="466">
      <c r="A466" s="17" t="s">
        <v>195</v>
      </c>
      <c r="B466" s="18" t="s">
        <v>707</v>
      </c>
      <c r="C466" s="19" t="s">
        <v>194</v>
      </c>
      <c r="D466" s="20" t="s">
        <v>547</v>
      </c>
      <c r="E466" s="21" t="s">
        <v>7</v>
      </c>
      <c r="F466" s="19" t="s">
        <v>67</v>
      </c>
      <c r="G466" s="22" t="s">
        <v>354</v>
      </c>
      <c r="H466" s="23">
        <v>270.0</v>
      </c>
      <c r="I466" s="22" t="s">
        <v>354</v>
      </c>
      <c r="J466" s="19">
        <v>34.0</v>
      </c>
      <c r="K466" s="23">
        <v>1.0</v>
      </c>
      <c r="L466" s="22">
        <v>0.0</v>
      </c>
      <c r="M466" s="22" t="s">
        <v>354</v>
      </c>
      <c r="N466" s="101" t="s">
        <v>17</v>
      </c>
      <c r="O466" s="101" t="s">
        <v>17</v>
      </c>
      <c r="P466" s="24" t="s">
        <v>196</v>
      </c>
      <c r="Q466" s="24" t="s">
        <v>195</v>
      </c>
      <c r="R466" s="24" t="s">
        <v>195</v>
      </c>
      <c r="S466" s="24" t="s">
        <v>195</v>
      </c>
      <c r="T466" s="24" t="s">
        <v>195</v>
      </c>
      <c r="U466" s="24" t="s">
        <v>195</v>
      </c>
      <c r="V466" s="24" t="s">
        <v>195</v>
      </c>
      <c r="W466" s="19"/>
      <c r="X466" s="19"/>
      <c r="Y466" s="19"/>
      <c r="Z466" s="19"/>
      <c r="AA466" s="19"/>
      <c r="AB466" s="22" t="s">
        <v>354</v>
      </c>
      <c r="AC466" s="19"/>
      <c r="AD466" s="19"/>
      <c r="AE466" s="19"/>
      <c r="AF466" s="33">
        <v>0.0</v>
      </c>
      <c r="AG466" s="33" t="s">
        <v>354</v>
      </c>
      <c r="AH466" s="33"/>
      <c r="AI466" s="33" t="s">
        <v>354</v>
      </c>
      <c r="AJ466" s="19"/>
      <c r="AK466" s="19"/>
      <c r="AL466" s="19" t="s">
        <v>356</v>
      </c>
      <c r="AM466" s="40" t="s">
        <v>357</v>
      </c>
      <c r="AN466" s="19" t="s">
        <v>356</v>
      </c>
    </row>
    <row r="467">
      <c r="A467" s="17" t="s">
        <v>195</v>
      </c>
      <c r="B467" s="18" t="s">
        <v>707</v>
      </c>
      <c r="C467" s="19" t="s">
        <v>194</v>
      </c>
      <c r="D467" s="20" t="s">
        <v>547</v>
      </c>
      <c r="E467" s="21" t="s">
        <v>7</v>
      </c>
      <c r="F467" s="19" t="s">
        <v>67</v>
      </c>
      <c r="G467" s="22" t="s">
        <v>354</v>
      </c>
      <c r="H467" s="23">
        <v>225.0</v>
      </c>
      <c r="I467" s="22" t="s">
        <v>354</v>
      </c>
      <c r="J467" s="19">
        <v>34.0</v>
      </c>
      <c r="K467" s="23">
        <v>0.0</v>
      </c>
      <c r="L467" s="22">
        <v>0.0</v>
      </c>
      <c r="M467" s="22" t="s">
        <v>354</v>
      </c>
      <c r="N467" s="101" t="s">
        <v>17</v>
      </c>
      <c r="O467" s="101" t="s">
        <v>17</v>
      </c>
      <c r="P467" s="24" t="s">
        <v>196</v>
      </c>
      <c r="Q467" s="24" t="s">
        <v>195</v>
      </c>
      <c r="R467" s="24" t="s">
        <v>195</v>
      </c>
      <c r="S467" s="24" t="s">
        <v>195</v>
      </c>
      <c r="T467" s="24" t="s">
        <v>195</v>
      </c>
      <c r="U467" s="24" t="s">
        <v>195</v>
      </c>
      <c r="V467" s="24" t="s">
        <v>195</v>
      </c>
      <c r="W467" s="18" t="s">
        <v>711</v>
      </c>
      <c r="X467" s="19"/>
      <c r="Y467" s="19"/>
      <c r="Z467" s="19"/>
      <c r="AA467" s="19"/>
      <c r="AB467" s="179" t="s">
        <v>446</v>
      </c>
      <c r="AC467" s="19"/>
      <c r="AD467" s="19"/>
      <c r="AE467" s="19"/>
      <c r="AF467" s="33">
        <v>0.0</v>
      </c>
      <c r="AG467" s="33" t="s">
        <v>354</v>
      </c>
      <c r="AH467" s="33"/>
      <c r="AI467" s="33" t="s">
        <v>354</v>
      </c>
      <c r="AJ467" s="19"/>
      <c r="AK467" s="19"/>
      <c r="AL467" s="59" t="s">
        <v>357</v>
      </c>
      <c r="AM467" s="19" t="s">
        <v>356</v>
      </c>
      <c r="AN467" s="59" t="s">
        <v>357</v>
      </c>
    </row>
    <row r="468">
      <c r="A468" s="17" t="s">
        <v>195</v>
      </c>
      <c r="B468" s="18" t="s">
        <v>707</v>
      </c>
      <c r="C468" s="19" t="s">
        <v>194</v>
      </c>
      <c r="D468" s="20" t="s">
        <v>547</v>
      </c>
      <c r="E468" s="21" t="s">
        <v>7</v>
      </c>
      <c r="F468" s="19" t="s">
        <v>67</v>
      </c>
      <c r="G468" s="22" t="s">
        <v>354</v>
      </c>
      <c r="H468" s="22" t="s">
        <v>354</v>
      </c>
      <c r="I468" s="22" t="s">
        <v>354</v>
      </c>
      <c r="J468" s="19">
        <v>34.0</v>
      </c>
      <c r="K468" s="23">
        <v>0.0</v>
      </c>
      <c r="L468" s="61">
        <v>0.0</v>
      </c>
      <c r="M468" s="61" t="s">
        <v>354</v>
      </c>
      <c r="N468" s="101" t="s">
        <v>17</v>
      </c>
      <c r="O468" s="101" t="s">
        <v>17</v>
      </c>
      <c r="P468" s="24" t="s">
        <v>196</v>
      </c>
      <c r="Q468" s="24" t="s">
        <v>195</v>
      </c>
      <c r="R468" s="24" t="s">
        <v>195</v>
      </c>
      <c r="S468" s="24" t="s">
        <v>195</v>
      </c>
      <c r="T468" s="24" t="s">
        <v>195</v>
      </c>
      <c r="U468" s="24" t="s">
        <v>195</v>
      </c>
      <c r="V468" s="24" t="s">
        <v>195</v>
      </c>
      <c r="W468" s="18" t="s">
        <v>711</v>
      </c>
      <c r="X468" s="24" t="s">
        <v>195</v>
      </c>
      <c r="Y468" s="19"/>
      <c r="Z468" s="19"/>
      <c r="AA468" s="19"/>
      <c r="AB468" s="179" t="s">
        <v>446</v>
      </c>
      <c r="AC468" s="19"/>
      <c r="AD468" s="19"/>
      <c r="AE468" s="19"/>
      <c r="AF468" s="33">
        <v>0.0</v>
      </c>
      <c r="AG468" s="33" t="s">
        <v>354</v>
      </c>
      <c r="AH468" s="33"/>
      <c r="AI468" s="33" t="s">
        <v>354</v>
      </c>
      <c r="AJ468" s="23"/>
      <c r="AK468" s="23"/>
      <c r="AL468" s="19" t="s">
        <v>356</v>
      </c>
      <c r="AM468" s="59" t="s">
        <v>357</v>
      </c>
      <c r="AN468" s="19" t="s">
        <v>356</v>
      </c>
    </row>
    <row r="469">
      <c r="A469" s="17" t="s">
        <v>195</v>
      </c>
      <c r="B469" s="18" t="s">
        <v>707</v>
      </c>
      <c r="C469" s="19" t="s">
        <v>194</v>
      </c>
      <c r="D469" s="20" t="s">
        <v>547</v>
      </c>
      <c r="E469" s="21" t="s">
        <v>7</v>
      </c>
      <c r="F469" s="19" t="s">
        <v>67</v>
      </c>
      <c r="G469" s="22" t="s">
        <v>354</v>
      </c>
      <c r="H469" s="22" t="s">
        <v>354</v>
      </c>
      <c r="I469" s="22" t="s">
        <v>354</v>
      </c>
      <c r="J469" s="19">
        <v>34.0</v>
      </c>
      <c r="K469" s="23">
        <v>0.0</v>
      </c>
      <c r="L469" s="61">
        <v>0.0</v>
      </c>
      <c r="M469" s="61" t="s">
        <v>354</v>
      </c>
      <c r="N469" s="101" t="s">
        <v>17</v>
      </c>
      <c r="O469" s="101" t="s">
        <v>17</v>
      </c>
      <c r="P469" s="24" t="s">
        <v>196</v>
      </c>
      <c r="Q469" s="24" t="s">
        <v>195</v>
      </c>
      <c r="R469" s="24" t="s">
        <v>195</v>
      </c>
      <c r="S469" s="24" t="s">
        <v>195</v>
      </c>
      <c r="T469" s="24" t="s">
        <v>195</v>
      </c>
      <c r="U469" s="24" t="s">
        <v>195</v>
      </c>
      <c r="V469" s="24" t="s">
        <v>195</v>
      </c>
      <c r="W469" s="18" t="s">
        <v>711</v>
      </c>
      <c r="X469" s="24" t="s">
        <v>195</v>
      </c>
      <c r="Y469" s="24" t="s">
        <v>195</v>
      </c>
      <c r="Z469" s="19"/>
      <c r="AA469" s="19"/>
      <c r="AB469" s="179" t="s">
        <v>446</v>
      </c>
      <c r="AC469" s="19"/>
      <c r="AD469" s="19"/>
      <c r="AE469" s="19"/>
      <c r="AF469" s="33">
        <v>0.0</v>
      </c>
      <c r="AG469" s="33" t="s">
        <v>354</v>
      </c>
      <c r="AH469" s="33"/>
      <c r="AI469" s="33" t="s">
        <v>354</v>
      </c>
      <c r="AJ469" s="23"/>
      <c r="AK469" s="23"/>
      <c r="AL469" s="19" t="s">
        <v>356</v>
      </c>
      <c r="AM469" s="59" t="s">
        <v>357</v>
      </c>
      <c r="AN469" s="59" t="s">
        <v>357</v>
      </c>
    </row>
    <row r="470">
      <c r="A470" s="17" t="s">
        <v>195</v>
      </c>
      <c r="B470" s="18" t="s">
        <v>707</v>
      </c>
      <c r="C470" s="19" t="s">
        <v>194</v>
      </c>
      <c r="D470" s="20" t="s">
        <v>547</v>
      </c>
      <c r="E470" s="21" t="s">
        <v>7</v>
      </c>
      <c r="F470" s="19" t="s">
        <v>67</v>
      </c>
      <c r="G470" s="22" t="s">
        <v>354</v>
      </c>
      <c r="H470" s="22" t="s">
        <v>354</v>
      </c>
      <c r="I470" s="22" t="s">
        <v>354</v>
      </c>
      <c r="J470" s="19">
        <v>34.0</v>
      </c>
      <c r="K470" s="23">
        <v>0.0</v>
      </c>
      <c r="L470" s="61">
        <v>0.0</v>
      </c>
      <c r="M470" s="61" t="s">
        <v>354</v>
      </c>
      <c r="N470" s="101" t="s">
        <v>17</v>
      </c>
      <c r="O470" s="101" t="s">
        <v>17</v>
      </c>
      <c r="P470" s="24" t="s">
        <v>196</v>
      </c>
      <c r="Q470" s="24" t="s">
        <v>195</v>
      </c>
      <c r="R470" s="24" t="s">
        <v>195</v>
      </c>
      <c r="S470" s="24" t="s">
        <v>195</v>
      </c>
      <c r="T470" s="24" t="s">
        <v>195</v>
      </c>
      <c r="U470" s="24" t="s">
        <v>195</v>
      </c>
      <c r="V470" s="24" t="s">
        <v>195</v>
      </c>
      <c r="W470" s="18" t="s">
        <v>711</v>
      </c>
      <c r="X470" s="24" t="s">
        <v>195</v>
      </c>
      <c r="Y470" s="24" t="s">
        <v>195</v>
      </c>
      <c r="Z470" s="24" t="s">
        <v>195</v>
      </c>
      <c r="AA470" s="19"/>
      <c r="AB470" s="179" t="s">
        <v>446</v>
      </c>
      <c r="AC470" s="19"/>
      <c r="AD470" s="19"/>
      <c r="AE470" s="19"/>
      <c r="AF470" s="33">
        <v>0.0</v>
      </c>
      <c r="AG470" s="23" t="s">
        <v>356</v>
      </c>
      <c r="AH470" s="19"/>
      <c r="AI470" s="23" t="s">
        <v>356</v>
      </c>
      <c r="AJ470" s="23" t="s">
        <v>356</v>
      </c>
      <c r="AK470" s="23" t="s">
        <v>356</v>
      </c>
      <c r="AL470" s="113" t="s">
        <v>356</v>
      </c>
      <c r="AM470" s="82" t="s">
        <v>361</v>
      </c>
      <c r="AN470" s="59" t="s">
        <v>357</v>
      </c>
    </row>
    <row r="471">
      <c r="A471" s="17" t="s">
        <v>195</v>
      </c>
      <c r="B471" s="18" t="s">
        <v>707</v>
      </c>
      <c r="C471" s="19" t="s">
        <v>194</v>
      </c>
      <c r="D471" s="20" t="s">
        <v>547</v>
      </c>
      <c r="E471" s="21" t="s">
        <v>7</v>
      </c>
      <c r="F471" s="19" t="s">
        <v>67</v>
      </c>
      <c r="G471" s="22" t="s">
        <v>354</v>
      </c>
      <c r="H471" s="22" t="s">
        <v>354</v>
      </c>
      <c r="I471" s="22" t="s">
        <v>354</v>
      </c>
      <c r="J471" s="19">
        <v>34.0</v>
      </c>
      <c r="K471" s="23">
        <v>1.0</v>
      </c>
      <c r="L471" s="61">
        <v>0.0</v>
      </c>
      <c r="M471" s="61" t="s">
        <v>354</v>
      </c>
      <c r="N471" s="101" t="s">
        <v>17</v>
      </c>
      <c r="O471" s="101" t="s">
        <v>17</v>
      </c>
      <c r="P471" s="24" t="s">
        <v>196</v>
      </c>
      <c r="Q471" s="24" t="s">
        <v>195</v>
      </c>
      <c r="R471" s="24" t="s">
        <v>195</v>
      </c>
      <c r="S471" s="24" t="s">
        <v>195</v>
      </c>
      <c r="T471" s="24" t="s">
        <v>195</v>
      </c>
      <c r="U471" s="24" t="s">
        <v>195</v>
      </c>
      <c r="V471" s="24" t="s">
        <v>195</v>
      </c>
      <c r="W471" s="18" t="s">
        <v>711</v>
      </c>
      <c r="X471" s="24" t="s">
        <v>195</v>
      </c>
      <c r="Y471" s="24" t="s">
        <v>195</v>
      </c>
      <c r="Z471" s="24" t="s">
        <v>195</v>
      </c>
      <c r="AA471" s="24" t="s">
        <v>195</v>
      </c>
      <c r="AB471" s="179" t="s">
        <v>446</v>
      </c>
      <c r="AC471" s="19"/>
      <c r="AD471" s="19"/>
      <c r="AE471" s="19"/>
      <c r="AF471" s="33">
        <v>0.0</v>
      </c>
      <c r="AG471" s="33" t="s">
        <v>354</v>
      </c>
      <c r="AH471" s="33"/>
      <c r="AI471" s="33" t="s">
        <v>354</v>
      </c>
      <c r="AJ471" s="23"/>
      <c r="AK471" s="23"/>
      <c r="AL471" s="89" t="s">
        <v>356</v>
      </c>
      <c r="AM471" s="142" t="s">
        <v>356</v>
      </c>
      <c r="AN471" s="75" t="s">
        <v>357</v>
      </c>
    </row>
    <row r="472">
      <c r="A472" s="85" t="s">
        <v>712</v>
      </c>
      <c r="B472" s="18" t="s">
        <v>713</v>
      </c>
      <c r="C472" s="46" t="s">
        <v>197</v>
      </c>
      <c r="D472" s="47" t="s">
        <v>547</v>
      </c>
      <c r="E472" s="48" t="s">
        <v>7</v>
      </c>
      <c r="F472" s="46" t="s">
        <v>67</v>
      </c>
      <c r="G472" s="49">
        <v>129.0</v>
      </c>
      <c r="H472" s="49">
        <v>310.0</v>
      </c>
      <c r="I472" s="57" t="s">
        <v>354</v>
      </c>
      <c r="J472" s="46">
        <v>53.0</v>
      </c>
      <c r="K472" s="49">
        <v>1.0</v>
      </c>
      <c r="L472" s="57">
        <v>0.0</v>
      </c>
      <c r="M472" s="57" t="s">
        <v>354</v>
      </c>
      <c r="N472" s="101" t="s">
        <v>17</v>
      </c>
      <c r="O472" s="101" t="s">
        <v>17</v>
      </c>
      <c r="P472" s="24" t="s">
        <v>199</v>
      </c>
      <c r="Q472" s="46"/>
      <c r="R472" s="46"/>
      <c r="S472" s="46"/>
      <c r="T472" s="46"/>
      <c r="U472" s="46"/>
      <c r="V472" s="46"/>
      <c r="W472" s="46"/>
      <c r="X472" s="46"/>
      <c r="Y472" s="46"/>
      <c r="Z472" s="46"/>
      <c r="AA472" s="46"/>
      <c r="AB472" s="49" t="s">
        <v>575</v>
      </c>
      <c r="AC472" s="46">
        <v>36447.0</v>
      </c>
      <c r="AD472" s="46"/>
      <c r="AE472" s="46"/>
      <c r="AF472" s="49">
        <v>0.0</v>
      </c>
      <c r="AG472" s="49" t="s">
        <v>356</v>
      </c>
      <c r="AH472" s="46"/>
      <c r="AI472" s="46"/>
      <c r="AJ472" s="46"/>
      <c r="AK472" s="46"/>
      <c r="AL472" s="53" t="s">
        <v>361</v>
      </c>
      <c r="AM472" s="73" t="s">
        <v>357</v>
      </c>
      <c r="AN472" s="73" t="s">
        <v>357</v>
      </c>
    </row>
    <row r="473">
      <c r="A473" s="85" t="s">
        <v>712</v>
      </c>
      <c r="B473" s="18" t="s">
        <v>713</v>
      </c>
      <c r="C473" s="46" t="s">
        <v>197</v>
      </c>
      <c r="D473" s="47" t="s">
        <v>547</v>
      </c>
      <c r="E473" s="48" t="s">
        <v>7</v>
      </c>
      <c r="F473" s="46" t="s">
        <v>67</v>
      </c>
      <c r="G473" s="57" t="s">
        <v>354</v>
      </c>
      <c r="H473" s="49">
        <v>260.0</v>
      </c>
      <c r="I473" s="57" t="s">
        <v>354</v>
      </c>
      <c r="J473" s="46">
        <v>35.0</v>
      </c>
      <c r="K473" s="49">
        <v>0.0</v>
      </c>
      <c r="L473" s="49">
        <v>0.0</v>
      </c>
      <c r="M473" s="57" t="s">
        <v>354</v>
      </c>
      <c r="N473" s="101" t="s">
        <v>17</v>
      </c>
      <c r="O473" s="101" t="s">
        <v>17</v>
      </c>
      <c r="P473" s="24" t="s">
        <v>199</v>
      </c>
      <c r="Q473" s="24" t="s">
        <v>198</v>
      </c>
      <c r="R473" s="46"/>
      <c r="S473" s="46"/>
      <c r="T473" s="46"/>
      <c r="U473" s="46"/>
      <c r="V473" s="46"/>
      <c r="W473" s="46"/>
      <c r="X473" s="46"/>
      <c r="Y473" s="46"/>
      <c r="Z473" s="46"/>
      <c r="AA473" s="46"/>
      <c r="AB473" s="49" t="s">
        <v>575</v>
      </c>
      <c r="AC473" s="46">
        <v>36625.0</v>
      </c>
      <c r="AD473" s="46"/>
      <c r="AE473" s="46"/>
      <c r="AF473" s="55">
        <v>32.3</v>
      </c>
      <c r="AG473" s="56" t="s">
        <v>365</v>
      </c>
      <c r="AH473" s="49" t="s">
        <v>366</v>
      </c>
      <c r="AI473" s="26" t="s">
        <v>357</v>
      </c>
      <c r="AJ473" s="46"/>
      <c r="AK473" s="46"/>
      <c r="AL473" s="59" t="s">
        <v>357</v>
      </c>
      <c r="AM473" s="38" t="s">
        <v>357</v>
      </c>
      <c r="AN473" s="75" t="s">
        <v>357</v>
      </c>
    </row>
    <row r="474">
      <c r="A474" s="85" t="s">
        <v>712</v>
      </c>
      <c r="B474" s="18" t="s">
        <v>713</v>
      </c>
      <c r="C474" s="46" t="s">
        <v>197</v>
      </c>
      <c r="D474" s="47" t="s">
        <v>547</v>
      </c>
      <c r="E474" s="48" t="s">
        <v>7</v>
      </c>
      <c r="F474" s="46" t="s">
        <v>67</v>
      </c>
      <c r="G474" s="57" t="s">
        <v>354</v>
      </c>
      <c r="H474" s="49">
        <v>255.0</v>
      </c>
      <c r="I474" s="57" t="s">
        <v>354</v>
      </c>
      <c r="J474" s="46">
        <v>33.0</v>
      </c>
      <c r="K474" s="49">
        <v>0.0</v>
      </c>
      <c r="L474" s="57">
        <v>0.0</v>
      </c>
      <c r="M474" s="57" t="s">
        <v>354</v>
      </c>
      <c r="N474" s="101" t="s">
        <v>17</v>
      </c>
      <c r="O474" s="101" t="s">
        <v>17</v>
      </c>
      <c r="P474" s="24" t="s">
        <v>199</v>
      </c>
      <c r="Q474" s="24" t="s">
        <v>198</v>
      </c>
      <c r="R474" s="24" t="s">
        <v>198</v>
      </c>
      <c r="S474" s="46"/>
      <c r="T474" s="46"/>
      <c r="U474" s="46"/>
      <c r="V474" s="46"/>
      <c r="W474" s="46"/>
      <c r="X474" s="46"/>
      <c r="Y474" s="46"/>
      <c r="Z474" s="46"/>
      <c r="AA474" s="46"/>
      <c r="AB474" s="49" t="s">
        <v>714</v>
      </c>
      <c r="AC474" s="46"/>
      <c r="AD474" s="46"/>
      <c r="AE474" s="46"/>
      <c r="AF474" s="55">
        <v>33.79</v>
      </c>
      <c r="AG474" s="49" t="s">
        <v>356</v>
      </c>
      <c r="AH474" s="46"/>
      <c r="AI474" s="46"/>
      <c r="AJ474" s="46"/>
      <c r="AK474" s="46"/>
      <c r="AL474" s="80" t="s">
        <v>356</v>
      </c>
      <c r="AM474" s="79" t="s">
        <v>361</v>
      </c>
      <c r="AN474" s="76" t="s">
        <v>356</v>
      </c>
    </row>
    <row r="475">
      <c r="A475" s="85" t="s">
        <v>712</v>
      </c>
      <c r="B475" s="18" t="s">
        <v>713</v>
      </c>
      <c r="C475" s="46" t="s">
        <v>197</v>
      </c>
      <c r="D475" s="47" t="s">
        <v>547</v>
      </c>
      <c r="E475" s="48" t="s">
        <v>7</v>
      </c>
      <c r="F475" s="46" t="s">
        <v>67</v>
      </c>
      <c r="G475" s="57" t="s">
        <v>354</v>
      </c>
      <c r="H475" s="49">
        <v>265.0</v>
      </c>
      <c r="I475" s="57" t="s">
        <v>354</v>
      </c>
      <c r="J475" s="46">
        <v>31.0</v>
      </c>
      <c r="K475" s="49">
        <v>0.0</v>
      </c>
      <c r="L475" s="57">
        <v>0.0</v>
      </c>
      <c r="M475" s="57" t="s">
        <v>354</v>
      </c>
      <c r="N475" s="101" t="s">
        <v>17</v>
      </c>
      <c r="O475" s="101" t="s">
        <v>17</v>
      </c>
      <c r="P475" s="24" t="s">
        <v>199</v>
      </c>
      <c r="Q475" s="24" t="s">
        <v>198</v>
      </c>
      <c r="R475" s="24" t="s">
        <v>198</v>
      </c>
      <c r="S475" s="24" t="s">
        <v>198</v>
      </c>
      <c r="T475" s="46"/>
      <c r="U475" s="46"/>
      <c r="V475" s="46"/>
      <c r="W475" s="46"/>
      <c r="X475" s="46"/>
      <c r="Y475" s="46"/>
      <c r="Z475" s="46"/>
      <c r="AA475" s="46"/>
      <c r="AB475" s="49" t="s">
        <v>715</v>
      </c>
      <c r="AC475" s="46"/>
      <c r="AD475" s="46"/>
      <c r="AE475" s="46"/>
      <c r="AF475" s="49">
        <v>0.0</v>
      </c>
      <c r="AG475" s="63" t="s">
        <v>354</v>
      </c>
      <c r="AH475" s="63"/>
      <c r="AI475" s="63" t="s">
        <v>354</v>
      </c>
      <c r="AJ475" s="46"/>
      <c r="AK475" s="46"/>
      <c r="AL475" s="59" t="s">
        <v>357</v>
      </c>
      <c r="AM475" s="79" t="s">
        <v>361</v>
      </c>
      <c r="AN475" s="59" t="s">
        <v>357</v>
      </c>
    </row>
    <row r="476">
      <c r="A476" s="85" t="s">
        <v>712</v>
      </c>
      <c r="B476" s="18" t="s">
        <v>713</v>
      </c>
      <c r="C476" s="46" t="s">
        <v>197</v>
      </c>
      <c r="D476" s="47" t="s">
        <v>547</v>
      </c>
      <c r="E476" s="48" t="s">
        <v>7</v>
      </c>
      <c r="F476" s="46" t="s">
        <v>67</v>
      </c>
      <c r="G476" s="57" t="s">
        <v>354</v>
      </c>
      <c r="H476" s="49">
        <v>250.0</v>
      </c>
      <c r="I476" s="57" t="s">
        <v>354</v>
      </c>
      <c r="J476" s="46">
        <v>36.0</v>
      </c>
      <c r="K476" s="49">
        <v>0.0</v>
      </c>
      <c r="L476" s="57">
        <v>0.0</v>
      </c>
      <c r="M476" s="57" t="s">
        <v>354</v>
      </c>
      <c r="N476" s="101" t="s">
        <v>17</v>
      </c>
      <c r="O476" s="101" t="s">
        <v>17</v>
      </c>
      <c r="P476" s="24" t="s">
        <v>199</v>
      </c>
      <c r="Q476" s="24" t="s">
        <v>198</v>
      </c>
      <c r="R476" s="24" t="s">
        <v>198</v>
      </c>
      <c r="S476" s="24" t="s">
        <v>198</v>
      </c>
      <c r="T476" s="24" t="s">
        <v>198</v>
      </c>
      <c r="U476" s="46"/>
      <c r="V476" s="46"/>
      <c r="W476" s="46"/>
      <c r="X476" s="46"/>
      <c r="Y476" s="46"/>
      <c r="Z476" s="46"/>
      <c r="AA476" s="46"/>
      <c r="AB476" s="49" t="s">
        <v>716</v>
      </c>
      <c r="AC476" s="46"/>
      <c r="AD476" s="46"/>
      <c r="AE476" s="46"/>
      <c r="AF476" s="49">
        <v>0.0</v>
      </c>
      <c r="AG476" s="63" t="s">
        <v>354</v>
      </c>
      <c r="AH476" s="63"/>
      <c r="AI476" s="63" t="s">
        <v>354</v>
      </c>
      <c r="AJ476" s="46"/>
      <c r="AK476" s="46"/>
      <c r="AL476" s="79" t="s">
        <v>407</v>
      </c>
      <c r="AM476" s="80" t="s">
        <v>356</v>
      </c>
      <c r="AN476" s="80" t="s">
        <v>356</v>
      </c>
    </row>
    <row r="477">
      <c r="A477" s="85" t="s">
        <v>712</v>
      </c>
      <c r="B477" s="18" t="s">
        <v>713</v>
      </c>
      <c r="C477" s="46" t="s">
        <v>197</v>
      </c>
      <c r="D477" s="47" t="s">
        <v>547</v>
      </c>
      <c r="E477" s="48" t="s">
        <v>7</v>
      </c>
      <c r="F477" s="46" t="s">
        <v>67</v>
      </c>
      <c r="G477" s="57" t="s">
        <v>354</v>
      </c>
      <c r="H477" s="49">
        <v>260.0</v>
      </c>
      <c r="I477" s="57" t="s">
        <v>354</v>
      </c>
      <c r="J477" s="46">
        <v>35.0</v>
      </c>
      <c r="K477" s="49">
        <v>1.0</v>
      </c>
      <c r="L477" s="57">
        <v>0.0</v>
      </c>
      <c r="M477" s="57" t="s">
        <v>354</v>
      </c>
      <c r="N477" s="101" t="s">
        <v>17</v>
      </c>
      <c r="O477" s="101" t="s">
        <v>17</v>
      </c>
      <c r="P477" s="24" t="s">
        <v>199</v>
      </c>
      <c r="Q477" s="24" t="s">
        <v>198</v>
      </c>
      <c r="R477" s="24" t="s">
        <v>198</v>
      </c>
      <c r="S477" s="24" t="s">
        <v>198</v>
      </c>
      <c r="T477" s="24" t="s">
        <v>198</v>
      </c>
      <c r="U477" s="24" t="s">
        <v>198</v>
      </c>
      <c r="V477" s="46"/>
      <c r="W477" s="182"/>
      <c r="X477" s="182"/>
      <c r="Y477" s="182"/>
      <c r="Z477" s="182"/>
      <c r="AA477" s="46"/>
      <c r="AB477" s="49" t="s">
        <v>717</v>
      </c>
      <c r="AC477" s="46"/>
      <c r="AD477" s="46"/>
      <c r="AE477" s="46"/>
      <c r="AF477" s="49">
        <v>0.0</v>
      </c>
      <c r="AG477" s="63" t="s">
        <v>354</v>
      </c>
      <c r="AH477" s="63"/>
      <c r="AI477" s="63" t="s">
        <v>354</v>
      </c>
      <c r="AJ477" s="46"/>
      <c r="AK477" s="46"/>
      <c r="AL477" s="59" t="s">
        <v>357</v>
      </c>
      <c r="AM477" s="80" t="s">
        <v>356</v>
      </c>
      <c r="AN477" s="80" t="s">
        <v>356</v>
      </c>
    </row>
    <row r="478">
      <c r="A478" s="85" t="s">
        <v>712</v>
      </c>
      <c r="B478" s="18" t="s">
        <v>713</v>
      </c>
      <c r="C478" s="46" t="s">
        <v>197</v>
      </c>
      <c r="D478" s="47" t="s">
        <v>547</v>
      </c>
      <c r="E478" s="48" t="s">
        <v>7</v>
      </c>
      <c r="F478" s="46" t="s">
        <v>67</v>
      </c>
      <c r="G478" s="57" t="s">
        <v>354</v>
      </c>
      <c r="H478" s="49">
        <v>300.0</v>
      </c>
      <c r="I478" s="57" t="s">
        <v>354</v>
      </c>
      <c r="J478" s="46">
        <v>35.0</v>
      </c>
      <c r="K478" s="49">
        <v>1.0</v>
      </c>
      <c r="L478" s="57">
        <v>0.0</v>
      </c>
      <c r="M478" s="57" t="s">
        <v>354</v>
      </c>
      <c r="N478" s="101" t="s">
        <v>17</v>
      </c>
      <c r="O478" s="101" t="s">
        <v>17</v>
      </c>
      <c r="P478" s="24" t="s">
        <v>199</v>
      </c>
      <c r="Q478" s="24" t="s">
        <v>198</v>
      </c>
      <c r="R478" s="24" t="s">
        <v>198</v>
      </c>
      <c r="S478" s="24" t="s">
        <v>198</v>
      </c>
      <c r="T478" s="24" t="s">
        <v>198</v>
      </c>
      <c r="U478" s="24" t="s">
        <v>198</v>
      </c>
      <c r="V478" s="24" t="s">
        <v>198</v>
      </c>
      <c r="W478" s="44" t="s">
        <v>373</v>
      </c>
      <c r="X478" s="182"/>
      <c r="Y478" s="49"/>
      <c r="Z478" s="49"/>
      <c r="AA478" s="46"/>
      <c r="AB478" s="57" t="s">
        <v>354</v>
      </c>
      <c r="AC478" s="46"/>
      <c r="AD478" s="46"/>
      <c r="AE478" s="46"/>
      <c r="AF478" s="49">
        <v>0.0</v>
      </c>
      <c r="AG478" s="63" t="s">
        <v>354</v>
      </c>
      <c r="AH478" s="63"/>
      <c r="AI478" s="63" t="s">
        <v>354</v>
      </c>
      <c r="AJ478" s="46"/>
      <c r="AK478" s="46"/>
      <c r="AL478" s="80" t="s">
        <v>356</v>
      </c>
      <c r="AM478" s="80" t="s">
        <v>356</v>
      </c>
      <c r="AN478" s="80" t="s">
        <v>356</v>
      </c>
    </row>
    <row r="479">
      <c r="A479" s="85" t="s">
        <v>712</v>
      </c>
      <c r="B479" s="18" t="s">
        <v>713</v>
      </c>
      <c r="C479" s="136"/>
      <c r="D479" s="47" t="s">
        <v>547</v>
      </c>
      <c r="E479" s="48" t="s">
        <v>7</v>
      </c>
      <c r="F479" s="46" t="s">
        <v>67</v>
      </c>
      <c r="G479" s="57" t="s">
        <v>354</v>
      </c>
      <c r="H479" s="57" t="s">
        <v>354</v>
      </c>
      <c r="I479" s="57" t="s">
        <v>354</v>
      </c>
      <c r="J479" s="46">
        <v>35.0</v>
      </c>
      <c r="K479" s="49">
        <v>0.0</v>
      </c>
      <c r="L479" s="78">
        <v>1.0</v>
      </c>
      <c r="M479" s="78" t="s">
        <v>718</v>
      </c>
      <c r="N479" s="101" t="s">
        <v>17</v>
      </c>
      <c r="O479" s="101" t="s">
        <v>17</v>
      </c>
      <c r="P479" s="24" t="s">
        <v>199</v>
      </c>
      <c r="Q479" s="24" t="s">
        <v>198</v>
      </c>
      <c r="R479" s="24" t="s">
        <v>198</v>
      </c>
      <c r="S479" s="24" t="s">
        <v>198</v>
      </c>
      <c r="T479" s="24" t="s">
        <v>198</v>
      </c>
      <c r="U479" s="24" t="s">
        <v>198</v>
      </c>
      <c r="V479" s="24" t="s">
        <v>198</v>
      </c>
      <c r="W479" s="44" t="s">
        <v>373</v>
      </c>
      <c r="X479" s="18">
        <v>1509.0</v>
      </c>
      <c r="Y479" s="182"/>
      <c r="Z479" s="182"/>
      <c r="AA479" s="182"/>
      <c r="AB479" s="158" t="s">
        <v>455</v>
      </c>
      <c r="AC479" s="183"/>
      <c r="AD479" s="183"/>
      <c r="AE479" s="183"/>
      <c r="AF479" s="57">
        <v>0.0</v>
      </c>
      <c r="AG479" s="57" t="s">
        <v>354</v>
      </c>
      <c r="AH479" s="46"/>
      <c r="AI479" s="57" t="s">
        <v>354</v>
      </c>
      <c r="AJ479" s="46"/>
      <c r="AK479" s="46"/>
      <c r="AL479" s="92" t="s">
        <v>407</v>
      </c>
      <c r="AM479" s="46" t="s">
        <v>356</v>
      </c>
      <c r="AN479" s="46" t="s">
        <v>356</v>
      </c>
    </row>
    <row r="480">
      <c r="A480" s="85" t="s">
        <v>712</v>
      </c>
      <c r="B480" s="18" t="s">
        <v>713</v>
      </c>
      <c r="C480" s="46" t="s">
        <v>197</v>
      </c>
      <c r="D480" s="47" t="s">
        <v>547</v>
      </c>
      <c r="E480" s="48" t="s">
        <v>7</v>
      </c>
      <c r="F480" s="46" t="s">
        <v>67</v>
      </c>
      <c r="G480" s="57" t="s">
        <v>354</v>
      </c>
      <c r="H480" s="57" t="s">
        <v>354</v>
      </c>
      <c r="I480" s="57" t="s">
        <v>354</v>
      </c>
      <c r="J480" s="46">
        <v>35.0</v>
      </c>
      <c r="K480" s="49">
        <v>0.0</v>
      </c>
      <c r="L480" s="78">
        <v>1.0</v>
      </c>
      <c r="M480" s="78" t="s">
        <v>718</v>
      </c>
      <c r="N480" s="101" t="s">
        <v>17</v>
      </c>
      <c r="O480" s="101" t="s">
        <v>17</v>
      </c>
      <c r="P480" s="24" t="s">
        <v>199</v>
      </c>
      <c r="Q480" s="24" t="s">
        <v>198</v>
      </c>
      <c r="R480" s="24" t="s">
        <v>198</v>
      </c>
      <c r="S480" s="24" t="s">
        <v>198</v>
      </c>
      <c r="T480" s="24" t="s">
        <v>198</v>
      </c>
      <c r="U480" s="24" t="s">
        <v>198</v>
      </c>
      <c r="V480" s="24" t="s">
        <v>198</v>
      </c>
      <c r="W480" s="44" t="s">
        <v>373</v>
      </c>
      <c r="X480" s="18">
        <v>1509.0</v>
      </c>
      <c r="Y480" s="18" t="s">
        <v>719</v>
      </c>
      <c r="Z480" s="49"/>
      <c r="AA480" s="46"/>
      <c r="AB480" s="158" t="s">
        <v>455</v>
      </c>
      <c r="AC480" s="46"/>
      <c r="AD480" s="46"/>
      <c r="AE480" s="46"/>
      <c r="AF480" s="49">
        <v>0.0</v>
      </c>
      <c r="AG480" s="63" t="s">
        <v>354</v>
      </c>
      <c r="AH480" s="63"/>
      <c r="AI480" s="63" t="s">
        <v>354</v>
      </c>
      <c r="AJ480" s="46"/>
      <c r="AK480" s="46"/>
      <c r="AL480" s="80" t="s">
        <v>356</v>
      </c>
      <c r="AM480" s="80" t="s">
        <v>356</v>
      </c>
      <c r="AN480" s="80" t="s">
        <v>356</v>
      </c>
    </row>
    <row r="481">
      <c r="A481" s="85" t="s">
        <v>712</v>
      </c>
      <c r="B481" s="18" t="s">
        <v>713</v>
      </c>
      <c r="C481" s="46" t="s">
        <v>197</v>
      </c>
      <c r="D481" s="47" t="s">
        <v>547</v>
      </c>
      <c r="E481" s="48" t="s">
        <v>7</v>
      </c>
      <c r="F481" s="46" t="s">
        <v>67</v>
      </c>
      <c r="G481" s="57" t="s">
        <v>354</v>
      </c>
      <c r="H481" s="57" t="s">
        <v>354</v>
      </c>
      <c r="I481" s="57" t="s">
        <v>354</v>
      </c>
      <c r="J481" s="46">
        <v>35.0</v>
      </c>
      <c r="K481" s="49">
        <v>0.0</v>
      </c>
      <c r="L481" s="78">
        <v>1.0</v>
      </c>
      <c r="M481" s="78" t="s">
        <v>718</v>
      </c>
      <c r="N481" s="101" t="s">
        <v>17</v>
      </c>
      <c r="O481" s="101" t="s">
        <v>17</v>
      </c>
      <c r="P481" s="24" t="s">
        <v>199</v>
      </c>
      <c r="Q481" s="24" t="s">
        <v>198</v>
      </c>
      <c r="R481" s="24" t="s">
        <v>198</v>
      </c>
      <c r="S481" s="24" t="s">
        <v>198</v>
      </c>
      <c r="T481" s="24" t="s">
        <v>198</v>
      </c>
      <c r="U481" s="24" t="s">
        <v>198</v>
      </c>
      <c r="V481" s="24" t="s">
        <v>198</v>
      </c>
      <c r="W481" s="44" t="s">
        <v>373</v>
      </c>
      <c r="X481" s="18">
        <v>1509.0</v>
      </c>
      <c r="Y481" s="18" t="s">
        <v>719</v>
      </c>
      <c r="Z481" s="18" t="s">
        <v>720</v>
      </c>
      <c r="AA481" s="46"/>
      <c r="AB481" s="158" t="s">
        <v>455</v>
      </c>
      <c r="AC481" s="46"/>
      <c r="AD481" s="46"/>
      <c r="AE481" s="46"/>
      <c r="AF481" s="49">
        <v>0.0</v>
      </c>
      <c r="AG481" s="49" t="s">
        <v>356</v>
      </c>
      <c r="AH481" s="46"/>
      <c r="AI481" s="49" t="s">
        <v>356</v>
      </c>
      <c r="AJ481" s="164" t="s">
        <v>413</v>
      </c>
      <c r="AK481" s="49" t="s">
        <v>356</v>
      </c>
      <c r="AL481" s="53" t="s">
        <v>361</v>
      </c>
      <c r="AM481" s="46" t="s">
        <v>356</v>
      </c>
      <c r="AN481" s="54" t="s">
        <v>356</v>
      </c>
    </row>
    <row r="482">
      <c r="A482" s="85" t="s">
        <v>712</v>
      </c>
      <c r="B482" s="18" t="s">
        <v>713</v>
      </c>
      <c r="C482" s="46" t="s">
        <v>197</v>
      </c>
      <c r="D482" s="47" t="s">
        <v>547</v>
      </c>
      <c r="E482" s="48" t="s">
        <v>7</v>
      </c>
      <c r="F482" s="46" t="s">
        <v>67</v>
      </c>
      <c r="G482" s="57" t="s">
        <v>354</v>
      </c>
      <c r="H482" s="57" t="s">
        <v>354</v>
      </c>
      <c r="I482" s="57" t="s">
        <v>354</v>
      </c>
      <c r="J482" s="46">
        <v>35.0</v>
      </c>
      <c r="K482" s="49">
        <v>1.0</v>
      </c>
      <c r="L482" s="78">
        <v>1.0</v>
      </c>
      <c r="M482" s="78" t="s">
        <v>718</v>
      </c>
      <c r="N482" s="101" t="s">
        <v>17</v>
      </c>
      <c r="O482" s="101" t="s">
        <v>17</v>
      </c>
      <c r="P482" s="24" t="s">
        <v>199</v>
      </c>
      <c r="Q482" s="24" t="s">
        <v>198</v>
      </c>
      <c r="R482" s="24" t="s">
        <v>198</v>
      </c>
      <c r="S482" s="24" t="s">
        <v>198</v>
      </c>
      <c r="T482" s="24" t="s">
        <v>198</v>
      </c>
      <c r="U482" s="24" t="s">
        <v>198</v>
      </c>
      <c r="V482" s="24" t="s">
        <v>198</v>
      </c>
      <c r="W482" s="44" t="s">
        <v>373</v>
      </c>
      <c r="X482" s="18">
        <v>1509.0</v>
      </c>
      <c r="Y482" s="18" t="s">
        <v>719</v>
      </c>
      <c r="Z482" s="18" t="s">
        <v>720</v>
      </c>
      <c r="AA482" s="18" t="s">
        <v>719</v>
      </c>
      <c r="AB482" s="158" t="s">
        <v>455</v>
      </c>
      <c r="AC482" s="46"/>
      <c r="AD482" s="46"/>
      <c r="AE482" s="46"/>
      <c r="AF482" s="49">
        <v>0.0</v>
      </c>
      <c r="AG482" s="63" t="s">
        <v>354</v>
      </c>
      <c r="AH482" s="63"/>
      <c r="AI482" s="63" t="s">
        <v>354</v>
      </c>
      <c r="AJ482" s="46"/>
      <c r="AK482" s="46"/>
      <c r="AL482" s="80" t="s">
        <v>356</v>
      </c>
      <c r="AM482" s="80" t="s">
        <v>356</v>
      </c>
      <c r="AN482" s="80" t="s">
        <v>356</v>
      </c>
    </row>
    <row r="483">
      <c r="A483" s="17" t="s">
        <v>201</v>
      </c>
      <c r="B483" s="18" t="s">
        <v>721</v>
      </c>
      <c r="C483" s="19" t="s">
        <v>200</v>
      </c>
      <c r="D483" s="20" t="s">
        <v>547</v>
      </c>
      <c r="E483" s="21" t="s">
        <v>7</v>
      </c>
      <c r="F483" s="19" t="s">
        <v>67</v>
      </c>
      <c r="G483" s="23">
        <v>123.0</v>
      </c>
      <c r="H483" s="23">
        <v>265.0</v>
      </c>
      <c r="I483" s="22" t="s">
        <v>354</v>
      </c>
      <c r="J483" s="19">
        <v>54.0</v>
      </c>
      <c r="K483" s="23">
        <v>1.0</v>
      </c>
      <c r="L483" s="22">
        <v>0.0</v>
      </c>
      <c r="M483" s="22" t="s">
        <v>354</v>
      </c>
      <c r="N483" s="101" t="s">
        <v>17</v>
      </c>
      <c r="O483" s="101" t="s">
        <v>17</v>
      </c>
      <c r="P483" s="24" t="s">
        <v>202</v>
      </c>
      <c r="Q483" s="19"/>
      <c r="R483" s="19"/>
      <c r="S483" s="19"/>
      <c r="T483" s="19"/>
      <c r="U483" s="19"/>
      <c r="V483" s="19"/>
      <c r="W483" s="19"/>
      <c r="X483" s="19"/>
      <c r="Y483" s="19"/>
      <c r="Z483" s="19"/>
      <c r="AA483" s="19"/>
      <c r="AB483" s="22" t="s">
        <v>354</v>
      </c>
      <c r="AC483" s="19">
        <v>36448.0</v>
      </c>
      <c r="AD483" s="19"/>
      <c r="AE483" s="19"/>
      <c r="AF483" s="33">
        <v>0.0</v>
      </c>
      <c r="AG483" s="23" t="s">
        <v>356</v>
      </c>
      <c r="AH483" s="19"/>
      <c r="AI483" s="19"/>
      <c r="AJ483" s="19"/>
      <c r="AK483" s="19"/>
      <c r="AL483" s="23" t="s">
        <v>356</v>
      </c>
      <c r="AM483" s="23" t="s">
        <v>356</v>
      </c>
      <c r="AN483" s="23" t="s">
        <v>356</v>
      </c>
    </row>
    <row r="484">
      <c r="A484" s="17" t="s">
        <v>201</v>
      </c>
      <c r="B484" s="18" t="s">
        <v>721</v>
      </c>
      <c r="C484" s="19" t="s">
        <v>200</v>
      </c>
      <c r="D484" s="20" t="s">
        <v>547</v>
      </c>
      <c r="E484" s="21" t="s">
        <v>7</v>
      </c>
      <c r="F484" s="19" t="s">
        <v>67</v>
      </c>
      <c r="G484" s="22" t="s">
        <v>354</v>
      </c>
      <c r="H484" s="23">
        <v>215.0</v>
      </c>
      <c r="I484" s="22" t="s">
        <v>354</v>
      </c>
      <c r="J484" s="19">
        <v>36.0</v>
      </c>
      <c r="K484" s="23">
        <v>0.0</v>
      </c>
      <c r="L484" s="22">
        <v>0.0</v>
      </c>
      <c r="M484" s="22" t="s">
        <v>354</v>
      </c>
      <c r="N484" s="101" t="s">
        <v>17</v>
      </c>
      <c r="O484" s="101" t="s">
        <v>17</v>
      </c>
      <c r="P484" s="24" t="s">
        <v>202</v>
      </c>
      <c r="Q484" s="24" t="s">
        <v>201</v>
      </c>
      <c r="R484" s="19"/>
      <c r="S484" s="19"/>
      <c r="T484" s="19"/>
      <c r="U484" s="19"/>
      <c r="V484" s="19"/>
      <c r="W484" s="19"/>
      <c r="X484" s="19"/>
      <c r="Y484" s="19"/>
      <c r="Z484" s="19"/>
      <c r="AA484" s="19"/>
      <c r="AB484" s="22" t="s">
        <v>354</v>
      </c>
      <c r="AC484" s="19">
        <v>36626.0</v>
      </c>
      <c r="AD484" s="19"/>
      <c r="AE484" s="19"/>
      <c r="AF484" s="33">
        <v>0.0</v>
      </c>
      <c r="AG484" s="23" t="s">
        <v>356</v>
      </c>
      <c r="AH484" s="19"/>
      <c r="AI484" s="19"/>
      <c r="AJ484" s="19"/>
      <c r="AK484" s="19"/>
      <c r="AL484" s="23" t="s">
        <v>356</v>
      </c>
      <c r="AM484" s="23" t="s">
        <v>356</v>
      </c>
      <c r="AN484" s="23" t="s">
        <v>356</v>
      </c>
    </row>
    <row r="485">
      <c r="A485" s="17" t="s">
        <v>201</v>
      </c>
      <c r="B485" s="18" t="s">
        <v>721</v>
      </c>
      <c r="C485" s="19" t="s">
        <v>200</v>
      </c>
      <c r="D485" s="20" t="s">
        <v>547</v>
      </c>
      <c r="E485" s="21" t="s">
        <v>7</v>
      </c>
      <c r="F485" s="19" t="s">
        <v>67</v>
      </c>
      <c r="G485" s="22" t="s">
        <v>354</v>
      </c>
      <c r="H485" s="23">
        <v>205.0</v>
      </c>
      <c r="I485" s="22" t="s">
        <v>354</v>
      </c>
      <c r="J485" s="19">
        <v>34.0</v>
      </c>
      <c r="K485" s="23">
        <v>0.0</v>
      </c>
      <c r="L485" s="22">
        <v>0.0</v>
      </c>
      <c r="M485" s="22" t="s">
        <v>354</v>
      </c>
      <c r="N485" s="101" t="s">
        <v>17</v>
      </c>
      <c r="O485" s="101" t="s">
        <v>17</v>
      </c>
      <c r="P485" s="24" t="s">
        <v>202</v>
      </c>
      <c r="Q485" s="24" t="s">
        <v>201</v>
      </c>
      <c r="R485" s="24" t="s">
        <v>201</v>
      </c>
      <c r="S485" s="19"/>
      <c r="T485" s="19"/>
      <c r="U485" s="19"/>
      <c r="V485" s="19"/>
      <c r="W485" s="19"/>
      <c r="X485" s="19"/>
      <c r="Y485" s="19"/>
      <c r="Z485" s="19"/>
      <c r="AA485" s="19"/>
      <c r="AB485" s="23" t="s">
        <v>714</v>
      </c>
      <c r="AC485" s="19"/>
      <c r="AD485" s="19"/>
      <c r="AE485" s="19"/>
      <c r="AF485" s="33">
        <v>0.0</v>
      </c>
      <c r="AG485" s="23" t="s">
        <v>356</v>
      </c>
      <c r="AH485" s="19"/>
      <c r="AI485" s="19"/>
      <c r="AJ485" s="19"/>
      <c r="AK485" s="19"/>
      <c r="AL485" s="23" t="s">
        <v>356</v>
      </c>
      <c r="AM485" s="23" t="s">
        <v>356</v>
      </c>
      <c r="AN485" s="23" t="s">
        <v>356</v>
      </c>
    </row>
    <row r="486">
      <c r="A486" s="17" t="s">
        <v>201</v>
      </c>
      <c r="B486" s="18" t="s">
        <v>721</v>
      </c>
      <c r="C486" s="19" t="s">
        <v>200</v>
      </c>
      <c r="D486" s="20" t="s">
        <v>547</v>
      </c>
      <c r="E486" s="21" t="s">
        <v>7</v>
      </c>
      <c r="F486" s="19" t="s">
        <v>67</v>
      </c>
      <c r="G486" s="22" t="s">
        <v>354</v>
      </c>
      <c r="H486" s="23">
        <v>210.0</v>
      </c>
      <c r="I486" s="22" t="s">
        <v>354</v>
      </c>
      <c r="J486" s="19">
        <v>32.0</v>
      </c>
      <c r="K486" s="23">
        <v>0.0</v>
      </c>
      <c r="L486" s="22">
        <v>0.0</v>
      </c>
      <c r="M486" s="22" t="s">
        <v>354</v>
      </c>
      <c r="N486" s="101" t="s">
        <v>17</v>
      </c>
      <c r="O486" s="101" t="s">
        <v>17</v>
      </c>
      <c r="P486" s="24" t="s">
        <v>202</v>
      </c>
      <c r="Q486" s="24" t="s">
        <v>201</v>
      </c>
      <c r="R486" s="24" t="s">
        <v>201</v>
      </c>
      <c r="S486" s="24" t="s">
        <v>201</v>
      </c>
      <c r="T486" s="19"/>
      <c r="U486" s="19"/>
      <c r="V486" s="19"/>
      <c r="W486" s="19"/>
      <c r="X486" s="19"/>
      <c r="Y486" s="19"/>
      <c r="Z486" s="19"/>
      <c r="AA486" s="19"/>
      <c r="AB486" s="22" t="s">
        <v>354</v>
      </c>
      <c r="AC486" s="19"/>
      <c r="AD486" s="19"/>
      <c r="AE486" s="19"/>
      <c r="AF486" s="36">
        <v>34.38</v>
      </c>
      <c r="AG486" s="23" t="s">
        <v>354</v>
      </c>
      <c r="AH486" s="19"/>
      <c r="AI486" s="23" t="s">
        <v>354</v>
      </c>
      <c r="AJ486" s="19"/>
      <c r="AK486" s="19"/>
      <c r="AL486" s="23" t="s">
        <v>356</v>
      </c>
      <c r="AM486" s="23" t="s">
        <v>356</v>
      </c>
      <c r="AN486" s="23" t="s">
        <v>356</v>
      </c>
    </row>
    <row r="487">
      <c r="A487" s="17" t="s">
        <v>201</v>
      </c>
      <c r="B487" s="18" t="s">
        <v>721</v>
      </c>
      <c r="C487" s="19" t="s">
        <v>200</v>
      </c>
      <c r="D487" s="20" t="s">
        <v>547</v>
      </c>
      <c r="E487" s="21" t="s">
        <v>7</v>
      </c>
      <c r="F487" s="19" t="s">
        <v>67</v>
      </c>
      <c r="G487" s="22" t="s">
        <v>354</v>
      </c>
      <c r="H487" s="23">
        <v>280.0</v>
      </c>
      <c r="I487" s="22" t="s">
        <v>354</v>
      </c>
      <c r="J487" s="19">
        <v>37.0</v>
      </c>
      <c r="K487" s="23">
        <v>0.0</v>
      </c>
      <c r="L487" s="22">
        <v>0.0</v>
      </c>
      <c r="M487" s="22" t="s">
        <v>354</v>
      </c>
      <c r="N487" s="101" t="s">
        <v>17</v>
      </c>
      <c r="O487" s="101" t="s">
        <v>17</v>
      </c>
      <c r="P487" s="24" t="s">
        <v>202</v>
      </c>
      <c r="Q487" s="24" t="s">
        <v>201</v>
      </c>
      <c r="R487" s="24" t="s">
        <v>201</v>
      </c>
      <c r="S487" s="24" t="s">
        <v>201</v>
      </c>
      <c r="T487" s="24" t="s">
        <v>201</v>
      </c>
      <c r="U487" s="19"/>
      <c r="V487" s="19"/>
      <c r="W487" s="19"/>
      <c r="X487" s="19"/>
      <c r="Y487" s="19"/>
      <c r="Z487" s="19"/>
      <c r="AA487" s="19"/>
      <c r="AB487" s="22" t="s">
        <v>354</v>
      </c>
      <c r="AC487" s="19"/>
      <c r="AD487" s="19"/>
      <c r="AE487" s="19"/>
      <c r="AF487" s="33">
        <v>0.0</v>
      </c>
      <c r="AG487" s="33" t="s">
        <v>354</v>
      </c>
      <c r="AH487" s="33"/>
      <c r="AI487" s="33" t="s">
        <v>354</v>
      </c>
      <c r="AJ487" s="19"/>
      <c r="AK487" s="19"/>
      <c r="AL487" s="70" t="s">
        <v>361</v>
      </c>
      <c r="AM487" s="19" t="s">
        <v>356</v>
      </c>
      <c r="AN487" s="19" t="s">
        <v>356</v>
      </c>
    </row>
    <row r="488">
      <c r="A488" s="17" t="s">
        <v>201</v>
      </c>
      <c r="B488" s="18" t="s">
        <v>721</v>
      </c>
      <c r="C488" s="19" t="s">
        <v>200</v>
      </c>
      <c r="D488" s="20" t="s">
        <v>547</v>
      </c>
      <c r="E488" s="21" t="s">
        <v>7</v>
      </c>
      <c r="F488" s="19" t="s">
        <v>67</v>
      </c>
      <c r="G488" s="22" t="s">
        <v>354</v>
      </c>
      <c r="H488" s="23">
        <v>290.0</v>
      </c>
      <c r="I488" s="22" t="s">
        <v>354</v>
      </c>
      <c r="J488" s="19">
        <v>36.0</v>
      </c>
      <c r="K488" s="23">
        <v>0.0</v>
      </c>
      <c r="L488" s="22">
        <v>0.0</v>
      </c>
      <c r="M488" s="22" t="s">
        <v>354</v>
      </c>
      <c r="N488" s="101" t="s">
        <v>17</v>
      </c>
      <c r="O488" s="101" t="s">
        <v>17</v>
      </c>
      <c r="P488" s="24" t="s">
        <v>202</v>
      </c>
      <c r="Q488" s="24" t="s">
        <v>201</v>
      </c>
      <c r="R488" s="24" t="s">
        <v>201</v>
      </c>
      <c r="S488" s="24" t="s">
        <v>201</v>
      </c>
      <c r="T488" s="24" t="s">
        <v>201</v>
      </c>
      <c r="U488" s="24" t="s">
        <v>201</v>
      </c>
      <c r="V488" s="19"/>
      <c r="W488" s="19"/>
      <c r="X488" s="19"/>
      <c r="Y488" s="19"/>
      <c r="Z488" s="19"/>
      <c r="AA488" s="19"/>
      <c r="AB488" s="23" t="s">
        <v>662</v>
      </c>
      <c r="AC488" s="19"/>
      <c r="AD488" s="19"/>
      <c r="AE488" s="19"/>
      <c r="AF488" s="33">
        <v>0.0</v>
      </c>
      <c r="AG488" s="33" t="s">
        <v>354</v>
      </c>
      <c r="AH488" s="33"/>
      <c r="AI488" s="33" t="s">
        <v>354</v>
      </c>
      <c r="AJ488" s="19"/>
      <c r="AK488" s="19"/>
      <c r="AL488" s="70" t="s">
        <v>361</v>
      </c>
      <c r="AM488" s="19" t="s">
        <v>356</v>
      </c>
      <c r="AN488" s="19" t="s">
        <v>356</v>
      </c>
    </row>
    <row r="489">
      <c r="A489" s="17" t="s">
        <v>201</v>
      </c>
      <c r="B489" s="18" t="s">
        <v>721</v>
      </c>
      <c r="C489" s="19" t="s">
        <v>200</v>
      </c>
      <c r="D489" s="20" t="s">
        <v>547</v>
      </c>
      <c r="E489" s="21" t="s">
        <v>7</v>
      </c>
      <c r="F489" s="19" t="s">
        <v>67</v>
      </c>
      <c r="G489" s="22" t="s">
        <v>354</v>
      </c>
      <c r="H489" s="23">
        <v>250.0</v>
      </c>
      <c r="I489" s="22" t="s">
        <v>354</v>
      </c>
      <c r="J489" s="19">
        <v>36.0</v>
      </c>
      <c r="K489" s="23">
        <v>0.0</v>
      </c>
      <c r="L489" s="22">
        <v>0.0</v>
      </c>
      <c r="M489" s="22" t="s">
        <v>354</v>
      </c>
      <c r="N489" s="101" t="s">
        <v>17</v>
      </c>
      <c r="O489" s="101" t="s">
        <v>17</v>
      </c>
      <c r="P489" s="24" t="s">
        <v>202</v>
      </c>
      <c r="Q489" s="24" t="s">
        <v>201</v>
      </c>
      <c r="R489" s="24" t="s">
        <v>201</v>
      </c>
      <c r="S489" s="24" t="s">
        <v>201</v>
      </c>
      <c r="T489" s="24" t="s">
        <v>201</v>
      </c>
      <c r="U489" s="24" t="s">
        <v>201</v>
      </c>
      <c r="V489" s="24" t="s">
        <v>201</v>
      </c>
      <c r="W489" s="19"/>
      <c r="X489" s="19"/>
      <c r="Y489" s="19"/>
      <c r="Z489" s="19"/>
      <c r="AA489" s="19"/>
      <c r="AB489" s="23" t="s">
        <v>514</v>
      </c>
      <c r="AC489" s="19"/>
      <c r="AD489" s="19"/>
      <c r="AE489" s="19"/>
      <c r="AF489" s="33">
        <v>0.0</v>
      </c>
      <c r="AG489" s="33" t="s">
        <v>354</v>
      </c>
      <c r="AH489" s="33"/>
      <c r="AI489" s="33" t="s">
        <v>354</v>
      </c>
      <c r="AJ489" s="19"/>
      <c r="AK489" s="19"/>
      <c r="AL489" s="19" t="s">
        <v>356</v>
      </c>
      <c r="AM489" s="70" t="s">
        <v>361</v>
      </c>
      <c r="AN489" s="19" t="s">
        <v>356</v>
      </c>
    </row>
    <row r="490">
      <c r="A490" s="17" t="s">
        <v>201</v>
      </c>
      <c r="B490" s="18" t="s">
        <v>721</v>
      </c>
      <c r="C490" s="19" t="s">
        <v>200</v>
      </c>
      <c r="D490" s="20" t="s">
        <v>547</v>
      </c>
      <c r="E490" s="21" t="s">
        <v>7</v>
      </c>
      <c r="F490" s="19" t="s">
        <v>67</v>
      </c>
      <c r="G490" s="22" t="s">
        <v>354</v>
      </c>
      <c r="H490" s="23">
        <v>119.0</v>
      </c>
      <c r="I490" s="22" t="s">
        <v>354</v>
      </c>
      <c r="J490" s="19">
        <v>36.0</v>
      </c>
      <c r="K490" s="23">
        <v>215.0</v>
      </c>
      <c r="L490" s="22">
        <v>0.0</v>
      </c>
      <c r="M490" s="22" t="s">
        <v>354</v>
      </c>
      <c r="N490" s="101" t="s">
        <v>17</v>
      </c>
      <c r="O490" s="101" t="s">
        <v>17</v>
      </c>
      <c r="P490" s="24" t="s">
        <v>202</v>
      </c>
      <c r="Q490" s="24" t="s">
        <v>201</v>
      </c>
      <c r="R490" s="24" t="s">
        <v>201</v>
      </c>
      <c r="S490" s="24" t="s">
        <v>201</v>
      </c>
      <c r="T490" s="24" t="s">
        <v>201</v>
      </c>
      <c r="U490" s="24" t="s">
        <v>201</v>
      </c>
      <c r="V490" s="24" t="s">
        <v>201</v>
      </c>
      <c r="W490" s="18" t="s">
        <v>722</v>
      </c>
      <c r="X490" s="19"/>
      <c r="Y490" s="19"/>
      <c r="Z490" s="19"/>
      <c r="AA490" s="19"/>
      <c r="AB490" s="184" t="s">
        <v>723</v>
      </c>
      <c r="AC490" s="19"/>
      <c r="AD490" s="19"/>
      <c r="AE490" s="19"/>
      <c r="AF490" s="33">
        <v>0.0</v>
      </c>
      <c r="AG490" s="33" t="s">
        <v>354</v>
      </c>
      <c r="AH490" s="33"/>
      <c r="AI490" s="33" t="s">
        <v>354</v>
      </c>
      <c r="AJ490" s="19"/>
      <c r="AK490" s="19"/>
      <c r="AL490" s="19" t="s">
        <v>356</v>
      </c>
      <c r="AM490" s="19" t="s">
        <v>356</v>
      </c>
      <c r="AN490" s="19" t="s">
        <v>356</v>
      </c>
    </row>
    <row r="491">
      <c r="A491" s="17" t="s">
        <v>201</v>
      </c>
      <c r="B491" s="18" t="s">
        <v>721</v>
      </c>
      <c r="C491" s="19" t="s">
        <v>200</v>
      </c>
      <c r="D491" s="20" t="s">
        <v>547</v>
      </c>
      <c r="E491" s="21" t="s">
        <v>7</v>
      </c>
      <c r="F491" s="19" t="s">
        <v>67</v>
      </c>
      <c r="G491" s="22" t="s">
        <v>354</v>
      </c>
      <c r="H491" s="22" t="s">
        <v>354</v>
      </c>
      <c r="I491" s="22" t="s">
        <v>354</v>
      </c>
      <c r="J491" s="19">
        <v>36.0</v>
      </c>
      <c r="K491" s="23">
        <v>0.0</v>
      </c>
      <c r="L491" s="41">
        <v>0.0</v>
      </c>
      <c r="M491" s="41" t="s">
        <v>354</v>
      </c>
      <c r="N491" s="101" t="s">
        <v>17</v>
      </c>
      <c r="O491" s="101" t="s">
        <v>17</v>
      </c>
      <c r="P491" s="24" t="s">
        <v>202</v>
      </c>
      <c r="Q491" s="24" t="s">
        <v>201</v>
      </c>
      <c r="R491" s="24" t="s">
        <v>201</v>
      </c>
      <c r="S491" s="24" t="s">
        <v>201</v>
      </c>
      <c r="T491" s="24" t="s">
        <v>201</v>
      </c>
      <c r="U491" s="24" t="s">
        <v>201</v>
      </c>
      <c r="V491" s="24" t="s">
        <v>201</v>
      </c>
      <c r="W491" s="18" t="s">
        <v>722</v>
      </c>
      <c r="X491" s="83" t="s">
        <v>201</v>
      </c>
      <c r="Y491" s="23"/>
      <c r="Z491" s="23"/>
      <c r="AA491" s="19"/>
      <c r="AB491" s="184" t="s">
        <v>371</v>
      </c>
      <c r="AC491" s="19"/>
      <c r="AD491" s="19"/>
      <c r="AE491" s="19"/>
      <c r="AF491" s="33">
        <v>0.0</v>
      </c>
      <c r="AG491" s="33" t="s">
        <v>354</v>
      </c>
      <c r="AH491" s="33"/>
      <c r="AI491" s="33" t="s">
        <v>354</v>
      </c>
      <c r="AJ491" s="19"/>
      <c r="AK491" s="19"/>
      <c r="AL491" s="19" t="s">
        <v>356</v>
      </c>
      <c r="AM491" s="19" t="s">
        <v>356</v>
      </c>
      <c r="AN491" s="19" t="s">
        <v>356</v>
      </c>
    </row>
    <row r="492">
      <c r="A492" s="17" t="s">
        <v>201</v>
      </c>
      <c r="B492" s="18" t="s">
        <v>721</v>
      </c>
      <c r="C492" s="19" t="s">
        <v>200</v>
      </c>
      <c r="D492" s="20" t="s">
        <v>547</v>
      </c>
      <c r="E492" s="21" t="s">
        <v>7</v>
      </c>
      <c r="F492" s="19" t="s">
        <v>67</v>
      </c>
      <c r="G492" s="22" t="s">
        <v>354</v>
      </c>
      <c r="H492" s="22" t="s">
        <v>354</v>
      </c>
      <c r="I492" s="22" t="s">
        <v>354</v>
      </c>
      <c r="J492" s="19">
        <v>36.0</v>
      </c>
      <c r="K492" s="23">
        <v>0.0</v>
      </c>
      <c r="L492" s="41">
        <v>0.0</v>
      </c>
      <c r="M492" s="41" t="s">
        <v>354</v>
      </c>
      <c r="N492" s="101" t="s">
        <v>17</v>
      </c>
      <c r="O492" s="101" t="s">
        <v>17</v>
      </c>
      <c r="P492" s="24" t="s">
        <v>202</v>
      </c>
      <c r="Q492" s="24" t="s">
        <v>201</v>
      </c>
      <c r="R492" s="24" t="s">
        <v>201</v>
      </c>
      <c r="S492" s="24" t="s">
        <v>201</v>
      </c>
      <c r="T492" s="24" t="s">
        <v>201</v>
      </c>
      <c r="U492" s="24" t="s">
        <v>201</v>
      </c>
      <c r="V492" s="24" t="s">
        <v>201</v>
      </c>
      <c r="W492" s="18" t="s">
        <v>722</v>
      </c>
      <c r="X492" s="83" t="s">
        <v>201</v>
      </c>
      <c r="Y492" s="18" t="s">
        <v>201</v>
      </c>
      <c r="Z492" s="23"/>
      <c r="AA492" s="19"/>
      <c r="AB492" s="184" t="s">
        <v>371</v>
      </c>
      <c r="AC492" s="19"/>
      <c r="AD492" s="19"/>
      <c r="AE492" s="19"/>
      <c r="AF492" s="33">
        <v>0.0</v>
      </c>
      <c r="AG492" s="33" t="s">
        <v>354</v>
      </c>
      <c r="AH492" s="33"/>
      <c r="AI492" s="33" t="s">
        <v>354</v>
      </c>
      <c r="AJ492" s="19"/>
      <c r="AK492" s="19"/>
      <c r="AL492" s="19" t="s">
        <v>356</v>
      </c>
      <c r="AM492" s="19" t="s">
        <v>356</v>
      </c>
      <c r="AN492" s="19" t="s">
        <v>356</v>
      </c>
    </row>
    <row r="493">
      <c r="A493" s="17" t="s">
        <v>201</v>
      </c>
      <c r="B493" s="18" t="s">
        <v>721</v>
      </c>
      <c r="C493" s="19" t="s">
        <v>200</v>
      </c>
      <c r="D493" s="20" t="s">
        <v>547</v>
      </c>
      <c r="E493" s="21" t="s">
        <v>7</v>
      </c>
      <c r="F493" s="19" t="s">
        <v>67</v>
      </c>
      <c r="G493" s="22" t="s">
        <v>354</v>
      </c>
      <c r="H493" s="22" t="s">
        <v>354</v>
      </c>
      <c r="I493" s="22" t="s">
        <v>354</v>
      </c>
      <c r="J493" s="19">
        <v>36.0</v>
      </c>
      <c r="K493" s="23">
        <v>1.0</v>
      </c>
      <c r="L493" s="41">
        <v>0.0</v>
      </c>
      <c r="M493" s="41" t="s">
        <v>354</v>
      </c>
      <c r="N493" s="101" t="s">
        <v>17</v>
      </c>
      <c r="O493" s="101" t="s">
        <v>17</v>
      </c>
      <c r="P493" s="24" t="s">
        <v>202</v>
      </c>
      <c r="Q493" s="24" t="s">
        <v>201</v>
      </c>
      <c r="R493" s="24" t="s">
        <v>201</v>
      </c>
      <c r="S493" s="24" t="s">
        <v>201</v>
      </c>
      <c r="T493" s="24" t="s">
        <v>201</v>
      </c>
      <c r="U493" s="24" t="s">
        <v>201</v>
      </c>
      <c r="V493" s="24" t="s">
        <v>201</v>
      </c>
      <c r="W493" s="18" t="s">
        <v>722</v>
      </c>
      <c r="X493" s="83" t="s">
        <v>201</v>
      </c>
      <c r="Y493" s="18" t="s">
        <v>201</v>
      </c>
      <c r="Z493" s="18" t="s">
        <v>724</v>
      </c>
      <c r="AA493" s="19"/>
      <c r="AB493" s="184" t="s">
        <v>371</v>
      </c>
      <c r="AC493" s="19"/>
      <c r="AD493" s="19"/>
      <c r="AE493" s="19"/>
      <c r="AF493" s="33">
        <v>0.0</v>
      </c>
      <c r="AG493" s="23" t="s">
        <v>356</v>
      </c>
      <c r="AH493" s="19"/>
      <c r="AI493" s="23" t="s">
        <v>356</v>
      </c>
      <c r="AJ493" s="23" t="s">
        <v>356</v>
      </c>
      <c r="AK493" s="23" t="s">
        <v>356</v>
      </c>
      <c r="AL493" s="23" t="s">
        <v>356</v>
      </c>
      <c r="AM493" s="70" t="s">
        <v>361</v>
      </c>
      <c r="AN493" s="23" t="s">
        <v>356</v>
      </c>
    </row>
    <row r="494">
      <c r="A494" s="17" t="s">
        <v>201</v>
      </c>
      <c r="B494" s="18" t="s">
        <v>721</v>
      </c>
      <c r="C494" s="19" t="s">
        <v>200</v>
      </c>
      <c r="D494" s="20" t="s">
        <v>547</v>
      </c>
      <c r="E494" s="21" t="s">
        <v>7</v>
      </c>
      <c r="F494" s="19" t="s">
        <v>67</v>
      </c>
      <c r="G494" s="22" t="s">
        <v>354</v>
      </c>
      <c r="H494" s="22" t="s">
        <v>354</v>
      </c>
      <c r="I494" s="22" t="s">
        <v>354</v>
      </c>
      <c r="J494" s="19">
        <v>36.0</v>
      </c>
      <c r="K494" s="23">
        <v>1.0</v>
      </c>
      <c r="L494" s="41">
        <v>0.0</v>
      </c>
      <c r="M494" s="41" t="s">
        <v>354</v>
      </c>
      <c r="N494" s="101" t="s">
        <v>17</v>
      </c>
      <c r="O494" s="101" t="s">
        <v>17</v>
      </c>
      <c r="P494" s="24" t="s">
        <v>202</v>
      </c>
      <c r="Q494" s="24" t="s">
        <v>201</v>
      </c>
      <c r="R494" s="24" t="s">
        <v>201</v>
      </c>
      <c r="S494" s="24" t="s">
        <v>201</v>
      </c>
      <c r="T494" s="24" t="s">
        <v>201</v>
      </c>
      <c r="U494" s="24" t="s">
        <v>201</v>
      </c>
      <c r="V494" s="24" t="s">
        <v>201</v>
      </c>
      <c r="W494" s="18" t="s">
        <v>722</v>
      </c>
      <c r="X494" s="83" t="s">
        <v>201</v>
      </c>
      <c r="Y494" s="18" t="s">
        <v>201</v>
      </c>
      <c r="Z494" s="18" t="s">
        <v>724</v>
      </c>
      <c r="AA494" s="18" t="s">
        <v>201</v>
      </c>
      <c r="AB494" s="184" t="s">
        <v>371</v>
      </c>
      <c r="AC494" s="19"/>
      <c r="AD494" s="19"/>
      <c r="AE494" s="19"/>
      <c r="AF494" s="33">
        <v>0.0</v>
      </c>
      <c r="AG494" s="33" t="s">
        <v>354</v>
      </c>
      <c r="AH494" s="33"/>
      <c r="AI494" s="33" t="s">
        <v>354</v>
      </c>
      <c r="AJ494" s="19"/>
      <c r="AK494" s="19"/>
      <c r="AL494" s="23" t="s">
        <v>356</v>
      </c>
      <c r="AM494" s="70" t="s">
        <v>361</v>
      </c>
      <c r="AN494" s="23" t="s">
        <v>356</v>
      </c>
    </row>
    <row r="495">
      <c r="A495" s="45" t="s">
        <v>204</v>
      </c>
      <c r="B495" s="18" t="s">
        <v>725</v>
      </c>
      <c r="C495" s="46" t="s">
        <v>203</v>
      </c>
      <c r="D495" s="47" t="s">
        <v>547</v>
      </c>
      <c r="E495" s="63" t="s">
        <v>37</v>
      </c>
      <c r="F495" s="46" t="s">
        <v>67</v>
      </c>
      <c r="G495" s="57" t="s">
        <v>354</v>
      </c>
      <c r="H495" s="49">
        <v>255.0</v>
      </c>
      <c r="I495" s="49" t="s">
        <v>726</v>
      </c>
      <c r="J495" s="46">
        <v>60.0</v>
      </c>
      <c r="K495" s="49">
        <v>1.0</v>
      </c>
      <c r="L495" s="57">
        <v>0.0</v>
      </c>
      <c r="M495" s="57" t="s">
        <v>354</v>
      </c>
      <c r="N495" s="101" t="s">
        <v>17</v>
      </c>
      <c r="O495" s="101" t="s">
        <v>17</v>
      </c>
      <c r="P495" s="24" t="s">
        <v>205</v>
      </c>
      <c r="Q495" s="46"/>
      <c r="R495" s="46"/>
      <c r="S495" s="46"/>
      <c r="T495" s="46"/>
      <c r="U495" s="46"/>
      <c r="V495" s="46"/>
      <c r="W495" s="46"/>
      <c r="X495" s="46"/>
      <c r="Y495" s="46"/>
      <c r="Z495" s="46"/>
      <c r="AA495" s="46"/>
      <c r="AB495" s="49" t="s">
        <v>727</v>
      </c>
      <c r="AC495" s="46">
        <v>36454.0</v>
      </c>
      <c r="AD495" s="46"/>
      <c r="AE495" s="46"/>
      <c r="AF495" s="55">
        <v>28.9</v>
      </c>
      <c r="AG495" s="56" t="s">
        <v>365</v>
      </c>
      <c r="AH495" s="46"/>
      <c r="AI495" s="46"/>
      <c r="AJ495" s="46"/>
      <c r="AK495" s="46"/>
      <c r="AL495" s="88" t="s">
        <v>358</v>
      </c>
      <c r="AM495" s="35" t="s">
        <v>363</v>
      </c>
      <c r="AN495" s="88" t="s">
        <v>358</v>
      </c>
    </row>
    <row r="496">
      <c r="A496" s="45" t="s">
        <v>204</v>
      </c>
      <c r="B496" s="18" t="s">
        <v>725</v>
      </c>
      <c r="C496" s="46" t="s">
        <v>203</v>
      </c>
      <c r="D496" s="47" t="s">
        <v>547</v>
      </c>
      <c r="E496" s="63" t="s">
        <v>37</v>
      </c>
      <c r="F496" s="46" t="s">
        <v>67</v>
      </c>
      <c r="G496" s="57" t="s">
        <v>354</v>
      </c>
      <c r="H496" s="49">
        <v>245.0</v>
      </c>
      <c r="I496" s="57" t="s">
        <v>726</v>
      </c>
      <c r="J496" s="46">
        <v>37.0</v>
      </c>
      <c r="K496" s="49">
        <v>1.0</v>
      </c>
      <c r="L496" s="49">
        <v>0.0</v>
      </c>
      <c r="M496" s="57" t="s">
        <v>354</v>
      </c>
      <c r="N496" s="101" t="s">
        <v>17</v>
      </c>
      <c r="O496" s="101" t="s">
        <v>17</v>
      </c>
      <c r="P496" s="24" t="s">
        <v>205</v>
      </c>
      <c r="Q496" s="24" t="s">
        <v>204</v>
      </c>
      <c r="R496" s="46"/>
      <c r="S496" s="46"/>
      <c r="T496" s="46"/>
      <c r="U496" s="46"/>
      <c r="V496" s="46"/>
      <c r="W496" s="46"/>
      <c r="X496" s="46"/>
      <c r="Y496" s="46"/>
      <c r="Z496" s="46"/>
      <c r="AA496" s="46"/>
      <c r="AB496" s="57" t="s">
        <v>354</v>
      </c>
      <c r="AC496" s="46">
        <v>36627.0</v>
      </c>
      <c r="AD496" s="46" t="s">
        <v>728</v>
      </c>
      <c r="AE496" s="49" t="s">
        <v>729</v>
      </c>
      <c r="AF496" s="55">
        <v>31.39</v>
      </c>
      <c r="AG496" s="56" t="s">
        <v>365</v>
      </c>
      <c r="AH496" s="49" t="s">
        <v>730</v>
      </c>
      <c r="AI496" s="164" t="s">
        <v>413</v>
      </c>
      <c r="AJ496" s="46"/>
      <c r="AK496" s="46"/>
      <c r="AL496" s="119" t="s">
        <v>413</v>
      </c>
      <c r="AM496" s="114" t="s">
        <v>413</v>
      </c>
      <c r="AN496" s="28" t="s">
        <v>358</v>
      </c>
    </row>
    <row r="497">
      <c r="A497" s="45" t="s">
        <v>204</v>
      </c>
      <c r="B497" s="18" t="s">
        <v>725</v>
      </c>
      <c r="C497" s="46" t="s">
        <v>203</v>
      </c>
      <c r="D497" s="47" t="s">
        <v>547</v>
      </c>
      <c r="E497" s="63" t="s">
        <v>7</v>
      </c>
      <c r="F497" s="46" t="s">
        <v>67</v>
      </c>
      <c r="G497" s="57" t="s">
        <v>354</v>
      </c>
      <c r="H497" s="49">
        <v>185.0</v>
      </c>
      <c r="I497" s="57" t="s">
        <v>726</v>
      </c>
      <c r="J497" s="46">
        <v>35.0</v>
      </c>
      <c r="K497" s="49">
        <v>0.0</v>
      </c>
      <c r="L497" s="57">
        <v>0.0</v>
      </c>
      <c r="M497" s="57" t="s">
        <v>354</v>
      </c>
      <c r="N497" s="101" t="s">
        <v>17</v>
      </c>
      <c r="O497" s="101" t="s">
        <v>17</v>
      </c>
      <c r="P497" s="24" t="s">
        <v>205</v>
      </c>
      <c r="Q497" s="24" t="s">
        <v>204</v>
      </c>
      <c r="R497" s="24" t="s">
        <v>204</v>
      </c>
      <c r="S497" s="46"/>
      <c r="T497" s="46"/>
      <c r="U497" s="46"/>
      <c r="V497" s="46"/>
      <c r="W497" s="46"/>
      <c r="X497" s="46"/>
      <c r="Y497" s="46"/>
      <c r="Z497" s="46"/>
      <c r="AA497" s="46"/>
      <c r="AB497" s="57" t="s">
        <v>354</v>
      </c>
      <c r="AC497" s="46"/>
      <c r="AD497" s="46"/>
      <c r="AE497" s="46"/>
      <c r="AF497" s="55">
        <v>29.65</v>
      </c>
      <c r="AG497" s="56" t="s">
        <v>365</v>
      </c>
      <c r="AH497" s="49" t="s">
        <v>433</v>
      </c>
      <c r="AI497" s="155" t="s">
        <v>363</v>
      </c>
      <c r="AJ497" s="46"/>
      <c r="AK497" s="46"/>
      <c r="AL497" s="155" t="s">
        <v>363</v>
      </c>
      <c r="AM497" s="155" t="s">
        <v>363</v>
      </c>
      <c r="AN497" s="155" t="s">
        <v>363</v>
      </c>
    </row>
    <row r="498">
      <c r="A498" s="45" t="s">
        <v>204</v>
      </c>
      <c r="B498" s="18" t="s">
        <v>725</v>
      </c>
      <c r="C498" s="46" t="s">
        <v>203</v>
      </c>
      <c r="D498" s="47" t="s">
        <v>547</v>
      </c>
      <c r="E498" s="63" t="s">
        <v>7</v>
      </c>
      <c r="F498" s="46" t="s">
        <v>67</v>
      </c>
      <c r="G498" s="57" t="s">
        <v>354</v>
      </c>
      <c r="H498" s="49">
        <v>240.0</v>
      </c>
      <c r="I498" s="57" t="s">
        <v>726</v>
      </c>
      <c r="J498" s="46">
        <v>33.0</v>
      </c>
      <c r="K498" s="49">
        <v>0.0</v>
      </c>
      <c r="L498" s="57">
        <v>0.0</v>
      </c>
      <c r="M498" s="57" t="s">
        <v>354</v>
      </c>
      <c r="N498" s="101" t="s">
        <v>17</v>
      </c>
      <c r="O498" s="101" t="s">
        <v>17</v>
      </c>
      <c r="P498" s="24" t="s">
        <v>205</v>
      </c>
      <c r="Q498" s="24" t="s">
        <v>204</v>
      </c>
      <c r="R498" s="24" t="s">
        <v>204</v>
      </c>
      <c r="S498" s="24" t="s">
        <v>204</v>
      </c>
      <c r="T498" s="46"/>
      <c r="U498" s="46"/>
      <c r="V498" s="46"/>
      <c r="W498" s="46"/>
      <c r="X498" s="46"/>
      <c r="Y498" s="46"/>
      <c r="Z498" s="46"/>
      <c r="AA498" s="46"/>
      <c r="AB498" s="57" t="s">
        <v>354</v>
      </c>
      <c r="AC498" s="46"/>
      <c r="AD498" s="46"/>
      <c r="AE498" s="46"/>
      <c r="AF498" s="152">
        <v>44.99</v>
      </c>
      <c r="AG498" s="63" t="s">
        <v>354</v>
      </c>
      <c r="AH498" s="63"/>
      <c r="AI498" s="63" t="s">
        <v>354</v>
      </c>
      <c r="AJ498" s="46"/>
      <c r="AK498" s="46"/>
      <c r="AL498" s="90" t="s">
        <v>413</v>
      </c>
      <c r="AM498" s="90" t="s">
        <v>413</v>
      </c>
      <c r="AN498" s="90" t="s">
        <v>413</v>
      </c>
    </row>
    <row r="499">
      <c r="A499" s="45" t="s">
        <v>204</v>
      </c>
      <c r="B499" s="18" t="s">
        <v>725</v>
      </c>
      <c r="C499" s="46" t="s">
        <v>203</v>
      </c>
      <c r="D499" s="47" t="s">
        <v>547</v>
      </c>
      <c r="E499" s="63" t="s">
        <v>7</v>
      </c>
      <c r="F499" s="46" t="s">
        <v>67</v>
      </c>
      <c r="G499" s="57" t="s">
        <v>354</v>
      </c>
      <c r="H499" s="49">
        <v>250.0</v>
      </c>
      <c r="I499" s="57" t="s">
        <v>726</v>
      </c>
      <c r="J499" s="46">
        <v>38.0</v>
      </c>
      <c r="K499" s="49">
        <v>0.0</v>
      </c>
      <c r="L499" s="57">
        <v>0.0</v>
      </c>
      <c r="M499" s="57" t="s">
        <v>354</v>
      </c>
      <c r="N499" s="101" t="s">
        <v>17</v>
      </c>
      <c r="O499" s="101" t="s">
        <v>17</v>
      </c>
      <c r="P499" s="24" t="s">
        <v>205</v>
      </c>
      <c r="Q499" s="24" t="s">
        <v>204</v>
      </c>
      <c r="R499" s="24" t="s">
        <v>204</v>
      </c>
      <c r="S499" s="24" t="s">
        <v>204</v>
      </c>
      <c r="T499" s="24" t="s">
        <v>204</v>
      </c>
      <c r="U499" s="46"/>
      <c r="V499" s="46"/>
      <c r="W499" s="46"/>
      <c r="X499" s="46"/>
      <c r="Y499" s="46"/>
      <c r="Z499" s="46"/>
      <c r="AA499" s="46"/>
      <c r="AB499" s="57" t="s">
        <v>354</v>
      </c>
      <c r="AC499" s="46"/>
      <c r="AD499" s="46"/>
      <c r="AE499" s="46"/>
      <c r="AF499" s="63">
        <v>0.0</v>
      </c>
      <c r="AG499" s="63" t="s">
        <v>354</v>
      </c>
      <c r="AH499" s="63"/>
      <c r="AI499" s="63" t="s">
        <v>354</v>
      </c>
      <c r="AJ499" s="46"/>
      <c r="AK499" s="46"/>
      <c r="AL499" s="80" t="s">
        <v>356</v>
      </c>
      <c r="AM499" s="119" t="s">
        <v>413</v>
      </c>
      <c r="AN499" s="119" t="s">
        <v>413</v>
      </c>
    </row>
    <row r="500">
      <c r="A500" s="45" t="s">
        <v>204</v>
      </c>
      <c r="B500" s="18" t="s">
        <v>725</v>
      </c>
      <c r="C500" s="46" t="s">
        <v>203</v>
      </c>
      <c r="D500" s="47" t="s">
        <v>547</v>
      </c>
      <c r="E500" s="63" t="s">
        <v>7</v>
      </c>
      <c r="F500" s="46" t="s">
        <v>67</v>
      </c>
      <c r="G500" s="57" t="s">
        <v>354</v>
      </c>
      <c r="H500" s="49">
        <v>250.0</v>
      </c>
      <c r="I500" s="57" t="s">
        <v>726</v>
      </c>
      <c r="J500" s="46">
        <v>37.0</v>
      </c>
      <c r="K500" s="49">
        <v>1.0</v>
      </c>
      <c r="L500" s="57">
        <v>0.0</v>
      </c>
      <c r="M500" s="57" t="s">
        <v>354</v>
      </c>
      <c r="N500" s="101" t="s">
        <v>17</v>
      </c>
      <c r="O500" s="101" t="s">
        <v>17</v>
      </c>
      <c r="P500" s="24" t="s">
        <v>205</v>
      </c>
      <c r="Q500" s="24" t="s">
        <v>204</v>
      </c>
      <c r="R500" s="24" t="s">
        <v>204</v>
      </c>
      <c r="S500" s="24" t="s">
        <v>204</v>
      </c>
      <c r="T500" s="24" t="s">
        <v>204</v>
      </c>
      <c r="U500" s="24" t="s">
        <v>204</v>
      </c>
      <c r="V500" s="46"/>
      <c r="W500" s="46"/>
      <c r="X500" s="46"/>
      <c r="Y500" s="46"/>
      <c r="Z500" s="46"/>
      <c r="AA500" s="46"/>
      <c r="AB500" s="57" t="s">
        <v>354</v>
      </c>
      <c r="AC500" s="46"/>
      <c r="AD500" s="46"/>
      <c r="AE500" s="46"/>
      <c r="AF500" s="140">
        <v>33.74</v>
      </c>
      <c r="AG500" s="63" t="s">
        <v>354</v>
      </c>
      <c r="AH500" s="63"/>
      <c r="AI500" s="63" t="s">
        <v>354</v>
      </c>
      <c r="AJ500" s="46"/>
      <c r="AK500" s="46"/>
      <c r="AL500" s="59" t="s">
        <v>357</v>
      </c>
      <c r="AM500" s="119" t="s">
        <v>413</v>
      </c>
      <c r="AN500" s="80" t="s">
        <v>356</v>
      </c>
    </row>
    <row r="501">
      <c r="A501" s="45" t="s">
        <v>204</v>
      </c>
      <c r="B501" s="18" t="s">
        <v>725</v>
      </c>
      <c r="C501" s="46" t="s">
        <v>203</v>
      </c>
      <c r="D501" s="47" t="s">
        <v>547</v>
      </c>
      <c r="E501" s="63" t="s">
        <v>7</v>
      </c>
      <c r="F501" s="46" t="s">
        <v>67</v>
      </c>
      <c r="G501" s="57" t="s">
        <v>354</v>
      </c>
      <c r="H501" s="49">
        <v>275.0</v>
      </c>
      <c r="I501" s="57" t="s">
        <v>726</v>
      </c>
      <c r="J501" s="46">
        <v>37.0</v>
      </c>
      <c r="K501" s="49">
        <v>0.0</v>
      </c>
      <c r="L501" s="57">
        <v>0.0</v>
      </c>
      <c r="M501" s="57" t="s">
        <v>354</v>
      </c>
      <c r="N501" s="101" t="s">
        <v>17</v>
      </c>
      <c r="O501" s="101" t="s">
        <v>17</v>
      </c>
      <c r="P501" s="24" t="s">
        <v>205</v>
      </c>
      <c r="Q501" s="24" t="s">
        <v>204</v>
      </c>
      <c r="R501" s="24" t="s">
        <v>204</v>
      </c>
      <c r="S501" s="24" t="s">
        <v>204</v>
      </c>
      <c r="T501" s="24" t="s">
        <v>204</v>
      </c>
      <c r="U501" s="24" t="s">
        <v>204</v>
      </c>
      <c r="V501" s="24" t="s">
        <v>204</v>
      </c>
      <c r="W501" s="46"/>
      <c r="X501" s="46"/>
      <c r="Y501" s="46"/>
      <c r="Z501" s="46"/>
      <c r="AA501" s="46"/>
      <c r="AB501" s="57" t="s">
        <v>354</v>
      </c>
      <c r="AC501" s="46"/>
      <c r="AD501" s="46"/>
      <c r="AE501" s="46"/>
      <c r="AF501" s="63">
        <v>0.0</v>
      </c>
      <c r="AG501" s="63" t="s">
        <v>354</v>
      </c>
      <c r="AH501" s="63"/>
      <c r="AI501" s="63" t="s">
        <v>354</v>
      </c>
      <c r="AJ501" s="46"/>
      <c r="AK501" s="46"/>
      <c r="AL501" s="80" t="s">
        <v>356</v>
      </c>
      <c r="AM501" s="80" t="s">
        <v>356</v>
      </c>
      <c r="AN501" s="80" t="s">
        <v>356</v>
      </c>
    </row>
    <row r="502">
      <c r="A502" s="45" t="s">
        <v>204</v>
      </c>
      <c r="B502" s="18" t="s">
        <v>725</v>
      </c>
      <c r="C502" s="46" t="s">
        <v>203</v>
      </c>
      <c r="D502" s="47" t="s">
        <v>547</v>
      </c>
      <c r="E502" s="63" t="s">
        <v>7</v>
      </c>
      <c r="F502" s="46" t="s">
        <v>67</v>
      </c>
      <c r="G502" s="57" t="s">
        <v>354</v>
      </c>
      <c r="H502" s="49">
        <v>215.0</v>
      </c>
      <c r="I502" s="57" t="s">
        <v>726</v>
      </c>
      <c r="J502" s="46">
        <v>37.0</v>
      </c>
      <c r="K502" s="49">
        <v>0.0</v>
      </c>
      <c r="L502" s="57">
        <v>0.0</v>
      </c>
      <c r="M502" s="57" t="s">
        <v>354</v>
      </c>
      <c r="N502" s="101" t="s">
        <v>17</v>
      </c>
      <c r="O502" s="101" t="s">
        <v>17</v>
      </c>
      <c r="P502" s="24" t="s">
        <v>205</v>
      </c>
      <c r="Q502" s="24" t="s">
        <v>204</v>
      </c>
      <c r="R502" s="24" t="s">
        <v>204</v>
      </c>
      <c r="S502" s="24" t="s">
        <v>204</v>
      </c>
      <c r="T502" s="24" t="s">
        <v>204</v>
      </c>
      <c r="U502" s="24" t="s">
        <v>204</v>
      </c>
      <c r="V502" s="24" t="s">
        <v>204</v>
      </c>
      <c r="W502" s="18" t="s">
        <v>731</v>
      </c>
      <c r="X502" s="46"/>
      <c r="Y502" s="46"/>
      <c r="Z502" s="46"/>
      <c r="AA502" s="46"/>
      <c r="AB502" s="158" t="s">
        <v>732</v>
      </c>
      <c r="AC502" s="46"/>
      <c r="AD502" s="46"/>
      <c r="AE502" s="46"/>
      <c r="AF502" s="63">
        <v>0.0</v>
      </c>
      <c r="AG502" s="63" t="s">
        <v>354</v>
      </c>
      <c r="AH502" s="63"/>
      <c r="AI502" s="63" t="s">
        <v>354</v>
      </c>
      <c r="AJ502" s="46"/>
      <c r="AK502" s="46"/>
      <c r="AL502" s="80" t="s">
        <v>356</v>
      </c>
      <c r="AM502" s="80" t="s">
        <v>356</v>
      </c>
      <c r="AN502" s="80" t="s">
        <v>356</v>
      </c>
    </row>
    <row r="503">
      <c r="A503" s="45" t="s">
        <v>204</v>
      </c>
      <c r="B503" s="18" t="s">
        <v>725</v>
      </c>
      <c r="C503" s="46" t="s">
        <v>203</v>
      </c>
      <c r="D503" s="47" t="s">
        <v>547</v>
      </c>
      <c r="E503" s="63" t="s">
        <v>7</v>
      </c>
      <c r="F503" s="46" t="s">
        <v>67</v>
      </c>
      <c r="G503" s="57" t="s">
        <v>354</v>
      </c>
      <c r="H503" s="57" t="s">
        <v>354</v>
      </c>
      <c r="I503" s="57" t="s">
        <v>726</v>
      </c>
      <c r="J503" s="46">
        <v>37.0</v>
      </c>
      <c r="K503" s="49">
        <v>0.0</v>
      </c>
      <c r="L503" s="78">
        <v>1.0</v>
      </c>
      <c r="M503" s="78" t="s">
        <v>733</v>
      </c>
      <c r="N503" s="101" t="s">
        <v>17</v>
      </c>
      <c r="O503" s="101" t="s">
        <v>17</v>
      </c>
      <c r="P503" s="24" t="s">
        <v>205</v>
      </c>
      <c r="Q503" s="24" t="s">
        <v>204</v>
      </c>
      <c r="R503" s="24" t="s">
        <v>204</v>
      </c>
      <c r="S503" s="24" t="s">
        <v>204</v>
      </c>
      <c r="T503" s="24" t="s">
        <v>204</v>
      </c>
      <c r="U503" s="24" t="s">
        <v>204</v>
      </c>
      <c r="V503" s="24" t="s">
        <v>204</v>
      </c>
      <c r="W503" s="18" t="s">
        <v>731</v>
      </c>
      <c r="X503" s="24" t="s">
        <v>204</v>
      </c>
      <c r="Y503" s="46"/>
      <c r="Z503" s="46"/>
      <c r="AA503" s="46"/>
      <c r="AB503" s="158" t="s">
        <v>600</v>
      </c>
      <c r="AC503" s="46"/>
      <c r="AD503" s="46"/>
      <c r="AE503" s="46"/>
      <c r="AF503" s="63">
        <v>0.0</v>
      </c>
      <c r="AG503" s="63" t="s">
        <v>354</v>
      </c>
      <c r="AH503" s="63"/>
      <c r="AI503" s="63" t="s">
        <v>354</v>
      </c>
      <c r="AJ503" s="166"/>
      <c r="AK503" s="166"/>
      <c r="AL503" s="115" t="s">
        <v>358</v>
      </c>
      <c r="AM503" s="80" t="s">
        <v>356</v>
      </c>
      <c r="AN503" s="28" t="s">
        <v>358</v>
      </c>
    </row>
    <row r="504">
      <c r="A504" s="45" t="s">
        <v>204</v>
      </c>
      <c r="B504" s="18" t="s">
        <v>725</v>
      </c>
      <c r="C504" s="46" t="s">
        <v>203</v>
      </c>
      <c r="D504" s="47" t="s">
        <v>547</v>
      </c>
      <c r="E504" s="63" t="s">
        <v>7</v>
      </c>
      <c r="F504" s="46" t="s">
        <v>67</v>
      </c>
      <c r="G504" s="57" t="s">
        <v>354</v>
      </c>
      <c r="H504" s="57" t="s">
        <v>354</v>
      </c>
      <c r="I504" s="57" t="s">
        <v>726</v>
      </c>
      <c r="J504" s="46">
        <v>37.0</v>
      </c>
      <c r="K504" s="49">
        <v>0.0</v>
      </c>
      <c r="L504" s="78">
        <v>1.0</v>
      </c>
      <c r="M504" s="78" t="s">
        <v>733</v>
      </c>
      <c r="N504" s="101" t="s">
        <v>17</v>
      </c>
      <c r="O504" s="101" t="s">
        <v>17</v>
      </c>
      <c r="P504" s="24" t="s">
        <v>205</v>
      </c>
      <c r="Q504" s="24" t="s">
        <v>204</v>
      </c>
      <c r="R504" s="24" t="s">
        <v>204</v>
      </c>
      <c r="S504" s="24" t="s">
        <v>204</v>
      </c>
      <c r="T504" s="24" t="s">
        <v>204</v>
      </c>
      <c r="U504" s="24" t="s">
        <v>204</v>
      </c>
      <c r="V504" s="24" t="s">
        <v>204</v>
      </c>
      <c r="W504" s="18" t="s">
        <v>731</v>
      </c>
      <c r="X504" s="24" t="s">
        <v>204</v>
      </c>
      <c r="Y504" s="130" t="s">
        <v>204</v>
      </c>
      <c r="Z504" s="46"/>
      <c r="AA504" s="46"/>
      <c r="AB504" s="158" t="s">
        <v>600</v>
      </c>
      <c r="AC504" s="46"/>
      <c r="AD504" s="46"/>
      <c r="AE504" s="46"/>
      <c r="AF504" s="154">
        <v>34.4000154733955</v>
      </c>
      <c r="AG504" s="63" t="s">
        <v>354</v>
      </c>
      <c r="AH504" s="63"/>
      <c r="AI504" s="63" t="s">
        <v>354</v>
      </c>
      <c r="AJ504" s="166"/>
      <c r="AK504" s="166"/>
      <c r="AL504" s="91" t="s">
        <v>413</v>
      </c>
      <c r="AM504" s="28" t="s">
        <v>358</v>
      </c>
      <c r="AN504" s="28" t="s">
        <v>358</v>
      </c>
    </row>
    <row r="505">
      <c r="A505" s="45" t="s">
        <v>204</v>
      </c>
      <c r="B505" s="18" t="s">
        <v>725</v>
      </c>
      <c r="C505" s="46" t="s">
        <v>203</v>
      </c>
      <c r="D505" s="47" t="s">
        <v>547</v>
      </c>
      <c r="E505" s="63" t="s">
        <v>7</v>
      </c>
      <c r="F505" s="46" t="s">
        <v>67</v>
      </c>
      <c r="G505" s="57" t="s">
        <v>354</v>
      </c>
      <c r="H505" s="57" t="s">
        <v>354</v>
      </c>
      <c r="I505" s="57" t="s">
        <v>726</v>
      </c>
      <c r="J505" s="46">
        <v>37.0</v>
      </c>
      <c r="K505" s="49">
        <v>0.0</v>
      </c>
      <c r="L505" s="78">
        <v>1.0</v>
      </c>
      <c r="M505" s="78" t="s">
        <v>733</v>
      </c>
      <c r="N505" s="101" t="s">
        <v>17</v>
      </c>
      <c r="O505" s="101" t="s">
        <v>17</v>
      </c>
      <c r="P505" s="24" t="s">
        <v>205</v>
      </c>
      <c r="Q505" s="24" t="s">
        <v>204</v>
      </c>
      <c r="R505" s="24" t="s">
        <v>204</v>
      </c>
      <c r="S505" s="24" t="s">
        <v>204</v>
      </c>
      <c r="T505" s="24" t="s">
        <v>204</v>
      </c>
      <c r="U505" s="24" t="s">
        <v>204</v>
      </c>
      <c r="V505" s="24" t="s">
        <v>204</v>
      </c>
      <c r="W505" s="18" t="s">
        <v>731</v>
      </c>
      <c r="X505" s="24" t="s">
        <v>204</v>
      </c>
      <c r="Y505" s="130" t="s">
        <v>204</v>
      </c>
      <c r="Z505" s="24" t="s">
        <v>204</v>
      </c>
      <c r="AA505" s="46"/>
      <c r="AB505" s="158" t="s">
        <v>600</v>
      </c>
      <c r="AC505" s="46"/>
      <c r="AD505" s="46"/>
      <c r="AE505" s="46"/>
      <c r="AF505" s="63">
        <v>0.0</v>
      </c>
      <c r="AG505" s="166" t="s">
        <v>356</v>
      </c>
      <c r="AH505" s="185"/>
      <c r="AI505" s="166" t="s">
        <v>356</v>
      </c>
      <c r="AJ505" s="166" t="s">
        <v>356</v>
      </c>
      <c r="AK505" s="166" t="s">
        <v>356</v>
      </c>
      <c r="AL505" s="166" t="s">
        <v>356</v>
      </c>
      <c r="AM505" s="92" t="s">
        <v>361</v>
      </c>
      <c r="AN505" s="88" t="s">
        <v>358</v>
      </c>
    </row>
    <row r="506">
      <c r="A506" s="45" t="s">
        <v>204</v>
      </c>
      <c r="B506" s="18" t="s">
        <v>725</v>
      </c>
      <c r="C506" s="46" t="s">
        <v>203</v>
      </c>
      <c r="D506" s="47" t="s">
        <v>547</v>
      </c>
      <c r="E506" s="63" t="s">
        <v>7</v>
      </c>
      <c r="F506" s="46" t="s">
        <v>67</v>
      </c>
      <c r="G506" s="57" t="s">
        <v>354</v>
      </c>
      <c r="H506" s="57" t="s">
        <v>354</v>
      </c>
      <c r="I506" s="57" t="s">
        <v>726</v>
      </c>
      <c r="J506" s="46">
        <v>37.0</v>
      </c>
      <c r="K506" s="49">
        <v>1.0</v>
      </c>
      <c r="L506" s="78">
        <v>1.0</v>
      </c>
      <c r="M506" s="78" t="s">
        <v>733</v>
      </c>
      <c r="N506" s="101" t="s">
        <v>17</v>
      </c>
      <c r="O506" s="101" t="s">
        <v>17</v>
      </c>
      <c r="P506" s="24" t="s">
        <v>205</v>
      </c>
      <c r="Q506" s="24" t="s">
        <v>204</v>
      </c>
      <c r="R506" s="24" t="s">
        <v>204</v>
      </c>
      <c r="S506" s="24" t="s">
        <v>204</v>
      </c>
      <c r="T506" s="24" t="s">
        <v>204</v>
      </c>
      <c r="U506" s="24" t="s">
        <v>204</v>
      </c>
      <c r="V506" s="24" t="s">
        <v>204</v>
      </c>
      <c r="W506" s="18" t="s">
        <v>731</v>
      </c>
      <c r="X506" s="24" t="s">
        <v>204</v>
      </c>
      <c r="Y506" s="130" t="s">
        <v>204</v>
      </c>
      <c r="Z506" s="24" t="s">
        <v>204</v>
      </c>
      <c r="AA506" s="24" t="s">
        <v>204</v>
      </c>
      <c r="AB506" s="158" t="s">
        <v>600</v>
      </c>
      <c r="AC506" s="46"/>
      <c r="AD506" s="46"/>
      <c r="AE506" s="46"/>
      <c r="AF506" s="63">
        <v>0.0</v>
      </c>
      <c r="AG506" s="63" t="s">
        <v>354</v>
      </c>
      <c r="AH506" s="63"/>
      <c r="AI506" s="63" t="s">
        <v>354</v>
      </c>
      <c r="AJ506" s="46"/>
      <c r="AK506" s="46"/>
      <c r="AL506" s="80" t="s">
        <v>356</v>
      </c>
      <c r="AM506" s="80" t="s">
        <v>356</v>
      </c>
      <c r="AN506" s="80" t="s">
        <v>356</v>
      </c>
    </row>
    <row r="507">
      <c r="A507" s="121" t="s">
        <v>734</v>
      </c>
      <c r="B507" s="18" t="s">
        <v>735</v>
      </c>
      <c r="C507" s="136"/>
      <c r="D507" s="173" t="s">
        <v>736</v>
      </c>
      <c r="E507" s="124" t="s">
        <v>491</v>
      </c>
      <c r="F507" s="125" t="s">
        <v>8</v>
      </c>
      <c r="G507" s="147" t="s">
        <v>354</v>
      </c>
      <c r="H507" s="147" t="s">
        <v>354</v>
      </c>
      <c r="I507" s="125" t="s">
        <v>726</v>
      </c>
      <c r="J507" s="122"/>
      <c r="K507" s="125" t="s">
        <v>354</v>
      </c>
      <c r="L507" s="147">
        <v>0.0</v>
      </c>
      <c r="M507" s="147" t="s">
        <v>354</v>
      </c>
      <c r="N507" s="174" t="s">
        <v>17</v>
      </c>
      <c r="O507" s="174" t="s">
        <v>17</v>
      </c>
      <c r="P507" s="174" t="s">
        <v>17</v>
      </c>
      <c r="Q507" s="174" t="s">
        <v>17</v>
      </c>
      <c r="R507" s="174" t="s">
        <v>17</v>
      </c>
      <c r="S507" s="174" t="s">
        <v>17</v>
      </c>
      <c r="T507" s="174" t="s">
        <v>17</v>
      </c>
      <c r="U507" s="174" t="s">
        <v>17</v>
      </c>
      <c r="V507" s="174" t="s">
        <v>17</v>
      </c>
      <c r="W507" s="18" t="s">
        <v>737</v>
      </c>
      <c r="X507" s="125"/>
      <c r="Y507" s="125"/>
      <c r="Z507" s="125"/>
      <c r="AA507" s="125"/>
      <c r="AB507" s="125" t="s">
        <v>354</v>
      </c>
      <c r="AC507" s="122"/>
      <c r="AD507" s="122"/>
      <c r="AE507" s="122"/>
      <c r="AF507" s="147">
        <v>0.0</v>
      </c>
      <c r="AG507" s="147" t="s">
        <v>354</v>
      </c>
      <c r="AH507" s="147"/>
      <c r="AI507" s="147" t="s">
        <v>354</v>
      </c>
      <c r="AJ507" s="122"/>
      <c r="AK507" s="122"/>
      <c r="AL507" s="122" t="s">
        <v>356</v>
      </c>
      <c r="AM507" s="122" t="s">
        <v>356</v>
      </c>
      <c r="AN507" s="122" t="s">
        <v>356</v>
      </c>
    </row>
    <row r="508">
      <c r="A508" s="121" t="s">
        <v>734</v>
      </c>
      <c r="B508" s="18" t="s">
        <v>735</v>
      </c>
      <c r="C508" s="19"/>
      <c r="D508" s="173" t="s">
        <v>736</v>
      </c>
      <c r="E508" s="124" t="s">
        <v>37</v>
      </c>
      <c r="F508" s="125" t="s">
        <v>8</v>
      </c>
      <c r="G508" s="122"/>
      <c r="H508" s="122"/>
      <c r="I508" s="125" t="s">
        <v>726</v>
      </c>
      <c r="J508" s="122"/>
      <c r="K508" s="125" t="s">
        <v>354</v>
      </c>
      <c r="L508" s="71">
        <v>0.0</v>
      </c>
      <c r="M508" s="71" t="s">
        <v>354</v>
      </c>
      <c r="N508" s="101" t="s">
        <v>17</v>
      </c>
      <c r="O508" s="101" t="s">
        <v>17</v>
      </c>
      <c r="P508" s="101" t="s">
        <v>17</v>
      </c>
      <c r="Q508" s="101" t="s">
        <v>17</v>
      </c>
      <c r="R508" s="101" t="s">
        <v>17</v>
      </c>
      <c r="S508" s="101" t="s">
        <v>17</v>
      </c>
      <c r="T508" s="101" t="s">
        <v>17</v>
      </c>
      <c r="U508" s="101" t="s">
        <v>17</v>
      </c>
      <c r="V508" s="101" t="s">
        <v>17</v>
      </c>
      <c r="W508" s="18" t="s">
        <v>737</v>
      </c>
      <c r="X508" s="18" t="s">
        <v>738</v>
      </c>
      <c r="Y508" s="125"/>
      <c r="Z508" s="125"/>
      <c r="AA508" s="122"/>
      <c r="AB508" s="184" t="s">
        <v>371</v>
      </c>
      <c r="AC508" s="19"/>
      <c r="AD508" s="19"/>
      <c r="AE508" s="19"/>
      <c r="AF508" s="125">
        <v>0.0</v>
      </c>
      <c r="AG508" s="125" t="s">
        <v>354</v>
      </c>
      <c r="AH508" s="122"/>
      <c r="AI508" s="125" t="s">
        <v>354</v>
      </c>
      <c r="AJ508" s="172"/>
      <c r="AK508" s="186"/>
      <c r="AL508" s="186" t="s">
        <v>356</v>
      </c>
      <c r="AM508" s="122" t="s">
        <v>356</v>
      </c>
      <c r="AN508" s="186" t="s">
        <v>356</v>
      </c>
    </row>
    <row r="509">
      <c r="A509" s="121" t="s">
        <v>734</v>
      </c>
      <c r="B509" s="18" t="s">
        <v>735</v>
      </c>
      <c r="C509" s="19"/>
      <c r="D509" s="173" t="s">
        <v>736</v>
      </c>
      <c r="E509" s="124" t="s">
        <v>37</v>
      </c>
      <c r="F509" s="125" t="s">
        <v>8</v>
      </c>
      <c r="G509" s="122"/>
      <c r="H509" s="122"/>
      <c r="I509" s="125" t="s">
        <v>726</v>
      </c>
      <c r="J509" s="122"/>
      <c r="K509" s="125" t="s">
        <v>354</v>
      </c>
      <c r="L509" s="71">
        <v>0.0</v>
      </c>
      <c r="M509" s="71" t="s">
        <v>354</v>
      </c>
      <c r="N509" s="101" t="s">
        <v>17</v>
      </c>
      <c r="O509" s="101" t="s">
        <v>17</v>
      </c>
      <c r="P509" s="101" t="s">
        <v>17</v>
      </c>
      <c r="Q509" s="101" t="s">
        <v>17</v>
      </c>
      <c r="R509" s="101" t="s">
        <v>17</v>
      </c>
      <c r="S509" s="101" t="s">
        <v>17</v>
      </c>
      <c r="T509" s="101" t="s">
        <v>17</v>
      </c>
      <c r="U509" s="101" t="s">
        <v>17</v>
      </c>
      <c r="V509" s="101" t="s">
        <v>17</v>
      </c>
      <c r="W509" s="18" t="s">
        <v>737</v>
      </c>
      <c r="X509" s="18" t="s">
        <v>738</v>
      </c>
      <c r="Y509" s="18" t="s">
        <v>739</v>
      </c>
      <c r="Z509" s="125"/>
      <c r="AA509" s="122"/>
      <c r="AB509" s="184" t="s">
        <v>371</v>
      </c>
      <c r="AC509" s="19"/>
      <c r="AD509" s="19"/>
      <c r="AE509" s="19"/>
      <c r="AF509" s="134">
        <v>28.0076740360827</v>
      </c>
      <c r="AG509" s="125" t="s">
        <v>354</v>
      </c>
      <c r="AH509" s="122"/>
      <c r="AI509" s="125" t="s">
        <v>354</v>
      </c>
      <c r="AJ509" s="135"/>
      <c r="AK509" s="125"/>
      <c r="AL509" s="187" t="s">
        <v>358</v>
      </c>
      <c r="AM509" s="119" t="s">
        <v>413</v>
      </c>
      <c r="AN509" s="91" t="s">
        <v>413</v>
      </c>
    </row>
    <row r="510">
      <c r="A510" s="121" t="s">
        <v>734</v>
      </c>
      <c r="B510" s="18" t="s">
        <v>735</v>
      </c>
      <c r="C510" s="19"/>
      <c r="D510" s="173" t="s">
        <v>736</v>
      </c>
      <c r="E510" s="124" t="s">
        <v>37</v>
      </c>
      <c r="F510" s="125" t="s">
        <v>8</v>
      </c>
      <c r="G510" s="122"/>
      <c r="H510" s="122"/>
      <c r="I510" s="125" t="s">
        <v>726</v>
      </c>
      <c r="J510" s="122"/>
      <c r="K510" s="125" t="s">
        <v>354</v>
      </c>
      <c r="L510" s="71">
        <v>0.0</v>
      </c>
      <c r="M510" s="71" t="s">
        <v>354</v>
      </c>
      <c r="N510" s="101" t="s">
        <v>17</v>
      </c>
      <c r="O510" s="101" t="s">
        <v>17</v>
      </c>
      <c r="P510" s="101" t="s">
        <v>17</v>
      </c>
      <c r="Q510" s="101" t="s">
        <v>17</v>
      </c>
      <c r="R510" s="101" t="s">
        <v>17</v>
      </c>
      <c r="S510" s="101" t="s">
        <v>17</v>
      </c>
      <c r="T510" s="101" t="s">
        <v>17</v>
      </c>
      <c r="U510" s="101" t="s">
        <v>17</v>
      </c>
      <c r="V510" s="101" t="s">
        <v>17</v>
      </c>
      <c r="W510" s="18" t="s">
        <v>737</v>
      </c>
      <c r="X510" s="18" t="s">
        <v>738</v>
      </c>
      <c r="Y510" s="18" t="s">
        <v>739</v>
      </c>
      <c r="Z510" s="18" t="s">
        <v>740</v>
      </c>
      <c r="AA510" s="122"/>
      <c r="AB510" s="184" t="s">
        <v>371</v>
      </c>
      <c r="AC510" s="19"/>
      <c r="AD510" s="19"/>
      <c r="AE510" s="19"/>
      <c r="AF510" s="188">
        <v>42.3598883006538</v>
      </c>
      <c r="AG510" s="135" t="s">
        <v>741</v>
      </c>
      <c r="AH510" s="122"/>
      <c r="AI510" s="135" t="s">
        <v>741</v>
      </c>
      <c r="AJ510" s="135" t="s">
        <v>361</v>
      </c>
      <c r="AK510" s="125" t="s">
        <v>356</v>
      </c>
      <c r="AL510" s="119" t="s">
        <v>413</v>
      </c>
      <c r="AM510" s="103" t="s">
        <v>389</v>
      </c>
      <c r="AN510" s="189" t="s">
        <v>742</v>
      </c>
    </row>
    <row r="511">
      <c r="A511" s="121" t="s">
        <v>734</v>
      </c>
      <c r="B511" s="18" t="s">
        <v>735</v>
      </c>
      <c r="C511" s="19"/>
      <c r="D511" s="173" t="s">
        <v>736</v>
      </c>
      <c r="E511" s="124" t="s">
        <v>37</v>
      </c>
      <c r="F511" s="125" t="s">
        <v>8</v>
      </c>
      <c r="G511" s="122"/>
      <c r="H511" s="122"/>
      <c r="I511" s="125" t="s">
        <v>726</v>
      </c>
      <c r="J511" s="122"/>
      <c r="K511" s="125" t="s">
        <v>354</v>
      </c>
      <c r="L511" s="71">
        <v>0.0</v>
      </c>
      <c r="M511" s="71" t="s">
        <v>354</v>
      </c>
      <c r="N511" s="101" t="s">
        <v>17</v>
      </c>
      <c r="O511" s="101" t="s">
        <v>17</v>
      </c>
      <c r="P511" s="101" t="s">
        <v>17</v>
      </c>
      <c r="Q511" s="101" t="s">
        <v>17</v>
      </c>
      <c r="R511" s="101" t="s">
        <v>17</v>
      </c>
      <c r="S511" s="101" t="s">
        <v>17</v>
      </c>
      <c r="T511" s="101" t="s">
        <v>17</v>
      </c>
      <c r="U511" s="101" t="s">
        <v>17</v>
      </c>
      <c r="V511" s="101" t="s">
        <v>17</v>
      </c>
      <c r="W511" s="18" t="s">
        <v>737</v>
      </c>
      <c r="X511" s="18" t="s">
        <v>738</v>
      </c>
      <c r="Y511" s="18" t="s">
        <v>739</v>
      </c>
      <c r="Z511" s="18" t="s">
        <v>740</v>
      </c>
      <c r="AA511" s="18" t="s">
        <v>739</v>
      </c>
      <c r="AB511" s="184" t="s">
        <v>371</v>
      </c>
      <c r="AC511" s="19"/>
      <c r="AD511" s="19"/>
      <c r="AE511" s="19"/>
      <c r="AF511" s="188">
        <v>41.3683340368442</v>
      </c>
      <c r="AG511" s="135"/>
      <c r="AH511" s="122"/>
      <c r="AI511" s="124" t="s">
        <v>354</v>
      </c>
      <c r="AJ511" s="135"/>
      <c r="AK511" s="125"/>
      <c r="AL511" s="109" t="s">
        <v>420</v>
      </c>
      <c r="AM511" s="122" t="s">
        <v>356</v>
      </c>
      <c r="AN511" s="132" t="s">
        <v>420</v>
      </c>
    </row>
    <row r="512">
      <c r="A512" s="17" t="s">
        <v>207</v>
      </c>
      <c r="B512" s="98" t="s">
        <v>743</v>
      </c>
      <c r="C512" s="19" t="s">
        <v>206</v>
      </c>
      <c r="D512" s="20" t="s">
        <v>547</v>
      </c>
      <c r="E512" s="21" t="s">
        <v>7</v>
      </c>
      <c r="F512" s="19" t="s">
        <v>67</v>
      </c>
      <c r="G512" s="22" t="s">
        <v>354</v>
      </c>
      <c r="H512" s="23">
        <v>245.0</v>
      </c>
      <c r="I512" s="23" t="s">
        <v>744</v>
      </c>
      <c r="J512" s="19">
        <v>63.0</v>
      </c>
      <c r="K512" s="23">
        <v>1.0</v>
      </c>
      <c r="L512" s="22">
        <v>0.0</v>
      </c>
      <c r="M512" s="22" t="s">
        <v>354</v>
      </c>
      <c r="N512" s="101" t="s">
        <v>17</v>
      </c>
      <c r="O512" s="101" t="s">
        <v>17</v>
      </c>
      <c r="P512" s="24" t="s">
        <v>208</v>
      </c>
      <c r="Q512" s="19"/>
      <c r="R512" s="19"/>
      <c r="S512" s="19"/>
      <c r="T512" s="19"/>
      <c r="U512" s="19"/>
      <c r="V512" s="19"/>
      <c r="W512" s="19"/>
      <c r="X512" s="19"/>
      <c r="Y512" s="19"/>
      <c r="Z512" s="19"/>
      <c r="AA512" s="19"/>
      <c r="AB512" s="22" t="s">
        <v>354</v>
      </c>
      <c r="AC512" s="19">
        <v>36457.0</v>
      </c>
      <c r="AD512" s="19"/>
      <c r="AE512" s="19"/>
      <c r="AF512" s="66">
        <v>34.46</v>
      </c>
      <c r="AG512" s="23" t="s">
        <v>356</v>
      </c>
      <c r="AH512" s="19"/>
      <c r="AI512" s="19"/>
      <c r="AJ512" s="19"/>
      <c r="AK512" s="19"/>
      <c r="AL512" s="118" t="s">
        <v>420</v>
      </c>
      <c r="AM512" s="31" t="s">
        <v>356</v>
      </c>
      <c r="AN512" s="118" t="s">
        <v>420</v>
      </c>
    </row>
    <row r="513">
      <c r="A513" s="17" t="s">
        <v>207</v>
      </c>
      <c r="B513" s="98" t="s">
        <v>743</v>
      </c>
      <c r="C513" s="19" t="s">
        <v>206</v>
      </c>
      <c r="D513" s="20" t="s">
        <v>547</v>
      </c>
      <c r="E513" s="21" t="s">
        <v>7</v>
      </c>
      <c r="F513" s="19" t="s">
        <v>67</v>
      </c>
      <c r="G513" s="22" t="s">
        <v>354</v>
      </c>
      <c r="H513" s="23">
        <v>270.0</v>
      </c>
      <c r="I513" s="22" t="s">
        <v>744</v>
      </c>
      <c r="J513" s="19">
        <v>36.0</v>
      </c>
      <c r="K513" s="23">
        <v>0.0</v>
      </c>
      <c r="L513" s="22">
        <v>0.0</v>
      </c>
      <c r="M513" s="22" t="s">
        <v>354</v>
      </c>
      <c r="N513" s="101" t="s">
        <v>17</v>
      </c>
      <c r="O513" s="101" t="s">
        <v>17</v>
      </c>
      <c r="P513" s="24" t="s">
        <v>208</v>
      </c>
      <c r="Q513" s="44" t="s">
        <v>373</v>
      </c>
      <c r="R513" s="24" t="s">
        <v>207</v>
      </c>
      <c r="S513" s="44" t="s">
        <v>373</v>
      </c>
      <c r="T513" s="61" t="s">
        <v>373</v>
      </c>
      <c r="U513" s="62" t="s">
        <v>381</v>
      </c>
      <c r="V513" s="62" t="s">
        <v>381</v>
      </c>
      <c r="W513" s="62" t="s">
        <v>381</v>
      </c>
      <c r="X513" s="62" t="s">
        <v>381</v>
      </c>
      <c r="Y513" s="62" t="s">
        <v>381</v>
      </c>
      <c r="Z513" s="62" t="s">
        <v>381</v>
      </c>
      <c r="AA513" s="62" t="s">
        <v>381</v>
      </c>
      <c r="AB513" s="62" t="s">
        <v>745</v>
      </c>
      <c r="AC513" s="19"/>
      <c r="AD513" s="19"/>
      <c r="AE513" s="19"/>
      <c r="AF513" s="33">
        <v>0.0</v>
      </c>
      <c r="AG513" s="23" t="s">
        <v>356</v>
      </c>
      <c r="AH513" s="19"/>
      <c r="AI513" s="19"/>
      <c r="AJ513" s="19"/>
      <c r="AK513" s="19"/>
      <c r="AL513" s="89" t="s">
        <v>356</v>
      </c>
      <c r="AM513" s="82" t="s">
        <v>361</v>
      </c>
      <c r="AN513" s="89" t="s">
        <v>356</v>
      </c>
    </row>
    <row r="514">
      <c r="A514" s="190" t="s">
        <v>297</v>
      </c>
      <c r="B514" s="191" t="s">
        <v>746</v>
      </c>
      <c r="C514" s="122" t="s">
        <v>296</v>
      </c>
      <c r="D514" s="123" t="s">
        <v>490</v>
      </c>
      <c r="E514" s="124" t="s">
        <v>491</v>
      </c>
      <c r="F514" s="122" t="s">
        <v>8</v>
      </c>
      <c r="G514" s="125">
        <v>69.0</v>
      </c>
      <c r="H514" s="147" t="s">
        <v>354</v>
      </c>
      <c r="I514" s="125" t="s">
        <v>744</v>
      </c>
      <c r="J514" s="122"/>
      <c r="K514" s="147" t="s">
        <v>354</v>
      </c>
      <c r="L514" s="147">
        <v>0.0</v>
      </c>
      <c r="M514" s="147" t="s">
        <v>354</v>
      </c>
      <c r="N514" s="101" t="s">
        <v>17</v>
      </c>
      <c r="O514" s="101" t="s">
        <v>17</v>
      </c>
      <c r="P514" s="101" t="s">
        <v>17</v>
      </c>
      <c r="Q514" s="101" t="s">
        <v>17</v>
      </c>
      <c r="R514" s="24" t="s">
        <v>297</v>
      </c>
      <c r="S514" s="192" t="s">
        <v>373</v>
      </c>
      <c r="T514" s="193" t="s">
        <v>373</v>
      </c>
      <c r="U514" s="62" t="s">
        <v>381</v>
      </c>
      <c r="V514" s="62" t="s">
        <v>381</v>
      </c>
      <c r="W514" s="62" t="s">
        <v>381</v>
      </c>
      <c r="X514" s="62" t="s">
        <v>381</v>
      </c>
      <c r="Y514" s="62" t="s">
        <v>381</v>
      </c>
      <c r="Z514" s="62" t="s">
        <v>381</v>
      </c>
      <c r="AA514" s="62" t="s">
        <v>381</v>
      </c>
      <c r="AB514" s="62" t="s">
        <v>747</v>
      </c>
      <c r="AC514" s="122"/>
      <c r="AD514" s="122"/>
      <c r="AE514" s="122"/>
      <c r="AF514" s="125">
        <v>0.0</v>
      </c>
      <c r="AG514" s="125" t="s">
        <v>356</v>
      </c>
      <c r="AH514" s="125" t="s">
        <v>354</v>
      </c>
      <c r="AI514" s="125" t="s">
        <v>356</v>
      </c>
      <c r="AJ514" s="125" t="s">
        <v>354</v>
      </c>
      <c r="AK514" s="125" t="s">
        <v>354</v>
      </c>
      <c r="AL514" s="125" t="s">
        <v>356</v>
      </c>
      <c r="AM514" s="125" t="s">
        <v>356</v>
      </c>
      <c r="AN514" s="125" t="s">
        <v>356</v>
      </c>
    </row>
    <row r="515">
      <c r="A515" s="45" t="s">
        <v>210</v>
      </c>
      <c r="B515" s="18" t="s">
        <v>748</v>
      </c>
      <c r="C515" s="46" t="s">
        <v>209</v>
      </c>
      <c r="D515" s="47" t="s">
        <v>547</v>
      </c>
      <c r="E515" s="48" t="s">
        <v>7</v>
      </c>
      <c r="F515" s="46" t="s">
        <v>67</v>
      </c>
      <c r="G515" s="57" t="s">
        <v>354</v>
      </c>
      <c r="H515" s="49">
        <v>305.0</v>
      </c>
      <c r="I515" s="57" t="s">
        <v>354</v>
      </c>
      <c r="J515" s="46">
        <v>64.0</v>
      </c>
      <c r="K515" s="49">
        <v>1.0</v>
      </c>
      <c r="L515" s="57">
        <v>0.0</v>
      </c>
      <c r="M515" s="57" t="s">
        <v>354</v>
      </c>
      <c r="N515" s="101" t="s">
        <v>17</v>
      </c>
      <c r="O515" s="101" t="s">
        <v>17</v>
      </c>
      <c r="P515" s="24" t="s">
        <v>211</v>
      </c>
      <c r="Q515" s="46"/>
      <c r="R515" s="46"/>
      <c r="S515" s="46"/>
      <c r="T515" s="46"/>
      <c r="U515" s="46"/>
      <c r="V515" s="46"/>
      <c r="W515" s="46"/>
      <c r="X515" s="46"/>
      <c r="Y515" s="46"/>
      <c r="Z515" s="46"/>
      <c r="AA515" s="46"/>
      <c r="AB515" s="57" t="s">
        <v>354</v>
      </c>
      <c r="AC515" s="46">
        <v>36458.0</v>
      </c>
      <c r="AD515" s="46"/>
      <c r="AE515" s="46"/>
      <c r="AF515" s="49">
        <v>0.0</v>
      </c>
      <c r="AG515" s="49" t="s">
        <v>356</v>
      </c>
      <c r="AH515" s="46"/>
      <c r="AI515" s="49" t="s">
        <v>356</v>
      </c>
      <c r="AJ515" s="46"/>
      <c r="AK515" s="46"/>
      <c r="AL515" s="49" t="s">
        <v>356</v>
      </c>
      <c r="AM515" s="49" t="s">
        <v>356</v>
      </c>
      <c r="AN515" s="49" t="s">
        <v>356</v>
      </c>
    </row>
    <row r="516">
      <c r="A516" s="45" t="s">
        <v>210</v>
      </c>
      <c r="B516" s="18" t="s">
        <v>748</v>
      </c>
      <c r="C516" s="46" t="s">
        <v>209</v>
      </c>
      <c r="D516" s="47" t="s">
        <v>547</v>
      </c>
      <c r="E516" s="48" t="s">
        <v>7</v>
      </c>
      <c r="F516" s="46" t="s">
        <v>67</v>
      </c>
      <c r="G516" s="57" t="s">
        <v>354</v>
      </c>
      <c r="H516" s="49">
        <v>275.0</v>
      </c>
      <c r="I516" s="57" t="s">
        <v>354</v>
      </c>
      <c r="J516" s="46">
        <v>38.0</v>
      </c>
      <c r="K516" s="49">
        <v>1.0</v>
      </c>
      <c r="L516" s="49">
        <v>1.0</v>
      </c>
      <c r="M516" s="57" t="s">
        <v>354</v>
      </c>
      <c r="N516" s="101" t="s">
        <v>17</v>
      </c>
      <c r="O516" s="101" t="s">
        <v>17</v>
      </c>
      <c r="P516" s="24" t="s">
        <v>211</v>
      </c>
      <c r="Q516" s="24" t="s">
        <v>210</v>
      </c>
      <c r="R516" s="44" t="s">
        <v>373</v>
      </c>
      <c r="S516" s="46"/>
      <c r="T516" s="46"/>
      <c r="U516" s="46"/>
      <c r="V516" s="46"/>
      <c r="W516" s="46"/>
      <c r="X516" s="46"/>
      <c r="Y516" s="46"/>
      <c r="Z516" s="46"/>
      <c r="AA516" s="46"/>
      <c r="AB516" s="49" t="s">
        <v>749</v>
      </c>
      <c r="AC516" s="46">
        <v>36628.0</v>
      </c>
      <c r="AD516" s="46"/>
      <c r="AE516" s="46"/>
      <c r="AF516" s="49">
        <v>0.0</v>
      </c>
      <c r="AG516" s="56" t="s">
        <v>365</v>
      </c>
      <c r="AH516" s="49" t="s">
        <v>687</v>
      </c>
      <c r="AI516" s="58" t="s">
        <v>380</v>
      </c>
      <c r="AJ516" s="46"/>
      <c r="AK516" s="46"/>
      <c r="AL516" s="46" t="s">
        <v>356</v>
      </c>
      <c r="AM516" s="58" t="s">
        <v>380</v>
      </c>
      <c r="AN516" s="54" t="s">
        <v>356</v>
      </c>
    </row>
    <row r="517">
      <c r="A517" s="45" t="s">
        <v>210</v>
      </c>
      <c r="B517" s="18" t="s">
        <v>748</v>
      </c>
      <c r="C517" s="46" t="s">
        <v>209</v>
      </c>
      <c r="D517" s="47" t="s">
        <v>547</v>
      </c>
      <c r="E517" s="48" t="s">
        <v>7</v>
      </c>
      <c r="F517" s="46" t="s">
        <v>67</v>
      </c>
      <c r="G517" s="49">
        <v>119.0</v>
      </c>
      <c r="H517" s="49">
        <v>230.0</v>
      </c>
      <c r="I517" s="57" t="s">
        <v>354</v>
      </c>
      <c r="J517" s="46">
        <v>34.0</v>
      </c>
      <c r="K517" s="49">
        <v>0.0</v>
      </c>
      <c r="L517" s="57">
        <v>0.0</v>
      </c>
      <c r="M517" s="57" t="s">
        <v>354</v>
      </c>
      <c r="N517" s="101" t="s">
        <v>17</v>
      </c>
      <c r="O517" s="101" t="s">
        <v>17</v>
      </c>
      <c r="P517" s="24" t="s">
        <v>211</v>
      </c>
      <c r="Q517" s="24" t="s">
        <v>210</v>
      </c>
      <c r="R517" s="44" t="s">
        <v>373</v>
      </c>
      <c r="S517" s="24" t="s">
        <v>210</v>
      </c>
      <c r="T517" s="46"/>
      <c r="U517" s="46"/>
      <c r="V517" s="46"/>
      <c r="W517" s="46"/>
      <c r="X517" s="46"/>
      <c r="Y517" s="46"/>
      <c r="Z517" s="46"/>
      <c r="AA517" s="46"/>
      <c r="AB517" s="49" t="s">
        <v>750</v>
      </c>
      <c r="AC517" s="46"/>
      <c r="AD517" s="46"/>
      <c r="AE517" s="46"/>
      <c r="AF517" s="63">
        <v>0.0</v>
      </c>
      <c r="AG517" s="63" t="s">
        <v>354</v>
      </c>
      <c r="AH517" s="63"/>
      <c r="AI517" s="63" t="s">
        <v>354</v>
      </c>
      <c r="AJ517" s="46"/>
      <c r="AK517" s="46"/>
      <c r="AL517" s="46" t="s">
        <v>356</v>
      </c>
      <c r="AM517" s="46" t="s">
        <v>356</v>
      </c>
      <c r="AN517" s="46" t="s">
        <v>356</v>
      </c>
    </row>
    <row r="518">
      <c r="A518" s="45" t="s">
        <v>210</v>
      </c>
      <c r="B518" s="18" t="s">
        <v>748</v>
      </c>
      <c r="C518" s="46" t="s">
        <v>209</v>
      </c>
      <c r="D518" s="47" t="s">
        <v>547</v>
      </c>
      <c r="E518" s="48" t="s">
        <v>7</v>
      </c>
      <c r="F518" s="46" t="s">
        <v>67</v>
      </c>
      <c r="G518" s="57" t="s">
        <v>354</v>
      </c>
      <c r="H518" s="49">
        <v>225.0</v>
      </c>
      <c r="I518" s="57" t="s">
        <v>354</v>
      </c>
      <c r="J518" s="46">
        <v>39.0</v>
      </c>
      <c r="K518" s="57">
        <v>0.0</v>
      </c>
      <c r="L518" s="57">
        <v>0.0</v>
      </c>
      <c r="M518" s="57" t="s">
        <v>354</v>
      </c>
      <c r="N518" s="101" t="s">
        <v>17</v>
      </c>
      <c r="O518" s="101" t="s">
        <v>17</v>
      </c>
      <c r="P518" s="24" t="s">
        <v>211</v>
      </c>
      <c r="Q518" s="24" t="s">
        <v>210</v>
      </c>
      <c r="R518" s="44" t="s">
        <v>373</v>
      </c>
      <c r="S518" s="24" t="s">
        <v>210</v>
      </c>
      <c r="T518" s="24" t="s">
        <v>210</v>
      </c>
      <c r="U518" s="46"/>
      <c r="V518" s="46"/>
      <c r="W518" s="46"/>
      <c r="X518" s="46"/>
      <c r="Y518" s="46"/>
      <c r="Z518" s="46"/>
      <c r="AA518" s="46"/>
      <c r="AB518" s="57" t="s">
        <v>354</v>
      </c>
      <c r="AC518" s="46"/>
      <c r="AD518" s="46"/>
      <c r="AE518" s="46"/>
      <c r="AF518" s="63">
        <v>0.0</v>
      </c>
      <c r="AG518" s="63" t="s">
        <v>354</v>
      </c>
      <c r="AH518" s="63"/>
      <c r="AI518" s="63" t="s">
        <v>354</v>
      </c>
      <c r="AJ518" s="46"/>
      <c r="AK518" s="46"/>
      <c r="AL518" s="80" t="s">
        <v>356</v>
      </c>
      <c r="AM518" s="59" t="s">
        <v>357</v>
      </c>
      <c r="AN518" s="59" t="s">
        <v>357</v>
      </c>
    </row>
    <row r="519">
      <c r="A519" s="45" t="s">
        <v>210</v>
      </c>
      <c r="B519" s="18" t="s">
        <v>748</v>
      </c>
      <c r="C519" s="46" t="s">
        <v>209</v>
      </c>
      <c r="D519" s="47" t="s">
        <v>547</v>
      </c>
      <c r="E519" s="48" t="s">
        <v>7</v>
      </c>
      <c r="F519" s="46" t="s">
        <v>67</v>
      </c>
      <c r="G519" s="57" t="s">
        <v>354</v>
      </c>
      <c r="H519" s="49">
        <v>230.0</v>
      </c>
      <c r="I519" s="57" t="s">
        <v>354</v>
      </c>
      <c r="J519" s="46">
        <v>38.0</v>
      </c>
      <c r="K519" s="49">
        <v>1.0</v>
      </c>
      <c r="L519" s="57">
        <v>0.0</v>
      </c>
      <c r="M519" s="57" t="s">
        <v>354</v>
      </c>
      <c r="N519" s="101" t="s">
        <v>17</v>
      </c>
      <c r="O519" s="101" t="s">
        <v>17</v>
      </c>
      <c r="P519" s="24" t="s">
        <v>211</v>
      </c>
      <c r="Q519" s="24" t="s">
        <v>210</v>
      </c>
      <c r="R519" s="44" t="s">
        <v>373</v>
      </c>
      <c r="S519" s="24" t="s">
        <v>210</v>
      </c>
      <c r="T519" s="24" t="s">
        <v>210</v>
      </c>
      <c r="U519" s="24" t="s">
        <v>210</v>
      </c>
      <c r="V519" s="46"/>
      <c r="W519" s="46"/>
      <c r="X519" s="46"/>
      <c r="Y519" s="46"/>
      <c r="Z519" s="46"/>
      <c r="AA519" s="46"/>
      <c r="AB519" s="49" t="s">
        <v>751</v>
      </c>
      <c r="AC519" s="46"/>
      <c r="AD519" s="46"/>
      <c r="AE519" s="46"/>
      <c r="AF519" s="63">
        <v>0.0</v>
      </c>
      <c r="AG519" s="63" t="s">
        <v>354</v>
      </c>
      <c r="AH519" s="63"/>
      <c r="AI519" s="63" t="s">
        <v>354</v>
      </c>
      <c r="AJ519" s="46"/>
      <c r="AK519" s="46"/>
      <c r="AL519" s="59" t="s">
        <v>357</v>
      </c>
      <c r="AM519" s="59" t="s">
        <v>357</v>
      </c>
      <c r="AN519" s="59" t="s">
        <v>357</v>
      </c>
    </row>
    <row r="520">
      <c r="A520" s="45" t="s">
        <v>210</v>
      </c>
      <c r="B520" s="18" t="s">
        <v>748</v>
      </c>
      <c r="C520" s="46" t="s">
        <v>209</v>
      </c>
      <c r="D520" s="47" t="s">
        <v>547</v>
      </c>
      <c r="E520" s="48" t="s">
        <v>7</v>
      </c>
      <c r="F520" s="46" t="s">
        <v>67</v>
      </c>
      <c r="G520" s="57" t="s">
        <v>354</v>
      </c>
      <c r="H520" s="49">
        <v>285.0</v>
      </c>
      <c r="I520" s="57" t="s">
        <v>354</v>
      </c>
      <c r="J520" s="46">
        <v>38.0</v>
      </c>
      <c r="K520" s="49">
        <v>1.0</v>
      </c>
      <c r="L520" s="57">
        <v>0.0</v>
      </c>
      <c r="M520" s="57" t="s">
        <v>354</v>
      </c>
      <c r="N520" s="101" t="s">
        <v>17</v>
      </c>
      <c r="O520" s="101" t="s">
        <v>17</v>
      </c>
      <c r="P520" s="24" t="s">
        <v>211</v>
      </c>
      <c r="Q520" s="24" t="s">
        <v>210</v>
      </c>
      <c r="R520" s="44" t="s">
        <v>373</v>
      </c>
      <c r="S520" s="24" t="s">
        <v>210</v>
      </c>
      <c r="T520" s="24" t="s">
        <v>210</v>
      </c>
      <c r="U520" s="24" t="s">
        <v>210</v>
      </c>
      <c r="V520" s="24" t="s">
        <v>210</v>
      </c>
      <c r="W520" s="46"/>
      <c r="X520" s="49"/>
      <c r="Y520" s="49"/>
      <c r="Z520" s="49"/>
      <c r="AA520" s="46"/>
      <c r="AB520" s="57" t="s">
        <v>354</v>
      </c>
      <c r="AC520" s="46"/>
      <c r="AD520" s="46"/>
      <c r="AE520" s="46"/>
      <c r="AF520" s="63">
        <v>0.0</v>
      </c>
      <c r="AG520" s="63" t="s">
        <v>354</v>
      </c>
      <c r="AH520" s="63"/>
      <c r="AI520" s="63" t="s">
        <v>354</v>
      </c>
      <c r="AJ520" s="46"/>
      <c r="AK520" s="46"/>
      <c r="AL520" s="80" t="s">
        <v>356</v>
      </c>
      <c r="AM520" s="80" t="s">
        <v>356</v>
      </c>
      <c r="AN520" s="80" t="s">
        <v>356</v>
      </c>
    </row>
    <row r="521">
      <c r="A521" s="45" t="s">
        <v>210</v>
      </c>
      <c r="B521" s="18" t="s">
        <v>748</v>
      </c>
      <c r="C521" s="46" t="s">
        <v>209</v>
      </c>
      <c r="D521" s="47" t="s">
        <v>547</v>
      </c>
      <c r="E521" s="48" t="s">
        <v>7</v>
      </c>
      <c r="F521" s="46" t="s">
        <v>67</v>
      </c>
      <c r="G521" s="49">
        <v>116.0</v>
      </c>
      <c r="H521" s="49">
        <v>235.0</v>
      </c>
      <c r="I521" s="57" t="s">
        <v>354</v>
      </c>
      <c r="J521" s="46">
        <v>38.0</v>
      </c>
      <c r="K521" s="49">
        <v>0.0</v>
      </c>
      <c r="L521" s="57">
        <v>0.0</v>
      </c>
      <c r="M521" s="57" t="s">
        <v>354</v>
      </c>
      <c r="N521" s="101" t="s">
        <v>17</v>
      </c>
      <c r="O521" s="101" t="s">
        <v>17</v>
      </c>
      <c r="P521" s="24" t="s">
        <v>211</v>
      </c>
      <c r="Q521" s="24" t="s">
        <v>210</v>
      </c>
      <c r="R521" s="44" t="s">
        <v>373</v>
      </c>
      <c r="S521" s="24" t="s">
        <v>210</v>
      </c>
      <c r="T521" s="24" t="s">
        <v>210</v>
      </c>
      <c r="U521" s="24" t="s">
        <v>210</v>
      </c>
      <c r="V521" s="24" t="s">
        <v>210</v>
      </c>
      <c r="W521" s="18" t="s">
        <v>752</v>
      </c>
      <c r="X521" s="49"/>
      <c r="Y521" s="49"/>
      <c r="Z521" s="54"/>
      <c r="AB521" s="57" t="s">
        <v>354</v>
      </c>
      <c r="AC521" s="46"/>
      <c r="AD521" s="46"/>
      <c r="AE521" s="46"/>
      <c r="AF521" s="63">
        <v>0.0</v>
      </c>
      <c r="AG521" s="63" t="s">
        <v>354</v>
      </c>
      <c r="AH521" s="63"/>
      <c r="AI521" s="63" t="s">
        <v>354</v>
      </c>
      <c r="AJ521" s="46"/>
      <c r="AK521" s="46"/>
      <c r="AL521" s="46" t="s">
        <v>356</v>
      </c>
      <c r="AM521" s="46" t="s">
        <v>356</v>
      </c>
      <c r="AN521" s="59" t="s">
        <v>357</v>
      </c>
    </row>
    <row r="522">
      <c r="A522" s="45" t="s">
        <v>210</v>
      </c>
      <c r="B522" s="18" t="s">
        <v>748</v>
      </c>
      <c r="C522" s="136"/>
      <c r="D522" s="47" t="s">
        <v>547</v>
      </c>
      <c r="E522" s="48" t="s">
        <v>7</v>
      </c>
      <c r="F522" s="46" t="s">
        <v>67</v>
      </c>
      <c r="G522" s="57" t="s">
        <v>354</v>
      </c>
      <c r="H522" s="57" t="s">
        <v>354</v>
      </c>
      <c r="I522" s="57" t="s">
        <v>354</v>
      </c>
      <c r="J522" s="46"/>
      <c r="K522" s="49">
        <v>0.0</v>
      </c>
      <c r="L522" s="57">
        <v>0.0</v>
      </c>
      <c r="M522" s="57" t="s">
        <v>354</v>
      </c>
      <c r="N522" s="101" t="s">
        <v>17</v>
      </c>
      <c r="O522" s="101" t="s">
        <v>17</v>
      </c>
      <c r="P522" s="24" t="s">
        <v>211</v>
      </c>
      <c r="Q522" s="24" t="s">
        <v>210</v>
      </c>
      <c r="R522" s="44" t="s">
        <v>373</v>
      </c>
      <c r="S522" s="24" t="s">
        <v>210</v>
      </c>
      <c r="T522" s="24" t="s">
        <v>210</v>
      </c>
      <c r="U522" s="24" t="s">
        <v>210</v>
      </c>
      <c r="V522" s="24" t="s">
        <v>210</v>
      </c>
      <c r="W522" s="18" t="s">
        <v>752</v>
      </c>
      <c r="X522" s="18">
        <v>1174.0</v>
      </c>
      <c r="Y522" s="44" t="s">
        <v>373</v>
      </c>
      <c r="Z522" s="54"/>
      <c r="AB522" s="57" t="s">
        <v>354</v>
      </c>
      <c r="AC522" s="46"/>
      <c r="AD522" s="46"/>
      <c r="AE522" s="46"/>
      <c r="AF522" s="63">
        <v>0.0</v>
      </c>
      <c r="AG522" s="63" t="s">
        <v>354</v>
      </c>
      <c r="AH522" s="63"/>
      <c r="AI522" s="63" t="s">
        <v>354</v>
      </c>
      <c r="AJ522" s="46"/>
      <c r="AK522" s="46"/>
      <c r="AL522" s="80" t="s">
        <v>356</v>
      </c>
      <c r="AM522" s="80" t="s">
        <v>356</v>
      </c>
      <c r="AN522" s="80" t="s">
        <v>356</v>
      </c>
    </row>
    <row r="523">
      <c r="A523" s="45" t="s">
        <v>210</v>
      </c>
      <c r="B523" s="18" t="s">
        <v>748</v>
      </c>
      <c r="C523" s="46" t="s">
        <v>209</v>
      </c>
      <c r="D523" s="47" t="s">
        <v>547</v>
      </c>
      <c r="E523" s="48" t="s">
        <v>7</v>
      </c>
      <c r="F523" s="46" t="s">
        <v>67</v>
      </c>
      <c r="G523" s="57" t="s">
        <v>354</v>
      </c>
      <c r="H523" s="57" t="s">
        <v>354</v>
      </c>
      <c r="I523" s="57" t="s">
        <v>354</v>
      </c>
      <c r="J523" s="46">
        <v>38.0</v>
      </c>
      <c r="K523" s="49">
        <v>1.0</v>
      </c>
      <c r="L523" s="78">
        <v>1.0</v>
      </c>
      <c r="M523" s="194" t="s">
        <v>354</v>
      </c>
      <c r="N523" s="101" t="s">
        <v>17</v>
      </c>
      <c r="O523" s="101" t="s">
        <v>17</v>
      </c>
      <c r="P523" s="24" t="s">
        <v>211</v>
      </c>
      <c r="Q523" s="24" t="s">
        <v>210</v>
      </c>
      <c r="R523" s="44" t="s">
        <v>373</v>
      </c>
      <c r="S523" s="24" t="s">
        <v>210</v>
      </c>
      <c r="T523" s="24" t="s">
        <v>210</v>
      </c>
      <c r="U523" s="24" t="s">
        <v>210</v>
      </c>
      <c r="V523" s="24" t="s">
        <v>210</v>
      </c>
      <c r="W523" s="18" t="s">
        <v>752</v>
      </c>
      <c r="X523" s="18">
        <v>1174.0</v>
      </c>
      <c r="Y523" s="44" t="s">
        <v>373</v>
      </c>
      <c r="Z523" s="83" t="s">
        <v>210</v>
      </c>
      <c r="AA523" s="49"/>
      <c r="AB523" s="78" t="s">
        <v>571</v>
      </c>
      <c r="AC523" s="46"/>
      <c r="AD523" s="46"/>
      <c r="AE523" s="46"/>
      <c r="AF523" s="63">
        <v>0.0</v>
      </c>
      <c r="AG523" s="63" t="s">
        <v>354</v>
      </c>
      <c r="AH523" s="63"/>
      <c r="AI523" s="63" t="s">
        <v>354</v>
      </c>
      <c r="AJ523" s="46"/>
      <c r="AK523" s="46"/>
      <c r="AL523" s="80" t="s">
        <v>356</v>
      </c>
      <c r="AM523" s="80" t="s">
        <v>356</v>
      </c>
      <c r="AN523" s="80" t="s">
        <v>356</v>
      </c>
    </row>
    <row r="524">
      <c r="A524" s="45" t="s">
        <v>210</v>
      </c>
      <c r="B524" s="18" t="s">
        <v>748</v>
      </c>
      <c r="C524" s="46" t="s">
        <v>209</v>
      </c>
      <c r="D524" s="47" t="s">
        <v>547</v>
      </c>
      <c r="E524" s="48" t="s">
        <v>7</v>
      </c>
      <c r="F524" s="46" t="s">
        <v>67</v>
      </c>
      <c r="G524" s="57" t="s">
        <v>354</v>
      </c>
      <c r="H524" s="57" t="s">
        <v>354</v>
      </c>
      <c r="I524" s="57" t="s">
        <v>354</v>
      </c>
      <c r="J524" s="46">
        <v>38.0</v>
      </c>
      <c r="K524" s="49">
        <v>1.0</v>
      </c>
      <c r="L524" s="57">
        <v>0.0</v>
      </c>
      <c r="M524" s="57" t="s">
        <v>354</v>
      </c>
      <c r="N524" s="101" t="s">
        <v>17</v>
      </c>
      <c r="O524" s="101" t="s">
        <v>17</v>
      </c>
      <c r="P524" s="24" t="s">
        <v>211</v>
      </c>
      <c r="Q524" s="24" t="s">
        <v>210</v>
      </c>
      <c r="R524" s="44" t="s">
        <v>373</v>
      </c>
      <c r="S524" s="24" t="s">
        <v>210</v>
      </c>
      <c r="T524" s="24" t="s">
        <v>210</v>
      </c>
      <c r="U524" s="24" t="s">
        <v>210</v>
      </c>
      <c r="V524" s="24" t="s">
        <v>210</v>
      </c>
      <c r="W524" s="18" t="s">
        <v>752</v>
      </c>
      <c r="X524" s="18">
        <v>1174.0</v>
      </c>
      <c r="Y524" s="44" t="s">
        <v>373</v>
      </c>
      <c r="Z524" s="83" t="s">
        <v>210</v>
      </c>
      <c r="AA524" s="83" t="s">
        <v>210</v>
      </c>
      <c r="AB524" s="57" t="s">
        <v>354</v>
      </c>
      <c r="AC524" s="46"/>
      <c r="AD524" s="46"/>
      <c r="AE524" s="46"/>
      <c r="AF524" s="63">
        <v>0.0</v>
      </c>
      <c r="AG524" s="63" t="s">
        <v>354</v>
      </c>
      <c r="AH524" s="63"/>
      <c r="AI524" s="63" t="s">
        <v>354</v>
      </c>
      <c r="AJ524" s="46"/>
      <c r="AK524" s="46"/>
      <c r="AL524" s="80" t="s">
        <v>356</v>
      </c>
      <c r="AM524" s="80" t="s">
        <v>356</v>
      </c>
      <c r="AN524" s="80" t="s">
        <v>356</v>
      </c>
    </row>
    <row r="525">
      <c r="A525" s="17" t="s">
        <v>213</v>
      </c>
      <c r="B525" s="18" t="s">
        <v>753</v>
      </c>
      <c r="C525" s="19" t="s">
        <v>212</v>
      </c>
      <c r="D525" s="20" t="s">
        <v>547</v>
      </c>
      <c r="E525" s="21" t="s">
        <v>7</v>
      </c>
      <c r="F525" s="19" t="s">
        <v>67</v>
      </c>
      <c r="G525" s="22" t="s">
        <v>354</v>
      </c>
      <c r="H525" s="23">
        <v>290.0</v>
      </c>
      <c r="I525" s="23" t="s">
        <v>754</v>
      </c>
      <c r="J525" s="19">
        <v>65.0</v>
      </c>
      <c r="K525" s="23">
        <v>1.0</v>
      </c>
      <c r="L525" s="22">
        <v>0.0</v>
      </c>
      <c r="M525" s="22" t="s">
        <v>354</v>
      </c>
      <c r="N525" s="101" t="s">
        <v>17</v>
      </c>
      <c r="O525" s="101" t="s">
        <v>17</v>
      </c>
      <c r="P525" s="24" t="s">
        <v>214</v>
      </c>
      <c r="Q525" s="19"/>
      <c r="R525" s="19"/>
      <c r="S525" s="19"/>
      <c r="T525" s="19"/>
      <c r="U525" s="19"/>
      <c r="V525" s="19"/>
      <c r="W525" s="19"/>
      <c r="X525" s="19"/>
      <c r="Y525" s="19"/>
      <c r="Z525" s="19"/>
      <c r="AA525" s="19"/>
      <c r="AB525" s="22" t="s">
        <v>354</v>
      </c>
      <c r="AC525" s="19">
        <v>36459.0</v>
      </c>
      <c r="AD525" s="19"/>
      <c r="AE525" s="19"/>
      <c r="AF525" s="66">
        <v>29.48</v>
      </c>
      <c r="AG525" s="23" t="s">
        <v>356</v>
      </c>
      <c r="AH525" s="19"/>
      <c r="AI525" s="23" t="s">
        <v>356</v>
      </c>
      <c r="AJ525" s="19"/>
      <c r="AK525" s="19"/>
      <c r="AL525" s="88" t="s">
        <v>358</v>
      </c>
      <c r="AM525" s="87" t="s">
        <v>413</v>
      </c>
      <c r="AN525" s="88" t="s">
        <v>358</v>
      </c>
    </row>
    <row r="526">
      <c r="A526" s="17" t="s">
        <v>213</v>
      </c>
      <c r="B526" s="18" t="s">
        <v>753</v>
      </c>
      <c r="C526" s="19" t="s">
        <v>212</v>
      </c>
      <c r="D526" s="20" t="s">
        <v>547</v>
      </c>
      <c r="E526" s="21" t="s">
        <v>7</v>
      </c>
      <c r="F526" s="19" t="s">
        <v>67</v>
      </c>
      <c r="G526" s="22" t="s">
        <v>354</v>
      </c>
      <c r="H526" s="23">
        <v>270.0</v>
      </c>
      <c r="I526" s="22" t="s">
        <v>754</v>
      </c>
      <c r="J526" s="19">
        <v>39.0</v>
      </c>
      <c r="K526" s="23">
        <v>1.0</v>
      </c>
      <c r="L526" s="23">
        <v>1.0</v>
      </c>
      <c r="M526" s="22" t="s">
        <v>354</v>
      </c>
      <c r="N526" s="101" t="s">
        <v>17</v>
      </c>
      <c r="O526" s="101" t="s">
        <v>17</v>
      </c>
      <c r="P526" s="24" t="s">
        <v>214</v>
      </c>
      <c r="Q526" s="24" t="s">
        <v>213</v>
      </c>
      <c r="R526" s="19"/>
      <c r="S526" s="19"/>
      <c r="T526" s="19"/>
      <c r="U526" s="19"/>
      <c r="V526" s="19"/>
      <c r="W526" s="19"/>
      <c r="X526" s="19"/>
      <c r="Y526" s="19"/>
      <c r="Z526" s="19"/>
      <c r="AA526" s="19"/>
      <c r="AB526" s="22" t="s">
        <v>354</v>
      </c>
      <c r="AC526" s="19">
        <v>36629.0</v>
      </c>
      <c r="AD526" s="19"/>
      <c r="AE526" s="19"/>
      <c r="AF526" s="66">
        <v>30.65</v>
      </c>
      <c r="AG526" s="23" t="s">
        <v>356</v>
      </c>
      <c r="AH526" s="19"/>
      <c r="AI526" s="58" t="s">
        <v>380</v>
      </c>
      <c r="AJ526" s="19"/>
      <c r="AK526" s="19"/>
      <c r="AL526" s="109" t="s">
        <v>420</v>
      </c>
      <c r="AM526" s="195" t="s">
        <v>755</v>
      </c>
      <c r="AN526" s="28" t="s">
        <v>358</v>
      </c>
    </row>
    <row r="527">
      <c r="A527" s="17" t="s">
        <v>213</v>
      </c>
      <c r="B527" s="18" t="s">
        <v>753</v>
      </c>
      <c r="C527" s="19" t="s">
        <v>212</v>
      </c>
      <c r="D527" s="20" t="s">
        <v>547</v>
      </c>
      <c r="E527" s="21" t="s">
        <v>7</v>
      </c>
      <c r="F527" s="19" t="s">
        <v>67</v>
      </c>
      <c r="G527" s="22" t="s">
        <v>354</v>
      </c>
      <c r="H527" s="23">
        <v>250.0</v>
      </c>
      <c r="I527" s="22" t="s">
        <v>754</v>
      </c>
      <c r="J527" s="19">
        <v>37.0</v>
      </c>
      <c r="K527" s="23">
        <v>0.0</v>
      </c>
      <c r="L527" s="22">
        <v>0.0</v>
      </c>
      <c r="M527" s="22" t="s">
        <v>354</v>
      </c>
      <c r="N527" s="101" t="s">
        <v>17</v>
      </c>
      <c r="O527" s="101" t="s">
        <v>17</v>
      </c>
      <c r="P527" s="24" t="s">
        <v>214</v>
      </c>
      <c r="Q527" s="24" t="s">
        <v>213</v>
      </c>
      <c r="R527" s="24" t="s">
        <v>213</v>
      </c>
      <c r="S527" s="19"/>
      <c r="T527" s="19"/>
      <c r="U527" s="19"/>
      <c r="V527" s="19"/>
      <c r="W527" s="19"/>
      <c r="X527" s="19"/>
      <c r="Y527" s="19"/>
      <c r="Z527" s="19"/>
      <c r="AA527" s="19"/>
      <c r="AB527" s="23" t="s">
        <v>756</v>
      </c>
      <c r="AC527" s="19"/>
      <c r="AD527" s="19"/>
      <c r="AE527" s="19"/>
      <c r="AF527" s="23">
        <v>0.0</v>
      </c>
      <c r="AG527" s="23" t="s">
        <v>356</v>
      </c>
      <c r="AH527" s="19"/>
      <c r="AI527" s="23" t="s">
        <v>356</v>
      </c>
      <c r="AJ527" s="19"/>
      <c r="AK527" s="19"/>
      <c r="AL527" s="23" t="s">
        <v>356</v>
      </c>
      <c r="AM527" s="23" t="s">
        <v>356</v>
      </c>
      <c r="AN527" s="23" t="s">
        <v>356</v>
      </c>
    </row>
    <row r="528">
      <c r="A528" s="17" t="s">
        <v>213</v>
      </c>
      <c r="B528" s="18" t="s">
        <v>753</v>
      </c>
      <c r="C528" s="19" t="s">
        <v>212</v>
      </c>
      <c r="D528" s="20" t="s">
        <v>547</v>
      </c>
      <c r="E528" s="21" t="s">
        <v>7</v>
      </c>
      <c r="F528" s="19" t="s">
        <v>67</v>
      </c>
      <c r="G528" s="22" t="s">
        <v>354</v>
      </c>
      <c r="H528" s="23">
        <v>220.0</v>
      </c>
      <c r="I528" s="22" t="s">
        <v>754</v>
      </c>
      <c r="J528" s="19">
        <v>35.0</v>
      </c>
      <c r="K528" s="23">
        <v>0.0</v>
      </c>
      <c r="L528" s="22">
        <v>0.0</v>
      </c>
      <c r="M528" s="22" t="s">
        <v>354</v>
      </c>
      <c r="N528" s="101" t="s">
        <v>17</v>
      </c>
      <c r="O528" s="101" t="s">
        <v>17</v>
      </c>
      <c r="P528" s="24" t="s">
        <v>214</v>
      </c>
      <c r="Q528" s="24" t="s">
        <v>213</v>
      </c>
      <c r="R528" s="24" t="s">
        <v>213</v>
      </c>
      <c r="S528" s="24" t="s">
        <v>213</v>
      </c>
      <c r="T528" s="19"/>
      <c r="U528" s="19"/>
      <c r="V528" s="19"/>
      <c r="W528" s="19"/>
      <c r="X528" s="19"/>
      <c r="Y528" s="19"/>
      <c r="Z528" s="19"/>
      <c r="AA528" s="19"/>
      <c r="AB528" s="23" t="s">
        <v>757</v>
      </c>
      <c r="AC528" s="19"/>
      <c r="AD528" s="19"/>
      <c r="AE528" s="19"/>
      <c r="AF528" s="23">
        <v>0.0</v>
      </c>
      <c r="AG528" s="33" t="s">
        <v>354</v>
      </c>
      <c r="AH528" s="33"/>
      <c r="AI528" s="33" t="s">
        <v>354</v>
      </c>
      <c r="AJ528" s="19"/>
      <c r="AK528" s="19"/>
      <c r="AL528" s="89" t="s">
        <v>356</v>
      </c>
      <c r="AM528" s="82" t="s">
        <v>361</v>
      </c>
      <c r="AN528" s="64" t="s">
        <v>363</v>
      </c>
    </row>
    <row r="529">
      <c r="A529" s="17" t="s">
        <v>213</v>
      </c>
      <c r="B529" s="18" t="s">
        <v>753</v>
      </c>
      <c r="C529" s="19" t="s">
        <v>212</v>
      </c>
      <c r="D529" s="20" t="s">
        <v>547</v>
      </c>
      <c r="E529" s="21" t="s">
        <v>7</v>
      </c>
      <c r="F529" s="19" t="s">
        <v>67</v>
      </c>
      <c r="G529" s="22" t="s">
        <v>354</v>
      </c>
      <c r="H529" s="23">
        <v>235.0</v>
      </c>
      <c r="I529" s="22" t="s">
        <v>754</v>
      </c>
      <c r="J529" s="19">
        <v>40.0</v>
      </c>
      <c r="K529" s="23">
        <v>0.0</v>
      </c>
      <c r="L529" s="22">
        <v>0.0</v>
      </c>
      <c r="M529" s="22" t="s">
        <v>354</v>
      </c>
      <c r="N529" s="101" t="s">
        <v>17</v>
      </c>
      <c r="O529" s="101" t="s">
        <v>17</v>
      </c>
      <c r="P529" s="24" t="s">
        <v>214</v>
      </c>
      <c r="Q529" s="24" t="s">
        <v>213</v>
      </c>
      <c r="R529" s="24" t="s">
        <v>213</v>
      </c>
      <c r="S529" s="24" t="s">
        <v>213</v>
      </c>
      <c r="T529" s="24" t="s">
        <v>213</v>
      </c>
      <c r="U529" s="19"/>
      <c r="V529" s="19"/>
      <c r="W529" s="19"/>
      <c r="X529" s="19"/>
      <c r="Y529" s="19"/>
      <c r="Z529" s="19"/>
      <c r="AA529" s="19"/>
      <c r="AB529" s="22" t="s">
        <v>354</v>
      </c>
      <c r="AC529" s="19"/>
      <c r="AD529" s="19"/>
      <c r="AE529" s="19"/>
      <c r="AF529" s="23">
        <v>0.0</v>
      </c>
      <c r="AG529" s="33" t="s">
        <v>354</v>
      </c>
      <c r="AH529" s="33"/>
      <c r="AI529" s="33" t="s">
        <v>354</v>
      </c>
      <c r="AJ529" s="19"/>
      <c r="AK529" s="19"/>
      <c r="AL529" s="90" t="s">
        <v>413</v>
      </c>
      <c r="AM529" s="90" t="s">
        <v>413</v>
      </c>
      <c r="AN529" s="90" t="s">
        <v>413</v>
      </c>
    </row>
    <row r="530">
      <c r="A530" s="17" t="s">
        <v>213</v>
      </c>
      <c r="B530" s="18" t="s">
        <v>753</v>
      </c>
      <c r="C530" s="19" t="s">
        <v>212</v>
      </c>
      <c r="D530" s="20" t="s">
        <v>547</v>
      </c>
      <c r="E530" s="21" t="s">
        <v>7</v>
      </c>
      <c r="F530" s="19" t="s">
        <v>67</v>
      </c>
      <c r="G530" s="22" t="s">
        <v>354</v>
      </c>
      <c r="H530" s="23">
        <v>230.0</v>
      </c>
      <c r="I530" s="22" t="s">
        <v>754</v>
      </c>
      <c r="J530" s="19">
        <v>39.0</v>
      </c>
      <c r="K530" s="23">
        <v>1.0</v>
      </c>
      <c r="L530" s="22">
        <v>0.0</v>
      </c>
      <c r="M530" s="22" t="s">
        <v>354</v>
      </c>
      <c r="N530" s="101" t="s">
        <v>17</v>
      </c>
      <c r="O530" s="101" t="s">
        <v>17</v>
      </c>
      <c r="P530" s="24" t="s">
        <v>214</v>
      </c>
      <c r="Q530" s="24" t="s">
        <v>213</v>
      </c>
      <c r="R530" s="24" t="s">
        <v>213</v>
      </c>
      <c r="S530" s="24" t="s">
        <v>213</v>
      </c>
      <c r="T530" s="24" t="s">
        <v>213</v>
      </c>
      <c r="U530" s="24" t="s">
        <v>213</v>
      </c>
      <c r="V530" s="19"/>
      <c r="W530" s="19"/>
      <c r="X530" s="19"/>
      <c r="Y530" s="19"/>
      <c r="Z530" s="19"/>
      <c r="AA530" s="19"/>
      <c r="AB530" s="23" t="s">
        <v>751</v>
      </c>
      <c r="AC530" s="19"/>
      <c r="AD530" s="19"/>
      <c r="AE530" s="19"/>
      <c r="AF530" s="23">
        <v>0.0</v>
      </c>
      <c r="AG530" s="33" t="s">
        <v>354</v>
      </c>
      <c r="AH530" s="33"/>
      <c r="AI530" s="33" t="s">
        <v>354</v>
      </c>
      <c r="AJ530" s="19"/>
      <c r="AK530" s="19"/>
      <c r="AL530" s="82" t="s">
        <v>361</v>
      </c>
      <c r="AM530" s="58" t="s">
        <v>380</v>
      </c>
      <c r="AN530" s="89" t="s">
        <v>356</v>
      </c>
    </row>
    <row r="531">
      <c r="A531" s="17" t="s">
        <v>213</v>
      </c>
      <c r="B531" s="18" t="s">
        <v>753</v>
      </c>
      <c r="C531" s="19" t="s">
        <v>212</v>
      </c>
      <c r="D531" s="20" t="s">
        <v>547</v>
      </c>
      <c r="E531" s="21" t="s">
        <v>7</v>
      </c>
      <c r="F531" s="19" t="s">
        <v>67</v>
      </c>
      <c r="G531" s="22" t="s">
        <v>354</v>
      </c>
      <c r="H531" s="23">
        <v>260.0</v>
      </c>
      <c r="I531" s="22" t="s">
        <v>754</v>
      </c>
      <c r="J531" s="19">
        <v>39.0</v>
      </c>
      <c r="K531" s="23">
        <v>1.0</v>
      </c>
      <c r="L531" s="22">
        <v>0.0</v>
      </c>
      <c r="M531" s="22" t="s">
        <v>354</v>
      </c>
      <c r="N531" s="101" t="s">
        <v>17</v>
      </c>
      <c r="O531" s="101" t="s">
        <v>17</v>
      </c>
      <c r="P531" s="24" t="s">
        <v>214</v>
      </c>
      <c r="Q531" s="24" t="s">
        <v>213</v>
      </c>
      <c r="R531" s="24" t="s">
        <v>213</v>
      </c>
      <c r="S531" s="24" t="s">
        <v>213</v>
      </c>
      <c r="T531" s="24" t="s">
        <v>213</v>
      </c>
      <c r="U531" s="24" t="s">
        <v>213</v>
      </c>
      <c r="V531" s="24" t="s">
        <v>213</v>
      </c>
      <c r="W531" s="19"/>
      <c r="X531" s="19"/>
      <c r="Y531" s="19"/>
      <c r="Z531" s="19"/>
      <c r="AA531" s="19"/>
      <c r="AB531" s="22" t="s">
        <v>354</v>
      </c>
      <c r="AC531" s="19"/>
      <c r="AD531" s="19"/>
      <c r="AE531" s="19"/>
      <c r="AF531" s="23">
        <v>0.0</v>
      </c>
      <c r="AG531" s="33" t="s">
        <v>354</v>
      </c>
      <c r="AH531" s="33"/>
      <c r="AI531" s="33" t="s">
        <v>354</v>
      </c>
      <c r="AJ531" s="19"/>
      <c r="AK531" s="19"/>
      <c r="AL531" s="89" t="s">
        <v>356</v>
      </c>
      <c r="AM531" s="89" t="s">
        <v>356</v>
      </c>
      <c r="AN531" s="89" t="s">
        <v>356</v>
      </c>
    </row>
    <row r="532">
      <c r="A532" s="17" t="s">
        <v>213</v>
      </c>
      <c r="B532" s="18" t="s">
        <v>753</v>
      </c>
      <c r="C532" s="19" t="s">
        <v>212</v>
      </c>
      <c r="D532" s="20" t="s">
        <v>547</v>
      </c>
      <c r="E532" s="21" t="s">
        <v>7</v>
      </c>
      <c r="F532" s="19" t="s">
        <v>67</v>
      </c>
      <c r="G532" s="22" t="s">
        <v>354</v>
      </c>
      <c r="H532" s="23">
        <v>295.0</v>
      </c>
      <c r="I532" s="22" t="s">
        <v>754</v>
      </c>
      <c r="J532" s="19">
        <v>39.0</v>
      </c>
      <c r="K532" s="23">
        <v>0.0</v>
      </c>
      <c r="L532" s="22">
        <v>0.0</v>
      </c>
      <c r="M532" s="22" t="s">
        <v>354</v>
      </c>
      <c r="N532" s="101" t="s">
        <v>17</v>
      </c>
      <c r="O532" s="101" t="s">
        <v>17</v>
      </c>
      <c r="P532" s="24" t="s">
        <v>214</v>
      </c>
      <c r="Q532" s="24" t="s">
        <v>213</v>
      </c>
      <c r="R532" s="24" t="s">
        <v>213</v>
      </c>
      <c r="S532" s="24" t="s">
        <v>213</v>
      </c>
      <c r="T532" s="24" t="s">
        <v>213</v>
      </c>
      <c r="U532" s="24" t="s">
        <v>213</v>
      </c>
      <c r="V532" s="24" t="s">
        <v>213</v>
      </c>
      <c r="W532" s="18" t="s">
        <v>758</v>
      </c>
      <c r="X532" s="19"/>
      <c r="Y532" s="19"/>
      <c r="Z532" s="19"/>
      <c r="AA532" s="19"/>
      <c r="AB532" s="158" t="s">
        <v>398</v>
      </c>
      <c r="AC532" s="19"/>
      <c r="AD532" s="19"/>
      <c r="AE532" s="19"/>
      <c r="AF532" s="30">
        <v>40.8743224356316</v>
      </c>
      <c r="AG532" s="33" t="s">
        <v>354</v>
      </c>
      <c r="AH532" s="33"/>
      <c r="AI532" s="33" t="s">
        <v>354</v>
      </c>
      <c r="AJ532" s="19"/>
      <c r="AK532" s="19"/>
      <c r="AL532" s="90" t="s">
        <v>413</v>
      </c>
      <c r="AM532" s="19" t="s">
        <v>356</v>
      </c>
      <c r="AN532" s="19" t="s">
        <v>356</v>
      </c>
    </row>
    <row r="533">
      <c r="A533" s="17" t="s">
        <v>213</v>
      </c>
      <c r="B533" s="18" t="s">
        <v>753</v>
      </c>
      <c r="C533" s="19" t="s">
        <v>212</v>
      </c>
      <c r="D533" s="20" t="s">
        <v>547</v>
      </c>
      <c r="E533" s="21" t="s">
        <v>7</v>
      </c>
      <c r="F533" s="19" t="s">
        <v>67</v>
      </c>
      <c r="G533" s="22" t="s">
        <v>354</v>
      </c>
      <c r="H533" s="22" t="s">
        <v>354</v>
      </c>
      <c r="I533" s="22" t="s">
        <v>754</v>
      </c>
      <c r="J533" s="19">
        <v>39.0</v>
      </c>
      <c r="K533" s="23">
        <v>1.0</v>
      </c>
      <c r="L533" s="78">
        <v>1.0</v>
      </c>
      <c r="M533" s="78" t="s">
        <v>759</v>
      </c>
      <c r="N533" s="101" t="s">
        <v>17</v>
      </c>
      <c r="O533" s="101" t="s">
        <v>17</v>
      </c>
      <c r="P533" s="24" t="s">
        <v>214</v>
      </c>
      <c r="Q533" s="24" t="s">
        <v>213</v>
      </c>
      <c r="R533" s="24" t="s">
        <v>213</v>
      </c>
      <c r="S533" s="24" t="s">
        <v>213</v>
      </c>
      <c r="T533" s="24" t="s">
        <v>213</v>
      </c>
      <c r="U533" s="24" t="s">
        <v>213</v>
      </c>
      <c r="V533" s="24" t="s">
        <v>213</v>
      </c>
      <c r="W533" s="18" t="s">
        <v>758</v>
      </c>
      <c r="X533" s="83" t="s">
        <v>213</v>
      </c>
      <c r="Y533" s="23"/>
      <c r="Z533" s="23"/>
      <c r="AA533" s="19"/>
      <c r="AB533" s="158" t="s">
        <v>398</v>
      </c>
      <c r="AC533" s="19"/>
      <c r="AD533" s="19"/>
      <c r="AE533" s="19"/>
      <c r="AF533" s="23">
        <v>0.0</v>
      </c>
      <c r="AG533" s="33" t="s">
        <v>354</v>
      </c>
      <c r="AH533" s="33"/>
      <c r="AI533" s="33" t="s">
        <v>354</v>
      </c>
      <c r="AJ533" s="19"/>
      <c r="AK533" s="19"/>
      <c r="AL533" s="89" t="s">
        <v>356</v>
      </c>
      <c r="AM533" s="89" t="s">
        <v>356</v>
      </c>
      <c r="AN533" s="89" t="s">
        <v>356</v>
      </c>
    </row>
    <row r="534">
      <c r="A534" s="17" t="s">
        <v>213</v>
      </c>
      <c r="B534" s="18" t="s">
        <v>753</v>
      </c>
      <c r="C534" s="19" t="s">
        <v>212</v>
      </c>
      <c r="D534" s="20" t="s">
        <v>547</v>
      </c>
      <c r="E534" s="21" t="s">
        <v>7</v>
      </c>
      <c r="F534" s="19" t="s">
        <v>67</v>
      </c>
      <c r="G534" s="22" t="s">
        <v>354</v>
      </c>
      <c r="H534" s="22" t="s">
        <v>354</v>
      </c>
      <c r="I534" s="22" t="s">
        <v>754</v>
      </c>
      <c r="J534" s="19">
        <v>39.0</v>
      </c>
      <c r="K534" s="23">
        <v>1.0</v>
      </c>
      <c r="L534" s="78">
        <v>1.0</v>
      </c>
      <c r="M534" s="78" t="s">
        <v>759</v>
      </c>
      <c r="N534" s="101" t="s">
        <v>17</v>
      </c>
      <c r="O534" s="101" t="s">
        <v>17</v>
      </c>
      <c r="P534" s="24" t="s">
        <v>214</v>
      </c>
      <c r="Q534" s="24" t="s">
        <v>213</v>
      </c>
      <c r="R534" s="24" t="s">
        <v>213</v>
      </c>
      <c r="S534" s="24" t="s">
        <v>213</v>
      </c>
      <c r="T534" s="24" t="s">
        <v>213</v>
      </c>
      <c r="U534" s="24" t="s">
        <v>213</v>
      </c>
      <c r="V534" s="24" t="s">
        <v>213</v>
      </c>
      <c r="W534" s="18" t="s">
        <v>758</v>
      </c>
      <c r="X534" s="83" t="s">
        <v>213</v>
      </c>
      <c r="Y534" s="83" t="s">
        <v>213</v>
      </c>
      <c r="Z534" s="23"/>
      <c r="AA534" s="19"/>
      <c r="AB534" s="158" t="s">
        <v>398</v>
      </c>
      <c r="AC534" s="19"/>
      <c r="AD534" s="19"/>
      <c r="AE534" s="19"/>
      <c r="AF534" s="23">
        <v>0.0</v>
      </c>
      <c r="AG534" s="33" t="s">
        <v>354</v>
      </c>
      <c r="AH534" s="33"/>
      <c r="AI534" s="33" t="s">
        <v>354</v>
      </c>
      <c r="AJ534" s="23"/>
      <c r="AK534" s="23"/>
      <c r="AL534" s="51" t="s">
        <v>358</v>
      </c>
      <c r="AM534" s="89" t="s">
        <v>356</v>
      </c>
      <c r="AN534" s="89" t="s">
        <v>356</v>
      </c>
    </row>
    <row r="535">
      <c r="A535" s="17" t="s">
        <v>213</v>
      </c>
      <c r="B535" s="18" t="s">
        <v>753</v>
      </c>
      <c r="C535" s="19" t="s">
        <v>212</v>
      </c>
      <c r="D535" s="20" t="s">
        <v>547</v>
      </c>
      <c r="E535" s="21" t="s">
        <v>7</v>
      </c>
      <c r="F535" s="19" t="s">
        <v>67</v>
      </c>
      <c r="G535" s="22" t="s">
        <v>354</v>
      </c>
      <c r="H535" s="22" t="s">
        <v>354</v>
      </c>
      <c r="I535" s="22" t="s">
        <v>754</v>
      </c>
      <c r="J535" s="19">
        <v>39.0</v>
      </c>
      <c r="K535" s="23">
        <v>1.0</v>
      </c>
      <c r="L535" s="78">
        <v>1.0</v>
      </c>
      <c r="M535" s="78" t="s">
        <v>759</v>
      </c>
      <c r="N535" s="101" t="s">
        <v>17</v>
      </c>
      <c r="O535" s="101" t="s">
        <v>17</v>
      </c>
      <c r="P535" s="24" t="s">
        <v>214</v>
      </c>
      <c r="Q535" s="24" t="s">
        <v>213</v>
      </c>
      <c r="R535" s="24" t="s">
        <v>213</v>
      </c>
      <c r="S535" s="24" t="s">
        <v>213</v>
      </c>
      <c r="T535" s="24" t="s">
        <v>213</v>
      </c>
      <c r="U535" s="24" t="s">
        <v>213</v>
      </c>
      <c r="V535" s="24" t="s">
        <v>213</v>
      </c>
      <c r="W535" s="18" t="s">
        <v>758</v>
      </c>
      <c r="X535" s="83" t="s">
        <v>213</v>
      </c>
      <c r="Y535" s="83" t="s">
        <v>213</v>
      </c>
      <c r="Z535" s="18" t="s">
        <v>760</v>
      </c>
      <c r="AA535" s="19"/>
      <c r="AB535" s="158" t="s">
        <v>398</v>
      </c>
      <c r="AC535" s="19"/>
      <c r="AD535" s="19"/>
      <c r="AE535" s="19"/>
      <c r="AF535" s="23">
        <v>0.0</v>
      </c>
      <c r="AG535" s="23" t="s">
        <v>356</v>
      </c>
      <c r="AH535" s="19"/>
      <c r="AI535" s="23" t="s">
        <v>356</v>
      </c>
      <c r="AJ535" s="23" t="s">
        <v>356</v>
      </c>
      <c r="AK535" s="23" t="s">
        <v>356</v>
      </c>
      <c r="AL535" s="23" t="s">
        <v>356</v>
      </c>
      <c r="AM535" s="82" t="s">
        <v>361</v>
      </c>
      <c r="AN535" s="23" t="s">
        <v>356</v>
      </c>
    </row>
    <row r="536">
      <c r="A536" s="17" t="s">
        <v>213</v>
      </c>
      <c r="B536" s="18" t="s">
        <v>753</v>
      </c>
      <c r="C536" s="19" t="s">
        <v>212</v>
      </c>
      <c r="D536" s="20" t="s">
        <v>547</v>
      </c>
      <c r="E536" s="21" t="s">
        <v>7</v>
      </c>
      <c r="F536" s="19" t="s">
        <v>67</v>
      </c>
      <c r="G536" s="22" t="s">
        <v>354</v>
      </c>
      <c r="H536" s="22" t="s">
        <v>354</v>
      </c>
      <c r="I536" s="22" t="s">
        <v>754</v>
      </c>
      <c r="J536" s="19">
        <v>39.0</v>
      </c>
      <c r="K536" s="23">
        <v>1.0</v>
      </c>
      <c r="L536" s="78">
        <v>1.0</v>
      </c>
      <c r="M536" s="78" t="s">
        <v>759</v>
      </c>
      <c r="N536" s="101" t="s">
        <v>17</v>
      </c>
      <c r="O536" s="101" t="s">
        <v>17</v>
      </c>
      <c r="P536" s="24" t="s">
        <v>214</v>
      </c>
      <c r="Q536" s="24" t="s">
        <v>213</v>
      </c>
      <c r="R536" s="24" t="s">
        <v>213</v>
      </c>
      <c r="S536" s="24" t="s">
        <v>213</v>
      </c>
      <c r="T536" s="24" t="s">
        <v>213</v>
      </c>
      <c r="U536" s="24" t="s">
        <v>213</v>
      </c>
      <c r="V536" s="24" t="s">
        <v>213</v>
      </c>
      <c r="W536" s="18" t="s">
        <v>758</v>
      </c>
      <c r="X536" s="83" t="s">
        <v>213</v>
      </c>
      <c r="Y536" s="83" t="s">
        <v>213</v>
      </c>
      <c r="Z536" s="18" t="s">
        <v>760</v>
      </c>
      <c r="AA536" s="24" t="s">
        <v>213</v>
      </c>
      <c r="AB536" s="158" t="s">
        <v>398</v>
      </c>
      <c r="AC536" s="19"/>
      <c r="AD536" s="19"/>
      <c r="AE536" s="19"/>
      <c r="AF536" s="23">
        <v>0.0</v>
      </c>
      <c r="AG536" s="33" t="s">
        <v>354</v>
      </c>
      <c r="AH536" s="33"/>
      <c r="AI536" s="33" t="s">
        <v>354</v>
      </c>
      <c r="AJ536" s="19"/>
      <c r="AK536" s="19"/>
      <c r="AL536" s="89" t="s">
        <v>356</v>
      </c>
      <c r="AM536" s="89" t="s">
        <v>356</v>
      </c>
      <c r="AN536" s="89" t="s">
        <v>356</v>
      </c>
    </row>
    <row r="537">
      <c r="A537" s="121" t="s">
        <v>761</v>
      </c>
      <c r="B537" s="191" t="s">
        <v>762</v>
      </c>
      <c r="C537" s="122" t="s">
        <v>298</v>
      </c>
      <c r="D537" s="123" t="s">
        <v>490</v>
      </c>
      <c r="E537" s="124" t="s">
        <v>491</v>
      </c>
      <c r="F537" s="122" t="s">
        <v>67</v>
      </c>
      <c r="G537" s="147" t="s">
        <v>354</v>
      </c>
      <c r="H537" s="147" t="s">
        <v>354</v>
      </c>
      <c r="I537" s="125" t="s">
        <v>754</v>
      </c>
      <c r="J537" s="122">
        <v>68.0</v>
      </c>
      <c r="K537" s="147" t="s">
        <v>354</v>
      </c>
      <c r="L537" s="147">
        <v>0.0</v>
      </c>
      <c r="M537" s="147" t="s">
        <v>354</v>
      </c>
      <c r="N537" s="101" t="s">
        <v>17</v>
      </c>
      <c r="O537" s="101" t="s">
        <v>17</v>
      </c>
      <c r="P537" s="101" t="s">
        <v>17</v>
      </c>
      <c r="Q537" s="101" t="s">
        <v>17</v>
      </c>
      <c r="R537" s="24" t="s">
        <v>299</v>
      </c>
      <c r="S537" s="122"/>
      <c r="T537" s="122"/>
      <c r="U537" s="122"/>
      <c r="V537" s="122"/>
      <c r="W537" s="122"/>
      <c r="X537" s="122"/>
      <c r="Y537" s="122"/>
      <c r="Z537" s="122"/>
      <c r="AA537" s="122"/>
      <c r="AB537" s="147" t="s">
        <v>354</v>
      </c>
      <c r="AC537" s="122"/>
      <c r="AD537" s="122"/>
      <c r="AE537" s="122"/>
      <c r="AF537" s="125">
        <v>0.0</v>
      </c>
      <c r="AG537" s="125" t="s">
        <v>356</v>
      </c>
      <c r="AH537" s="122"/>
      <c r="AI537" s="125" t="s">
        <v>356</v>
      </c>
      <c r="AJ537" s="122"/>
      <c r="AK537" s="122"/>
      <c r="AL537" s="147" t="s">
        <v>356</v>
      </c>
      <c r="AM537" s="147" t="s">
        <v>356</v>
      </c>
      <c r="AN537" s="125" t="s">
        <v>356</v>
      </c>
    </row>
    <row r="538">
      <c r="A538" s="121" t="s">
        <v>761</v>
      </c>
      <c r="B538" s="191" t="s">
        <v>762</v>
      </c>
      <c r="C538" s="122" t="s">
        <v>298</v>
      </c>
      <c r="D538" s="123" t="s">
        <v>490</v>
      </c>
      <c r="E538" s="124" t="s">
        <v>62</v>
      </c>
      <c r="F538" s="122" t="s">
        <v>67</v>
      </c>
      <c r="G538" s="125">
        <v>89.0</v>
      </c>
      <c r="H538" s="125">
        <v>65.0</v>
      </c>
      <c r="I538" s="125" t="s">
        <v>754</v>
      </c>
      <c r="J538" s="122">
        <v>64.0</v>
      </c>
      <c r="K538" s="147" t="s">
        <v>354</v>
      </c>
      <c r="L538" s="147">
        <v>0.0</v>
      </c>
      <c r="M538" s="147" t="s">
        <v>354</v>
      </c>
      <c r="N538" s="101" t="s">
        <v>17</v>
      </c>
      <c r="O538" s="101" t="s">
        <v>17</v>
      </c>
      <c r="P538" s="101" t="s">
        <v>17</v>
      </c>
      <c r="Q538" s="101" t="s">
        <v>17</v>
      </c>
      <c r="R538" s="24" t="s">
        <v>299</v>
      </c>
      <c r="S538" s="24" t="s">
        <v>300</v>
      </c>
      <c r="T538" s="62" t="s">
        <v>381</v>
      </c>
      <c r="U538" s="62" t="s">
        <v>381</v>
      </c>
      <c r="V538" s="62" t="s">
        <v>381</v>
      </c>
      <c r="W538" s="62" t="s">
        <v>381</v>
      </c>
      <c r="X538" s="62" t="s">
        <v>381</v>
      </c>
      <c r="Y538" s="62" t="s">
        <v>381</v>
      </c>
      <c r="Z538" s="62" t="s">
        <v>381</v>
      </c>
      <c r="AA538" s="62" t="s">
        <v>381</v>
      </c>
      <c r="AB538" s="62" t="s">
        <v>763</v>
      </c>
      <c r="AC538" s="122"/>
      <c r="AD538" s="122"/>
      <c r="AE538" s="122"/>
      <c r="AF538" s="196">
        <v>39.5</v>
      </c>
      <c r="AG538" s="125" t="s">
        <v>354</v>
      </c>
      <c r="AH538" s="122"/>
      <c r="AI538" s="125" t="s">
        <v>354</v>
      </c>
      <c r="AJ538" s="122"/>
      <c r="AK538" s="122"/>
      <c r="AL538" s="147" t="s">
        <v>356</v>
      </c>
      <c r="AM538" s="147" t="s">
        <v>356</v>
      </c>
      <c r="AN538" s="147" t="s">
        <v>356</v>
      </c>
    </row>
    <row r="539">
      <c r="A539" s="45" t="s">
        <v>216</v>
      </c>
      <c r="B539" s="18" t="s">
        <v>764</v>
      </c>
      <c r="C539" s="46" t="s">
        <v>215</v>
      </c>
      <c r="D539" s="47" t="s">
        <v>547</v>
      </c>
      <c r="E539" s="48" t="s">
        <v>37</v>
      </c>
      <c r="F539" s="46" t="s">
        <v>67</v>
      </c>
      <c r="G539" s="49">
        <v>124.0</v>
      </c>
      <c r="H539" s="49">
        <v>265.0</v>
      </c>
      <c r="I539" s="57" t="s">
        <v>354</v>
      </c>
      <c r="J539" s="46">
        <v>67.0</v>
      </c>
      <c r="K539" s="49">
        <v>1.0</v>
      </c>
      <c r="L539" s="49">
        <v>0.0</v>
      </c>
      <c r="M539" s="108" t="s">
        <v>354</v>
      </c>
      <c r="N539" s="101" t="s">
        <v>17</v>
      </c>
      <c r="O539" s="101" t="s">
        <v>17</v>
      </c>
      <c r="P539" s="24" t="s">
        <v>217</v>
      </c>
      <c r="Q539" s="46"/>
      <c r="R539" s="46"/>
      <c r="S539" s="46"/>
      <c r="T539" s="46"/>
      <c r="U539" s="46"/>
      <c r="V539" s="46"/>
      <c r="W539" s="46"/>
      <c r="X539" s="46"/>
      <c r="Y539" s="46"/>
      <c r="Z539" s="46"/>
      <c r="AA539" s="46"/>
      <c r="AB539" s="57" t="s">
        <v>354</v>
      </c>
      <c r="AC539" s="46">
        <v>36461.0</v>
      </c>
      <c r="AD539" s="46"/>
      <c r="AE539" s="46"/>
      <c r="AF539" s="55">
        <v>37.76</v>
      </c>
      <c r="AG539" s="49" t="s">
        <v>356</v>
      </c>
      <c r="AH539" s="46"/>
      <c r="AI539" s="49" t="s">
        <v>356</v>
      </c>
      <c r="AJ539" s="46"/>
      <c r="AK539" s="46"/>
      <c r="AL539" s="58" t="s">
        <v>380</v>
      </c>
      <c r="AM539" s="35" t="s">
        <v>363</v>
      </c>
      <c r="AN539" s="35" t="s">
        <v>363</v>
      </c>
    </row>
    <row r="540">
      <c r="A540" s="45" t="s">
        <v>216</v>
      </c>
      <c r="B540" s="18" t="s">
        <v>764</v>
      </c>
      <c r="C540" s="46" t="s">
        <v>215</v>
      </c>
      <c r="D540" s="47" t="s">
        <v>547</v>
      </c>
      <c r="E540" s="48" t="s">
        <v>37</v>
      </c>
      <c r="F540" s="46" t="s">
        <v>67</v>
      </c>
      <c r="G540" s="57" t="s">
        <v>354</v>
      </c>
      <c r="H540" s="49">
        <v>240.0</v>
      </c>
      <c r="I540" s="57" t="s">
        <v>354</v>
      </c>
      <c r="J540" s="46">
        <v>40.0</v>
      </c>
      <c r="K540" s="49">
        <v>0.0</v>
      </c>
      <c r="L540" s="49">
        <v>0.0</v>
      </c>
      <c r="M540" s="57" t="s">
        <v>354</v>
      </c>
      <c r="N540" s="101" t="s">
        <v>17</v>
      </c>
      <c r="O540" s="101" t="s">
        <v>17</v>
      </c>
      <c r="P540" s="24" t="s">
        <v>217</v>
      </c>
      <c r="Q540" s="24" t="s">
        <v>216</v>
      </c>
      <c r="R540" s="46"/>
      <c r="S540" s="46"/>
      <c r="T540" s="46"/>
      <c r="U540" s="46"/>
      <c r="V540" s="46"/>
      <c r="W540" s="46"/>
      <c r="X540" s="46"/>
      <c r="Y540" s="46"/>
      <c r="Z540" s="46"/>
      <c r="AA540" s="46"/>
      <c r="AB540" s="57" t="s">
        <v>354</v>
      </c>
      <c r="AC540" s="46">
        <v>36630.0</v>
      </c>
      <c r="AD540" s="46"/>
      <c r="AE540" s="46"/>
      <c r="AF540" s="55">
        <v>29.7</v>
      </c>
      <c r="AG540" s="56" t="s">
        <v>365</v>
      </c>
      <c r="AH540" s="46"/>
      <c r="AI540" s="56" t="s">
        <v>365</v>
      </c>
      <c r="AJ540" s="46"/>
      <c r="AK540" s="46"/>
      <c r="AL540" s="64" t="s">
        <v>363</v>
      </c>
      <c r="AM540" s="112" t="s">
        <v>363</v>
      </c>
      <c r="AN540" s="74" t="s">
        <v>361</v>
      </c>
    </row>
    <row r="541">
      <c r="A541" s="45" t="s">
        <v>216</v>
      </c>
      <c r="B541" s="18" t="s">
        <v>764</v>
      </c>
      <c r="C541" s="46" t="s">
        <v>215</v>
      </c>
      <c r="D541" s="47" t="s">
        <v>547</v>
      </c>
      <c r="E541" s="63" t="s">
        <v>7</v>
      </c>
      <c r="F541" s="46" t="s">
        <v>67</v>
      </c>
      <c r="G541" s="57" t="s">
        <v>354</v>
      </c>
      <c r="H541" s="49">
        <v>205.0</v>
      </c>
      <c r="I541" s="57" t="s">
        <v>354</v>
      </c>
      <c r="J541" s="46">
        <v>38.0</v>
      </c>
      <c r="K541" s="49">
        <v>0.0</v>
      </c>
      <c r="L541" s="57">
        <v>0.0</v>
      </c>
      <c r="M541" s="57" t="s">
        <v>354</v>
      </c>
      <c r="N541" s="101" t="s">
        <v>17</v>
      </c>
      <c r="O541" s="101" t="s">
        <v>17</v>
      </c>
      <c r="P541" s="24" t="s">
        <v>217</v>
      </c>
      <c r="Q541" s="24" t="s">
        <v>216</v>
      </c>
      <c r="R541" s="24" t="s">
        <v>216</v>
      </c>
      <c r="S541" s="46"/>
      <c r="T541" s="46"/>
      <c r="U541" s="46"/>
      <c r="V541" s="46"/>
      <c r="W541" s="46"/>
      <c r="X541" s="46"/>
      <c r="Y541" s="46"/>
      <c r="Z541" s="46"/>
      <c r="AA541" s="46"/>
      <c r="AB541" s="49" t="s">
        <v>714</v>
      </c>
      <c r="AC541" s="46"/>
      <c r="AD541" s="46"/>
      <c r="AE541" s="46"/>
      <c r="AF541" s="55">
        <v>33.1</v>
      </c>
      <c r="AG541" s="56" t="s">
        <v>365</v>
      </c>
      <c r="AH541" s="49" t="s">
        <v>433</v>
      </c>
      <c r="AI541" s="35" t="s">
        <v>363</v>
      </c>
      <c r="AJ541" s="46"/>
      <c r="AK541" s="46"/>
      <c r="AL541" s="28" t="s">
        <v>358</v>
      </c>
      <c r="AM541" s="64" t="s">
        <v>363</v>
      </c>
      <c r="AN541" s="64" t="s">
        <v>363</v>
      </c>
    </row>
    <row r="542">
      <c r="A542" s="45" t="s">
        <v>216</v>
      </c>
      <c r="B542" s="18" t="s">
        <v>764</v>
      </c>
      <c r="C542" s="46" t="s">
        <v>215</v>
      </c>
      <c r="D542" s="47" t="s">
        <v>547</v>
      </c>
      <c r="E542" s="63" t="s">
        <v>7</v>
      </c>
      <c r="F542" s="46" t="s">
        <v>67</v>
      </c>
      <c r="G542" s="57" t="s">
        <v>354</v>
      </c>
      <c r="H542" s="49">
        <v>235.0</v>
      </c>
      <c r="I542" s="57" t="s">
        <v>354</v>
      </c>
      <c r="J542" s="46">
        <v>36.0</v>
      </c>
      <c r="K542" s="49">
        <v>0.0</v>
      </c>
      <c r="L542" s="57">
        <v>0.0</v>
      </c>
      <c r="M542" s="57" t="s">
        <v>354</v>
      </c>
      <c r="N542" s="101" t="s">
        <v>17</v>
      </c>
      <c r="O542" s="101" t="s">
        <v>17</v>
      </c>
      <c r="P542" s="24" t="s">
        <v>217</v>
      </c>
      <c r="Q542" s="24" t="s">
        <v>216</v>
      </c>
      <c r="R542" s="24" t="s">
        <v>216</v>
      </c>
      <c r="S542" s="24" t="s">
        <v>216</v>
      </c>
      <c r="T542" s="46"/>
      <c r="U542" s="46"/>
      <c r="V542" s="46"/>
      <c r="W542" s="46"/>
      <c r="X542" s="46"/>
      <c r="Y542" s="46"/>
      <c r="Z542" s="46"/>
      <c r="AA542" s="46"/>
      <c r="AB542" s="57" t="s">
        <v>354</v>
      </c>
      <c r="AC542" s="46"/>
      <c r="AD542" s="46"/>
      <c r="AE542" s="46"/>
      <c r="AF542" s="63">
        <v>0.0</v>
      </c>
      <c r="AG542" s="63" t="s">
        <v>354</v>
      </c>
      <c r="AH542" s="48"/>
      <c r="AI542" s="63" t="s">
        <v>354</v>
      </c>
      <c r="AJ542" s="46"/>
      <c r="AK542" s="46"/>
      <c r="AL542" s="28" t="s">
        <v>358</v>
      </c>
      <c r="AM542" s="159" t="s">
        <v>420</v>
      </c>
      <c r="AN542" s="28" t="s">
        <v>358</v>
      </c>
    </row>
    <row r="543">
      <c r="A543" s="45" t="s">
        <v>216</v>
      </c>
      <c r="B543" s="18" t="s">
        <v>764</v>
      </c>
      <c r="C543" s="46" t="s">
        <v>215</v>
      </c>
      <c r="D543" s="47" t="s">
        <v>547</v>
      </c>
      <c r="E543" s="63" t="s">
        <v>7</v>
      </c>
      <c r="F543" s="46" t="s">
        <v>67</v>
      </c>
      <c r="G543" s="57" t="s">
        <v>354</v>
      </c>
      <c r="H543" s="49">
        <v>270.0</v>
      </c>
      <c r="I543" s="57" t="s">
        <v>354</v>
      </c>
      <c r="J543" s="46">
        <v>41.0</v>
      </c>
      <c r="K543" s="49">
        <v>0.0</v>
      </c>
      <c r="L543" s="57">
        <v>0.0</v>
      </c>
      <c r="M543" s="57" t="s">
        <v>354</v>
      </c>
      <c r="N543" s="101" t="s">
        <v>17</v>
      </c>
      <c r="O543" s="101" t="s">
        <v>17</v>
      </c>
      <c r="P543" s="24" t="s">
        <v>217</v>
      </c>
      <c r="Q543" s="24" t="s">
        <v>216</v>
      </c>
      <c r="R543" s="24" t="s">
        <v>216</v>
      </c>
      <c r="S543" s="24" t="s">
        <v>216</v>
      </c>
      <c r="T543" s="24" t="s">
        <v>216</v>
      </c>
      <c r="U543" s="44" t="s">
        <v>373</v>
      </c>
      <c r="V543" s="61" t="s">
        <v>373</v>
      </c>
      <c r="W543" s="46"/>
      <c r="X543" s="46"/>
      <c r="Y543" s="46"/>
      <c r="Z543" s="46"/>
      <c r="AA543" s="46"/>
      <c r="AB543" s="57" t="s">
        <v>354</v>
      </c>
      <c r="AC543" s="46"/>
      <c r="AD543" s="46"/>
      <c r="AE543" s="46"/>
      <c r="AF543" s="63">
        <v>0.0</v>
      </c>
      <c r="AG543" s="63" t="s">
        <v>354</v>
      </c>
      <c r="AH543" s="48"/>
      <c r="AI543" s="63" t="s">
        <v>354</v>
      </c>
      <c r="AJ543" s="46"/>
      <c r="AK543" s="46"/>
      <c r="AL543" s="28" t="s">
        <v>358</v>
      </c>
      <c r="AM543" s="80" t="s">
        <v>356</v>
      </c>
      <c r="AN543" s="28" t="s">
        <v>358</v>
      </c>
    </row>
    <row r="544">
      <c r="A544" s="45" t="s">
        <v>216</v>
      </c>
      <c r="B544" s="18" t="s">
        <v>764</v>
      </c>
      <c r="C544" s="46" t="s">
        <v>215</v>
      </c>
      <c r="D544" s="47" t="s">
        <v>547</v>
      </c>
      <c r="E544" s="63" t="s">
        <v>7</v>
      </c>
      <c r="F544" s="46" t="s">
        <v>67</v>
      </c>
      <c r="G544" s="57" t="s">
        <v>354</v>
      </c>
      <c r="H544" s="49">
        <v>275.0</v>
      </c>
      <c r="I544" s="57" t="s">
        <v>354</v>
      </c>
      <c r="J544" s="46">
        <v>53.0</v>
      </c>
      <c r="K544" s="49">
        <v>0.0</v>
      </c>
      <c r="L544" s="57">
        <v>0.0</v>
      </c>
      <c r="M544" s="57" t="s">
        <v>354</v>
      </c>
      <c r="N544" s="101" t="s">
        <v>17</v>
      </c>
      <c r="O544" s="101" t="s">
        <v>17</v>
      </c>
      <c r="P544" s="24" t="s">
        <v>217</v>
      </c>
      <c r="Q544" s="24" t="s">
        <v>216</v>
      </c>
      <c r="R544" s="24" t="s">
        <v>216</v>
      </c>
      <c r="S544" s="24" t="s">
        <v>216</v>
      </c>
      <c r="T544" s="24" t="s">
        <v>216</v>
      </c>
      <c r="U544" s="44" t="s">
        <v>373</v>
      </c>
      <c r="V544" s="61" t="s">
        <v>373</v>
      </c>
      <c r="W544" s="18" t="s">
        <v>765</v>
      </c>
      <c r="X544" s="46"/>
      <c r="Y544" s="46"/>
      <c r="Z544" s="46"/>
      <c r="AA544" s="46"/>
      <c r="AB544" s="158" t="s">
        <v>600</v>
      </c>
      <c r="AC544" s="46"/>
      <c r="AD544" s="46"/>
      <c r="AE544" s="46"/>
      <c r="AF544" s="63">
        <v>0.0</v>
      </c>
      <c r="AG544" s="63" t="s">
        <v>354</v>
      </c>
      <c r="AH544" s="48"/>
      <c r="AI544" s="63" t="s">
        <v>354</v>
      </c>
      <c r="AJ544" s="46"/>
      <c r="AK544" s="46"/>
      <c r="AL544" s="80" t="s">
        <v>356</v>
      </c>
      <c r="AM544" s="80" t="s">
        <v>356</v>
      </c>
      <c r="AN544" s="80" t="s">
        <v>356</v>
      </c>
    </row>
    <row r="545">
      <c r="A545" s="45" t="s">
        <v>216</v>
      </c>
      <c r="B545" s="18" t="s">
        <v>764</v>
      </c>
      <c r="C545" s="46" t="s">
        <v>215</v>
      </c>
      <c r="D545" s="47" t="s">
        <v>547</v>
      </c>
      <c r="E545" s="63" t="s">
        <v>7</v>
      </c>
      <c r="F545" s="46" t="s">
        <v>67</v>
      </c>
      <c r="G545" s="57" t="s">
        <v>354</v>
      </c>
      <c r="H545" s="57" t="s">
        <v>354</v>
      </c>
      <c r="I545" s="57" t="s">
        <v>354</v>
      </c>
      <c r="J545" s="46">
        <v>53.0</v>
      </c>
      <c r="K545" s="49">
        <v>0.0</v>
      </c>
      <c r="L545" s="78">
        <v>1.0</v>
      </c>
      <c r="M545" s="78" t="s">
        <v>766</v>
      </c>
      <c r="N545" s="101" t="s">
        <v>17</v>
      </c>
      <c r="O545" s="101" t="s">
        <v>17</v>
      </c>
      <c r="P545" s="24" t="s">
        <v>217</v>
      </c>
      <c r="Q545" s="24" t="s">
        <v>216</v>
      </c>
      <c r="R545" s="24" t="s">
        <v>216</v>
      </c>
      <c r="S545" s="24" t="s">
        <v>216</v>
      </c>
      <c r="T545" s="24" t="s">
        <v>216</v>
      </c>
      <c r="U545" s="44" t="s">
        <v>373</v>
      </c>
      <c r="V545" s="61" t="s">
        <v>373</v>
      </c>
      <c r="W545" s="18" t="s">
        <v>765</v>
      </c>
      <c r="X545" s="83" t="s">
        <v>216</v>
      </c>
      <c r="Y545" s="49"/>
      <c r="Z545" s="49"/>
      <c r="AA545" s="46"/>
      <c r="AB545" s="158" t="s">
        <v>600</v>
      </c>
      <c r="AC545" s="46"/>
      <c r="AD545" s="46"/>
      <c r="AE545" s="46"/>
      <c r="AF545" s="63">
        <v>0.0</v>
      </c>
      <c r="AG545" s="63" t="s">
        <v>354</v>
      </c>
      <c r="AH545" s="48"/>
      <c r="AI545" s="63" t="s">
        <v>354</v>
      </c>
      <c r="AJ545" s="46"/>
      <c r="AK545" s="46"/>
      <c r="AL545" s="80" t="s">
        <v>356</v>
      </c>
      <c r="AM545" s="80" t="s">
        <v>356</v>
      </c>
      <c r="AN545" s="80" t="s">
        <v>356</v>
      </c>
    </row>
    <row r="546">
      <c r="A546" s="45" t="s">
        <v>216</v>
      </c>
      <c r="B546" s="18" t="s">
        <v>764</v>
      </c>
      <c r="C546" s="46" t="s">
        <v>215</v>
      </c>
      <c r="D546" s="47" t="s">
        <v>547</v>
      </c>
      <c r="E546" s="63" t="s">
        <v>7</v>
      </c>
      <c r="F546" s="46" t="s">
        <v>67</v>
      </c>
      <c r="G546" s="57" t="s">
        <v>354</v>
      </c>
      <c r="H546" s="57" t="s">
        <v>354</v>
      </c>
      <c r="I546" s="57" t="s">
        <v>354</v>
      </c>
      <c r="J546" s="46">
        <v>53.0</v>
      </c>
      <c r="K546" s="49">
        <v>0.0</v>
      </c>
      <c r="L546" s="78">
        <v>1.0</v>
      </c>
      <c r="M546" s="78" t="s">
        <v>766</v>
      </c>
      <c r="N546" s="101" t="s">
        <v>17</v>
      </c>
      <c r="O546" s="101" t="s">
        <v>17</v>
      </c>
      <c r="P546" s="24" t="s">
        <v>217</v>
      </c>
      <c r="Q546" s="24" t="s">
        <v>216</v>
      </c>
      <c r="R546" s="24" t="s">
        <v>216</v>
      </c>
      <c r="S546" s="24" t="s">
        <v>216</v>
      </c>
      <c r="T546" s="24" t="s">
        <v>216</v>
      </c>
      <c r="U546" s="44" t="s">
        <v>373</v>
      </c>
      <c r="V546" s="61" t="s">
        <v>373</v>
      </c>
      <c r="W546" s="18" t="s">
        <v>765</v>
      </c>
      <c r="X546" s="83" t="s">
        <v>216</v>
      </c>
      <c r="Y546" s="83" t="s">
        <v>216</v>
      </c>
      <c r="Z546" s="49"/>
      <c r="AA546" s="46"/>
      <c r="AB546" s="158" t="s">
        <v>600</v>
      </c>
      <c r="AC546" s="46"/>
      <c r="AD546" s="46"/>
      <c r="AE546" s="46"/>
      <c r="AF546" s="63">
        <v>0.0</v>
      </c>
      <c r="AG546" s="63" t="s">
        <v>354</v>
      </c>
      <c r="AH546" s="48"/>
      <c r="AI546" s="63" t="s">
        <v>354</v>
      </c>
      <c r="AJ546" s="46"/>
      <c r="AK546" s="46"/>
      <c r="AL546" s="120" t="s">
        <v>356</v>
      </c>
      <c r="AM546" s="79" t="s">
        <v>361</v>
      </c>
      <c r="AN546" s="120" t="s">
        <v>356</v>
      </c>
    </row>
    <row r="547">
      <c r="A547" s="45" t="s">
        <v>216</v>
      </c>
      <c r="B547" s="18" t="s">
        <v>764</v>
      </c>
      <c r="C547" s="46" t="s">
        <v>215</v>
      </c>
      <c r="D547" s="47" t="s">
        <v>547</v>
      </c>
      <c r="E547" s="63" t="s">
        <v>7</v>
      </c>
      <c r="F547" s="46" t="s">
        <v>67</v>
      </c>
      <c r="G547" s="57" t="s">
        <v>354</v>
      </c>
      <c r="H547" s="57" t="s">
        <v>354</v>
      </c>
      <c r="I547" s="57" t="s">
        <v>354</v>
      </c>
      <c r="J547" s="46">
        <v>53.0</v>
      </c>
      <c r="K547" s="49">
        <v>0.0</v>
      </c>
      <c r="L547" s="78">
        <v>1.0</v>
      </c>
      <c r="M547" s="78" t="s">
        <v>766</v>
      </c>
      <c r="N547" s="101" t="s">
        <v>17</v>
      </c>
      <c r="O547" s="101" t="s">
        <v>17</v>
      </c>
      <c r="P547" s="24" t="s">
        <v>217</v>
      </c>
      <c r="Q547" s="24" t="s">
        <v>216</v>
      </c>
      <c r="R547" s="24" t="s">
        <v>216</v>
      </c>
      <c r="S547" s="24" t="s">
        <v>216</v>
      </c>
      <c r="T547" s="24" t="s">
        <v>216</v>
      </c>
      <c r="U547" s="44" t="s">
        <v>373</v>
      </c>
      <c r="V547" s="61" t="s">
        <v>373</v>
      </c>
      <c r="W547" s="18" t="s">
        <v>765</v>
      </c>
      <c r="X547" s="83" t="s">
        <v>216</v>
      </c>
      <c r="Y547" s="83" t="s">
        <v>216</v>
      </c>
      <c r="Z547" s="18" t="s">
        <v>767</v>
      </c>
      <c r="AA547" s="46"/>
      <c r="AB547" s="158" t="s">
        <v>600</v>
      </c>
      <c r="AC547" s="46"/>
      <c r="AD547" s="46"/>
      <c r="AE547" s="46"/>
      <c r="AF547" s="63">
        <v>0.0</v>
      </c>
      <c r="AG547" s="57" t="s">
        <v>356</v>
      </c>
      <c r="AH547" s="46"/>
      <c r="AI547" s="57" t="s">
        <v>356</v>
      </c>
      <c r="AJ547" s="57" t="s">
        <v>356</v>
      </c>
      <c r="AK547" s="57" t="s">
        <v>356</v>
      </c>
      <c r="AL547" s="79" t="s">
        <v>361</v>
      </c>
      <c r="AM547" s="79" t="s">
        <v>361</v>
      </c>
      <c r="AN547" s="120" t="s">
        <v>356</v>
      </c>
    </row>
    <row r="548">
      <c r="A548" s="45" t="s">
        <v>216</v>
      </c>
      <c r="B548" s="18" t="s">
        <v>764</v>
      </c>
      <c r="C548" s="46" t="s">
        <v>215</v>
      </c>
      <c r="D548" s="47" t="s">
        <v>547</v>
      </c>
      <c r="E548" s="63" t="s">
        <v>7</v>
      </c>
      <c r="F548" s="46" t="s">
        <v>67</v>
      </c>
      <c r="G548" s="57" t="s">
        <v>354</v>
      </c>
      <c r="H548" s="57" t="s">
        <v>354</v>
      </c>
      <c r="I548" s="57" t="s">
        <v>354</v>
      </c>
      <c r="J548" s="46">
        <v>53.0</v>
      </c>
      <c r="K548" s="49">
        <v>1.0</v>
      </c>
      <c r="L548" s="78">
        <v>1.0</v>
      </c>
      <c r="M548" s="78" t="s">
        <v>766</v>
      </c>
      <c r="N548" s="101" t="s">
        <v>17</v>
      </c>
      <c r="O548" s="101" t="s">
        <v>17</v>
      </c>
      <c r="P548" s="24" t="s">
        <v>217</v>
      </c>
      <c r="Q548" s="24" t="s">
        <v>216</v>
      </c>
      <c r="R548" s="24" t="s">
        <v>216</v>
      </c>
      <c r="S548" s="24" t="s">
        <v>216</v>
      </c>
      <c r="T548" s="24" t="s">
        <v>216</v>
      </c>
      <c r="U548" s="44" t="s">
        <v>373</v>
      </c>
      <c r="V548" s="61" t="s">
        <v>373</v>
      </c>
      <c r="W548" s="18" t="s">
        <v>765</v>
      </c>
      <c r="X548" s="83" t="s">
        <v>216</v>
      </c>
      <c r="Y548" s="83" t="s">
        <v>216</v>
      </c>
      <c r="Z548" s="18" t="s">
        <v>767</v>
      </c>
      <c r="AA548" s="83" t="s">
        <v>216</v>
      </c>
      <c r="AB548" s="158" t="s">
        <v>600</v>
      </c>
      <c r="AC548" s="46"/>
      <c r="AD548" s="46"/>
      <c r="AE548" s="46"/>
      <c r="AF548" s="63">
        <v>0.0</v>
      </c>
      <c r="AG548" s="63" t="s">
        <v>354</v>
      </c>
      <c r="AH548" s="48"/>
      <c r="AI548" s="63" t="s">
        <v>354</v>
      </c>
      <c r="AJ548" s="46"/>
      <c r="AK548" s="46"/>
      <c r="AL548" s="80" t="s">
        <v>356</v>
      </c>
      <c r="AM548" s="80" t="s">
        <v>356</v>
      </c>
      <c r="AN548" s="80" t="s">
        <v>356</v>
      </c>
    </row>
    <row r="549">
      <c r="A549" s="95" t="s">
        <v>768</v>
      </c>
      <c r="B549" s="98" t="s">
        <v>769</v>
      </c>
      <c r="C549" s="19" t="s">
        <v>218</v>
      </c>
      <c r="D549" s="20" t="s">
        <v>547</v>
      </c>
      <c r="E549" s="21" t="s">
        <v>7</v>
      </c>
      <c r="F549" s="19" t="s">
        <v>67</v>
      </c>
      <c r="G549" s="23">
        <v>122.0</v>
      </c>
      <c r="H549" s="23">
        <v>260.0</v>
      </c>
      <c r="I549" s="22" t="s">
        <v>354</v>
      </c>
      <c r="J549" s="19">
        <v>68.0</v>
      </c>
      <c r="K549" s="23">
        <v>1.0</v>
      </c>
      <c r="L549" s="23">
        <v>0.0</v>
      </c>
      <c r="M549" s="22" t="s">
        <v>354</v>
      </c>
      <c r="N549" s="101" t="s">
        <v>17</v>
      </c>
      <c r="O549" s="101" t="s">
        <v>17</v>
      </c>
      <c r="P549" s="24" t="s">
        <v>220</v>
      </c>
      <c r="Q549" s="19"/>
      <c r="R549" s="19"/>
      <c r="S549" s="19"/>
      <c r="T549" s="19"/>
      <c r="U549" s="19"/>
      <c r="V549" s="19"/>
      <c r="W549" s="19"/>
      <c r="X549" s="19"/>
      <c r="Y549" s="19"/>
      <c r="Z549" s="19"/>
      <c r="AA549" s="19"/>
      <c r="AB549" s="22" t="s">
        <v>354</v>
      </c>
      <c r="AC549" s="19">
        <v>36462.0</v>
      </c>
      <c r="AD549" s="19"/>
      <c r="AE549" s="19"/>
      <c r="AF549" s="66">
        <v>30.17</v>
      </c>
      <c r="AG549" s="23" t="s">
        <v>356</v>
      </c>
      <c r="AH549" s="19"/>
      <c r="AI549" s="23" t="s">
        <v>356</v>
      </c>
      <c r="AJ549" s="19"/>
      <c r="AK549" s="19"/>
      <c r="AL549" s="73" t="s">
        <v>357</v>
      </c>
      <c r="AM549" s="73" t="s">
        <v>357</v>
      </c>
      <c r="AN549" s="32" t="s">
        <v>361</v>
      </c>
    </row>
    <row r="550">
      <c r="A550" s="95" t="s">
        <v>768</v>
      </c>
      <c r="B550" s="98" t="s">
        <v>769</v>
      </c>
      <c r="C550" s="19" t="s">
        <v>218</v>
      </c>
      <c r="D550" s="20" t="s">
        <v>547</v>
      </c>
      <c r="E550" s="21" t="s">
        <v>7</v>
      </c>
      <c r="F550" s="19" t="s">
        <v>67</v>
      </c>
      <c r="G550" s="23">
        <v>121.0</v>
      </c>
      <c r="H550" s="23">
        <v>205.0</v>
      </c>
      <c r="I550" s="22" t="s">
        <v>354</v>
      </c>
      <c r="J550" s="19">
        <v>41.0</v>
      </c>
      <c r="K550" s="23">
        <v>0.0</v>
      </c>
      <c r="L550" s="23">
        <v>0.0</v>
      </c>
      <c r="M550" s="22" t="s">
        <v>354</v>
      </c>
      <c r="N550" s="101" t="s">
        <v>17</v>
      </c>
      <c r="O550" s="101" t="s">
        <v>17</v>
      </c>
      <c r="P550" s="24" t="s">
        <v>220</v>
      </c>
      <c r="Q550" s="24" t="s">
        <v>219</v>
      </c>
      <c r="R550" s="19"/>
      <c r="S550" s="19"/>
      <c r="T550" s="19"/>
      <c r="U550" s="19"/>
      <c r="V550" s="19"/>
      <c r="W550" s="19"/>
      <c r="X550" s="19"/>
      <c r="Y550" s="19"/>
      <c r="Z550" s="19"/>
      <c r="AA550" s="19"/>
      <c r="AB550" s="22" t="s">
        <v>354</v>
      </c>
      <c r="AC550" s="19">
        <v>36631.0</v>
      </c>
      <c r="AD550" s="19"/>
      <c r="AE550" s="19"/>
      <c r="AF550" s="66">
        <v>28.74</v>
      </c>
      <c r="AG550" s="36" t="s">
        <v>365</v>
      </c>
      <c r="AH550" s="23" t="s">
        <v>366</v>
      </c>
      <c r="AI550" s="26" t="s">
        <v>357</v>
      </c>
      <c r="AJ550" s="19"/>
      <c r="AK550" s="19"/>
      <c r="AL550" s="59" t="s">
        <v>357</v>
      </c>
      <c r="AM550" s="38" t="s">
        <v>357</v>
      </c>
      <c r="AN550" s="59" t="s">
        <v>357</v>
      </c>
    </row>
    <row r="551">
      <c r="A551" s="95" t="s">
        <v>768</v>
      </c>
      <c r="B551" s="98" t="s">
        <v>769</v>
      </c>
      <c r="C551" s="19" t="s">
        <v>218</v>
      </c>
      <c r="D551" s="20" t="s">
        <v>547</v>
      </c>
      <c r="E551" s="21" t="s">
        <v>7</v>
      </c>
      <c r="F551" s="19" t="s">
        <v>67</v>
      </c>
      <c r="G551" s="22" t="s">
        <v>354</v>
      </c>
      <c r="H551" s="23">
        <v>205.0</v>
      </c>
      <c r="I551" s="22" t="s">
        <v>354</v>
      </c>
      <c r="J551" s="19">
        <v>39.0</v>
      </c>
      <c r="K551" s="23">
        <v>0.0</v>
      </c>
      <c r="L551" s="23">
        <v>0.0</v>
      </c>
      <c r="M551" s="22" t="s">
        <v>354</v>
      </c>
      <c r="N551" s="101" t="s">
        <v>17</v>
      </c>
      <c r="O551" s="101" t="s">
        <v>17</v>
      </c>
      <c r="P551" s="24" t="s">
        <v>220</v>
      </c>
      <c r="Q551" s="24" t="s">
        <v>219</v>
      </c>
      <c r="R551" s="24" t="s">
        <v>219</v>
      </c>
      <c r="S551" s="19"/>
      <c r="T551" s="19"/>
      <c r="U551" s="19"/>
      <c r="V551" s="19"/>
      <c r="W551" s="19"/>
      <c r="X551" s="19"/>
      <c r="Y551" s="19"/>
      <c r="Z551" s="19"/>
      <c r="AA551" s="19"/>
      <c r="AB551" s="23" t="s">
        <v>714</v>
      </c>
      <c r="AC551" s="19"/>
      <c r="AD551" s="19"/>
      <c r="AE551" s="19"/>
      <c r="AF551" s="66">
        <v>25.34</v>
      </c>
      <c r="AG551" s="36" t="s">
        <v>365</v>
      </c>
      <c r="AH551" s="23" t="s">
        <v>770</v>
      </c>
      <c r="AI551" s="165" t="s">
        <v>389</v>
      </c>
      <c r="AJ551" s="19"/>
      <c r="AK551" s="19"/>
      <c r="AL551" s="89" t="s">
        <v>356</v>
      </c>
      <c r="AM551" s="89" t="s">
        <v>356</v>
      </c>
      <c r="AN551" s="59" t="s">
        <v>357</v>
      </c>
    </row>
    <row r="552">
      <c r="A552" s="95" t="s">
        <v>768</v>
      </c>
      <c r="B552" s="98" t="s">
        <v>769</v>
      </c>
      <c r="C552" s="19" t="s">
        <v>218</v>
      </c>
      <c r="D552" s="20" t="s">
        <v>547</v>
      </c>
      <c r="E552" s="21" t="s">
        <v>7</v>
      </c>
      <c r="F552" s="19" t="s">
        <v>67</v>
      </c>
      <c r="G552" s="22" t="s">
        <v>354</v>
      </c>
      <c r="H552" s="23">
        <v>210.0</v>
      </c>
      <c r="I552" s="22" t="s">
        <v>354</v>
      </c>
      <c r="J552" s="19">
        <v>37.0</v>
      </c>
      <c r="K552" s="23">
        <v>0.0</v>
      </c>
      <c r="L552" s="23">
        <v>0.0</v>
      </c>
      <c r="M552" s="22" t="s">
        <v>354</v>
      </c>
      <c r="N552" s="101" t="s">
        <v>17</v>
      </c>
      <c r="O552" s="101" t="s">
        <v>17</v>
      </c>
      <c r="P552" s="24" t="s">
        <v>220</v>
      </c>
      <c r="Q552" s="24" t="s">
        <v>219</v>
      </c>
      <c r="R552" s="24" t="s">
        <v>219</v>
      </c>
      <c r="S552" s="24" t="s">
        <v>219</v>
      </c>
      <c r="T552" s="19"/>
      <c r="U552" s="19"/>
      <c r="V552" s="19"/>
      <c r="W552" s="19"/>
      <c r="X552" s="19"/>
      <c r="Y552" s="19"/>
      <c r="Z552" s="19"/>
      <c r="AA552" s="19"/>
      <c r="AB552" s="23" t="s">
        <v>771</v>
      </c>
      <c r="AC552" s="19"/>
      <c r="AD552" s="19"/>
      <c r="AE552" s="19"/>
      <c r="AF552" s="167">
        <v>42.59</v>
      </c>
      <c r="AG552" s="33" t="s">
        <v>354</v>
      </c>
      <c r="AH552" s="33"/>
      <c r="AI552" s="33" t="s">
        <v>354</v>
      </c>
      <c r="AJ552" s="19"/>
      <c r="AK552" s="19"/>
      <c r="AL552" s="89" t="s">
        <v>356</v>
      </c>
      <c r="AM552" s="181" t="s">
        <v>389</v>
      </c>
      <c r="AN552" s="89" t="s">
        <v>356</v>
      </c>
    </row>
    <row r="553">
      <c r="A553" s="95" t="s">
        <v>768</v>
      </c>
      <c r="B553" s="98" t="s">
        <v>769</v>
      </c>
      <c r="C553" s="19" t="s">
        <v>218</v>
      </c>
      <c r="D553" s="20" t="s">
        <v>547</v>
      </c>
      <c r="E553" s="21" t="s">
        <v>7</v>
      </c>
      <c r="F553" s="19" t="s">
        <v>67</v>
      </c>
      <c r="G553" s="22" t="s">
        <v>354</v>
      </c>
      <c r="H553" s="23">
        <v>255.0</v>
      </c>
      <c r="I553" s="22" t="s">
        <v>354</v>
      </c>
      <c r="J553" s="19">
        <v>42.0</v>
      </c>
      <c r="K553" s="23">
        <v>0.0</v>
      </c>
      <c r="L553" s="23">
        <v>0.0</v>
      </c>
      <c r="M553" s="22" t="s">
        <v>354</v>
      </c>
      <c r="N553" s="101" t="s">
        <v>17</v>
      </c>
      <c r="O553" s="101" t="s">
        <v>17</v>
      </c>
      <c r="P553" s="24" t="s">
        <v>220</v>
      </c>
      <c r="Q553" s="24" t="s">
        <v>219</v>
      </c>
      <c r="R553" s="24" t="s">
        <v>219</v>
      </c>
      <c r="S553" s="24" t="s">
        <v>219</v>
      </c>
      <c r="T553" s="24" t="s">
        <v>219</v>
      </c>
      <c r="U553" s="19"/>
      <c r="V553" s="19"/>
      <c r="W553" s="19"/>
      <c r="X553" s="19"/>
      <c r="Y553" s="19"/>
      <c r="Z553" s="19"/>
      <c r="AA553" s="19"/>
      <c r="AB553" s="22" t="s">
        <v>354</v>
      </c>
      <c r="AC553" s="19"/>
      <c r="AD553" s="19"/>
      <c r="AE553" s="19"/>
      <c r="AF553" s="23">
        <v>0.0</v>
      </c>
      <c r="AG553" s="33" t="s">
        <v>354</v>
      </c>
      <c r="AH553" s="33"/>
      <c r="AI553" s="33" t="s">
        <v>354</v>
      </c>
      <c r="AJ553" s="19"/>
      <c r="AK553" s="19"/>
      <c r="AL553" s="90" t="s">
        <v>413</v>
      </c>
      <c r="AM553" s="90" t="s">
        <v>413</v>
      </c>
      <c r="AN553" s="90" t="s">
        <v>413</v>
      </c>
    </row>
    <row r="554">
      <c r="A554" s="95" t="s">
        <v>768</v>
      </c>
      <c r="B554" s="98" t="s">
        <v>769</v>
      </c>
      <c r="C554" s="19" t="s">
        <v>218</v>
      </c>
      <c r="D554" s="20" t="s">
        <v>547</v>
      </c>
      <c r="E554" s="21" t="s">
        <v>7</v>
      </c>
      <c r="F554" s="19" t="s">
        <v>67</v>
      </c>
      <c r="G554" s="22" t="s">
        <v>354</v>
      </c>
      <c r="H554" s="23">
        <v>235.0</v>
      </c>
      <c r="I554" s="22" t="s">
        <v>354</v>
      </c>
      <c r="J554" s="19">
        <v>40.0</v>
      </c>
      <c r="K554" s="23">
        <v>1.0</v>
      </c>
      <c r="L554" s="23">
        <v>0.0</v>
      </c>
      <c r="M554" s="22" t="s">
        <v>354</v>
      </c>
      <c r="N554" s="101" t="s">
        <v>17</v>
      </c>
      <c r="O554" s="101" t="s">
        <v>17</v>
      </c>
      <c r="P554" s="24" t="s">
        <v>220</v>
      </c>
      <c r="Q554" s="24" t="s">
        <v>219</v>
      </c>
      <c r="R554" s="24" t="s">
        <v>219</v>
      </c>
      <c r="S554" s="24" t="s">
        <v>219</v>
      </c>
      <c r="T554" s="24" t="s">
        <v>219</v>
      </c>
      <c r="U554" s="24" t="s">
        <v>219</v>
      </c>
      <c r="V554" s="19"/>
      <c r="W554" s="23"/>
      <c r="X554" s="23"/>
      <c r="Y554" s="23"/>
      <c r="Z554" s="23"/>
      <c r="AA554" s="19"/>
      <c r="AB554" s="23" t="s">
        <v>662</v>
      </c>
      <c r="AC554" s="19"/>
      <c r="AD554" s="19"/>
      <c r="AE554" s="19"/>
      <c r="AF554" s="23">
        <v>0.0</v>
      </c>
      <c r="AG554" s="33" t="s">
        <v>354</v>
      </c>
      <c r="AH554" s="33"/>
      <c r="AI554" s="33" t="s">
        <v>354</v>
      </c>
      <c r="AJ554" s="19"/>
      <c r="AK554" s="19"/>
      <c r="AL554" s="82" t="s">
        <v>361</v>
      </c>
      <c r="AM554" s="103" t="s">
        <v>389</v>
      </c>
      <c r="AN554" s="89" t="s">
        <v>356</v>
      </c>
    </row>
    <row r="555">
      <c r="A555" s="95" t="s">
        <v>768</v>
      </c>
      <c r="B555" s="98" t="s">
        <v>769</v>
      </c>
      <c r="C555" s="19" t="s">
        <v>218</v>
      </c>
      <c r="D555" s="20" t="s">
        <v>547</v>
      </c>
      <c r="E555" s="21" t="s">
        <v>7</v>
      </c>
      <c r="F555" s="19" t="s">
        <v>67</v>
      </c>
      <c r="G555" s="22" t="s">
        <v>354</v>
      </c>
      <c r="H555" s="23">
        <v>325.0</v>
      </c>
      <c r="I555" s="22" t="s">
        <v>354</v>
      </c>
      <c r="J555" s="19">
        <v>40.0</v>
      </c>
      <c r="K555" s="23">
        <v>1.0</v>
      </c>
      <c r="L555" s="23">
        <v>0.0</v>
      </c>
      <c r="M555" s="22" t="s">
        <v>354</v>
      </c>
      <c r="N555" s="101" t="s">
        <v>17</v>
      </c>
      <c r="O555" s="101" t="s">
        <v>17</v>
      </c>
      <c r="P555" s="24" t="s">
        <v>220</v>
      </c>
      <c r="Q555" s="24" t="s">
        <v>219</v>
      </c>
      <c r="R555" s="24" t="s">
        <v>219</v>
      </c>
      <c r="S555" s="24" t="s">
        <v>219</v>
      </c>
      <c r="T555" s="24" t="s">
        <v>219</v>
      </c>
      <c r="U555" s="24" t="s">
        <v>219</v>
      </c>
      <c r="V555" s="24" t="s">
        <v>219</v>
      </c>
      <c r="W555" s="23"/>
      <c r="X555" s="23"/>
      <c r="Y555" s="23"/>
      <c r="Z555" s="23"/>
      <c r="AA555" s="19"/>
      <c r="AB555" s="22" t="s">
        <v>354</v>
      </c>
      <c r="AC555" s="19"/>
      <c r="AD555" s="19"/>
      <c r="AE555" s="19"/>
      <c r="AF555" s="23">
        <v>0.0</v>
      </c>
      <c r="AG555" s="33" t="s">
        <v>354</v>
      </c>
      <c r="AH555" s="33"/>
      <c r="AI555" s="33" t="s">
        <v>354</v>
      </c>
      <c r="AJ555" s="19"/>
      <c r="AK555" s="19"/>
      <c r="AL555" s="19" t="s">
        <v>356</v>
      </c>
      <c r="AM555" s="35" t="s">
        <v>363</v>
      </c>
      <c r="AN555" s="35" t="s">
        <v>363</v>
      </c>
    </row>
    <row r="556">
      <c r="A556" s="95" t="s">
        <v>768</v>
      </c>
      <c r="B556" s="98" t="s">
        <v>769</v>
      </c>
      <c r="C556" s="19" t="s">
        <v>218</v>
      </c>
      <c r="D556" s="20" t="s">
        <v>547</v>
      </c>
      <c r="E556" s="21" t="s">
        <v>7</v>
      </c>
      <c r="F556" s="19" t="s">
        <v>67</v>
      </c>
      <c r="G556" s="23">
        <v>122.0</v>
      </c>
      <c r="H556" s="23">
        <v>205.0</v>
      </c>
      <c r="I556" s="22" t="s">
        <v>354</v>
      </c>
      <c r="J556" s="19">
        <v>40.0</v>
      </c>
      <c r="K556" s="23">
        <v>0.0</v>
      </c>
      <c r="L556" s="23">
        <v>0.0</v>
      </c>
      <c r="M556" s="23" t="s">
        <v>354</v>
      </c>
      <c r="N556" s="101" t="s">
        <v>17</v>
      </c>
      <c r="O556" s="101" t="s">
        <v>17</v>
      </c>
      <c r="P556" s="24" t="s">
        <v>220</v>
      </c>
      <c r="Q556" s="24" t="s">
        <v>219</v>
      </c>
      <c r="R556" s="24" t="s">
        <v>219</v>
      </c>
      <c r="S556" s="24" t="s">
        <v>219</v>
      </c>
      <c r="T556" s="24" t="s">
        <v>219</v>
      </c>
      <c r="U556" s="24" t="s">
        <v>219</v>
      </c>
      <c r="V556" s="24" t="s">
        <v>219</v>
      </c>
      <c r="W556" s="18" t="s">
        <v>772</v>
      </c>
      <c r="X556" s="44" t="s">
        <v>373</v>
      </c>
      <c r="Y556" s="23"/>
      <c r="Z556" s="23"/>
      <c r="AA556" s="19"/>
      <c r="AB556" s="22" t="s">
        <v>354</v>
      </c>
      <c r="AC556" s="19"/>
      <c r="AD556" s="19"/>
      <c r="AE556" s="19"/>
      <c r="AF556" s="23">
        <v>0.0</v>
      </c>
      <c r="AG556" s="33" t="s">
        <v>354</v>
      </c>
      <c r="AH556" s="33"/>
      <c r="AI556" s="33" t="s">
        <v>354</v>
      </c>
      <c r="AJ556" s="19"/>
      <c r="AK556" s="19"/>
      <c r="AL556" s="19" t="s">
        <v>356</v>
      </c>
      <c r="AM556" s="19" t="s">
        <v>356</v>
      </c>
      <c r="AN556" s="19" t="s">
        <v>356</v>
      </c>
    </row>
    <row r="557">
      <c r="A557" s="95" t="s">
        <v>768</v>
      </c>
      <c r="B557" s="98" t="s">
        <v>769</v>
      </c>
      <c r="C557" s="19" t="s">
        <v>218</v>
      </c>
      <c r="D557" s="20" t="s">
        <v>547</v>
      </c>
      <c r="E557" s="21" t="s">
        <v>7</v>
      </c>
      <c r="F557" s="19" t="s">
        <v>67</v>
      </c>
      <c r="G557" s="22" t="s">
        <v>354</v>
      </c>
      <c r="H557" s="22" t="s">
        <v>354</v>
      </c>
      <c r="I557" s="22" t="s">
        <v>354</v>
      </c>
      <c r="J557" s="19">
        <v>40.0</v>
      </c>
      <c r="K557" s="23">
        <v>1.0</v>
      </c>
      <c r="L557" s="23">
        <v>0.0</v>
      </c>
      <c r="M557" s="23" t="s">
        <v>354</v>
      </c>
      <c r="N557" s="101" t="s">
        <v>17</v>
      </c>
      <c r="O557" s="101" t="s">
        <v>17</v>
      </c>
      <c r="P557" s="24" t="s">
        <v>220</v>
      </c>
      <c r="Q557" s="24" t="s">
        <v>219</v>
      </c>
      <c r="R557" s="24" t="s">
        <v>219</v>
      </c>
      <c r="S557" s="24" t="s">
        <v>219</v>
      </c>
      <c r="T557" s="24" t="s">
        <v>219</v>
      </c>
      <c r="U557" s="24" t="s">
        <v>219</v>
      </c>
      <c r="V557" s="24" t="s">
        <v>219</v>
      </c>
      <c r="W557" s="18" t="s">
        <v>772</v>
      </c>
      <c r="X557" s="44" t="s">
        <v>373</v>
      </c>
      <c r="Y557" s="18" t="s">
        <v>773</v>
      </c>
      <c r="Z557" s="23"/>
      <c r="AA557" s="19"/>
      <c r="AB557" s="22" t="s">
        <v>354</v>
      </c>
      <c r="AC557" s="19"/>
      <c r="AD557" s="19"/>
      <c r="AE557" s="19"/>
      <c r="AF557" s="23">
        <v>0.0</v>
      </c>
      <c r="AG557" s="33" t="s">
        <v>354</v>
      </c>
      <c r="AH557" s="33"/>
      <c r="AI557" s="33" t="s">
        <v>354</v>
      </c>
      <c r="AJ557" s="19"/>
      <c r="AK557" s="19"/>
      <c r="AL557" s="59" t="s">
        <v>357</v>
      </c>
      <c r="AM557" s="103" t="s">
        <v>389</v>
      </c>
      <c r="AN557" s="119" t="s">
        <v>413</v>
      </c>
    </row>
    <row r="558">
      <c r="A558" s="95" t="s">
        <v>768</v>
      </c>
      <c r="B558" s="98" t="s">
        <v>769</v>
      </c>
      <c r="C558" s="19" t="s">
        <v>218</v>
      </c>
      <c r="D558" s="20" t="s">
        <v>547</v>
      </c>
      <c r="E558" s="21" t="s">
        <v>7</v>
      </c>
      <c r="F558" s="19" t="s">
        <v>67</v>
      </c>
      <c r="G558" s="22" t="s">
        <v>354</v>
      </c>
      <c r="H558" s="22" t="s">
        <v>354</v>
      </c>
      <c r="I558" s="22" t="s">
        <v>354</v>
      </c>
      <c r="J558" s="19">
        <v>40.0</v>
      </c>
      <c r="K558" s="23">
        <v>1.0</v>
      </c>
      <c r="L558" s="23">
        <v>0.0</v>
      </c>
      <c r="M558" s="23" t="s">
        <v>354</v>
      </c>
      <c r="N558" s="101" t="s">
        <v>17</v>
      </c>
      <c r="O558" s="101" t="s">
        <v>17</v>
      </c>
      <c r="P558" s="24" t="s">
        <v>220</v>
      </c>
      <c r="Q558" s="24" t="s">
        <v>219</v>
      </c>
      <c r="R558" s="24" t="s">
        <v>219</v>
      </c>
      <c r="S558" s="24" t="s">
        <v>219</v>
      </c>
      <c r="T558" s="24" t="s">
        <v>219</v>
      </c>
      <c r="U558" s="24" t="s">
        <v>219</v>
      </c>
      <c r="V558" s="24" t="s">
        <v>219</v>
      </c>
      <c r="W558" s="18" t="s">
        <v>772</v>
      </c>
      <c r="X558" s="44" t="s">
        <v>373</v>
      </c>
      <c r="Y558" s="18" t="s">
        <v>773</v>
      </c>
      <c r="Z558" s="18" t="s">
        <v>773</v>
      </c>
      <c r="AA558" s="19"/>
      <c r="AB558" s="22" t="s">
        <v>354</v>
      </c>
      <c r="AC558" s="19"/>
      <c r="AD558" s="19"/>
      <c r="AE558" s="19"/>
      <c r="AF558" s="23">
        <v>0.0</v>
      </c>
      <c r="AG558" s="33" t="s">
        <v>354</v>
      </c>
      <c r="AH558" s="33"/>
      <c r="AI558" s="33" t="s">
        <v>354</v>
      </c>
      <c r="AJ558" s="19"/>
      <c r="AK558" s="19"/>
      <c r="AL558" s="19" t="s">
        <v>356</v>
      </c>
      <c r="AM558" s="59" t="s">
        <v>357</v>
      </c>
      <c r="AN558" s="59" t="s">
        <v>357</v>
      </c>
    </row>
    <row r="559">
      <c r="A559" s="95" t="s">
        <v>768</v>
      </c>
      <c r="B559" s="98" t="s">
        <v>769</v>
      </c>
      <c r="C559" s="19" t="s">
        <v>218</v>
      </c>
      <c r="D559" s="20" t="s">
        <v>547</v>
      </c>
      <c r="E559" s="21" t="s">
        <v>7</v>
      </c>
      <c r="F559" s="19" t="s">
        <v>67</v>
      </c>
      <c r="G559" s="22" t="s">
        <v>354</v>
      </c>
      <c r="H559" s="22" t="s">
        <v>354</v>
      </c>
      <c r="I559" s="22" t="s">
        <v>354</v>
      </c>
      <c r="J559" s="19">
        <v>40.0</v>
      </c>
      <c r="K559" s="23">
        <v>1.0</v>
      </c>
      <c r="L559" s="23">
        <v>0.0</v>
      </c>
      <c r="M559" s="23" t="s">
        <v>354</v>
      </c>
      <c r="N559" s="101" t="s">
        <v>17</v>
      </c>
      <c r="O559" s="101" t="s">
        <v>17</v>
      </c>
      <c r="P559" s="24" t="s">
        <v>220</v>
      </c>
      <c r="Q559" s="24" t="s">
        <v>219</v>
      </c>
      <c r="R559" s="24" t="s">
        <v>219</v>
      </c>
      <c r="S559" s="24" t="s">
        <v>219</v>
      </c>
      <c r="T559" s="24" t="s">
        <v>219</v>
      </c>
      <c r="U559" s="24" t="s">
        <v>219</v>
      </c>
      <c r="V559" s="24" t="s">
        <v>219</v>
      </c>
      <c r="W559" s="18" t="s">
        <v>772</v>
      </c>
      <c r="X559" s="44" t="s">
        <v>373</v>
      </c>
      <c r="Y559" s="18" t="s">
        <v>773</v>
      </c>
      <c r="Z559" s="18" t="s">
        <v>773</v>
      </c>
      <c r="AA559" s="18" t="s">
        <v>773</v>
      </c>
      <c r="AB559" s="22" t="s">
        <v>354</v>
      </c>
      <c r="AC559" s="19"/>
      <c r="AD559" s="19"/>
      <c r="AE559" s="19"/>
      <c r="AF559" s="23">
        <v>0.0</v>
      </c>
      <c r="AG559" s="33" t="s">
        <v>354</v>
      </c>
      <c r="AH559" s="33"/>
      <c r="AI559" s="33" t="s">
        <v>354</v>
      </c>
      <c r="AJ559" s="19"/>
      <c r="AK559" s="19"/>
      <c r="AL559" s="19" t="s">
        <v>356</v>
      </c>
      <c r="AM559" s="19" t="s">
        <v>356</v>
      </c>
      <c r="AN559" s="19" t="s">
        <v>356</v>
      </c>
    </row>
    <row r="560">
      <c r="A560" s="85" t="s">
        <v>774</v>
      </c>
      <c r="B560" s="18" t="s">
        <v>775</v>
      </c>
      <c r="C560" s="46" t="s">
        <v>221</v>
      </c>
      <c r="D560" s="47" t="s">
        <v>547</v>
      </c>
      <c r="E560" s="48" t="s">
        <v>7</v>
      </c>
      <c r="F560" s="46" t="s">
        <v>67</v>
      </c>
      <c r="G560" s="49">
        <v>120.0</v>
      </c>
      <c r="H560" s="49">
        <v>275.0</v>
      </c>
      <c r="I560" s="49" t="s">
        <v>776</v>
      </c>
      <c r="J560" s="46">
        <v>70.0</v>
      </c>
      <c r="K560" s="49">
        <v>1.0</v>
      </c>
      <c r="L560" s="57">
        <v>0.0</v>
      </c>
      <c r="M560" s="57" t="s">
        <v>354</v>
      </c>
      <c r="N560" s="101" t="s">
        <v>17</v>
      </c>
      <c r="O560" s="101" t="s">
        <v>17</v>
      </c>
      <c r="P560" s="24" t="s">
        <v>223</v>
      </c>
      <c r="Q560" s="46"/>
      <c r="R560" s="46"/>
      <c r="S560" s="46"/>
      <c r="T560" s="46"/>
      <c r="U560" s="46"/>
      <c r="V560" s="46"/>
      <c r="W560" s="46"/>
      <c r="X560" s="46"/>
      <c r="Y560" s="46"/>
      <c r="Z560" s="46"/>
      <c r="AA560" s="46"/>
      <c r="AB560" s="57" t="s">
        <v>354</v>
      </c>
      <c r="AC560" s="46">
        <v>36464.0</v>
      </c>
      <c r="AD560" s="46"/>
      <c r="AE560" s="46"/>
      <c r="AF560" s="49">
        <v>0.0</v>
      </c>
      <c r="AG560" s="49" t="s">
        <v>356</v>
      </c>
      <c r="AH560" s="46"/>
      <c r="AI560" s="49" t="s">
        <v>356</v>
      </c>
      <c r="AJ560" s="46"/>
      <c r="AK560" s="46"/>
      <c r="AL560" s="53" t="s">
        <v>361</v>
      </c>
      <c r="AM560" s="54" t="s">
        <v>356</v>
      </c>
      <c r="AN560" s="88" t="s">
        <v>358</v>
      </c>
    </row>
    <row r="561">
      <c r="A561" s="85" t="s">
        <v>774</v>
      </c>
      <c r="B561" s="18" t="s">
        <v>775</v>
      </c>
      <c r="C561" s="46" t="s">
        <v>221</v>
      </c>
      <c r="D561" s="47" t="s">
        <v>547</v>
      </c>
      <c r="E561" s="48" t="s">
        <v>7</v>
      </c>
      <c r="F561" s="46" t="s">
        <v>67</v>
      </c>
      <c r="G561" s="57" t="s">
        <v>354</v>
      </c>
      <c r="H561" s="49">
        <v>290.0</v>
      </c>
      <c r="I561" s="57" t="s">
        <v>776</v>
      </c>
      <c r="J561" s="46">
        <v>42.0</v>
      </c>
      <c r="K561" s="49">
        <v>1.0</v>
      </c>
      <c r="L561" s="49">
        <v>0.0</v>
      </c>
      <c r="M561" s="57" t="s">
        <v>354</v>
      </c>
      <c r="N561" s="101" t="s">
        <v>17</v>
      </c>
      <c r="O561" s="101" t="s">
        <v>17</v>
      </c>
      <c r="P561" s="24" t="s">
        <v>223</v>
      </c>
      <c r="Q561" s="24" t="s">
        <v>222</v>
      </c>
      <c r="R561" s="46"/>
      <c r="S561" s="46"/>
      <c r="T561" s="46"/>
      <c r="U561" s="46"/>
      <c r="V561" s="46"/>
      <c r="W561" s="46"/>
      <c r="X561" s="46"/>
      <c r="Y561" s="46"/>
      <c r="Z561" s="46"/>
      <c r="AA561" s="46"/>
      <c r="AB561" s="57" t="s">
        <v>354</v>
      </c>
      <c r="AC561" s="46">
        <v>36632.0</v>
      </c>
      <c r="AD561" s="46"/>
      <c r="AE561" s="46"/>
      <c r="AF561" s="49">
        <v>0.0</v>
      </c>
      <c r="AG561" s="49" t="s">
        <v>356</v>
      </c>
      <c r="AH561" s="46"/>
      <c r="AI561" s="49" t="s">
        <v>356</v>
      </c>
      <c r="AJ561" s="46"/>
      <c r="AK561" s="46"/>
      <c r="AL561" s="80" t="s">
        <v>356</v>
      </c>
      <c r="AM561" s="38" t="s">
        <v>357</v>
      </c>
      <c r="AN561" s="76" t="s">
        <v>356</v>
      </c>
    </row>
    <row r="562">
      <c r="A562" s="85" t="s">
        <v>774</v>
      </c>
      <c r="B562" s="18" t="s">
        <v>775</v>
      </c>
      <c r="C562" s="46" t="s">
        <v>221</v>
      </c>
      <c r="D562" s="47" t="s">
        <v>547</v>
      </c>
      <c r="E562" s="48" t="s">
        <v>7</v>
      </c>
      <c r="F562" s="46" t="s">
        <v>67</v>
      </c>
      <c r="G562" s="57" t="s">
        <v>354</v>
      </c>
      <c r="H562" s="49">
        <v>260.0</v>
      </c>
      <c r="I562" s="57" t="s">
        <v>776</v>
      </c>
      <c r="J562" s="46">
        <v>40.0</v>
      </c>
      <c r="K562" s="49">
        <v>0.0</v>
      </c>
      <c r="L562" s="57">
        <v>0.0</v>
      </c>
      <c r="M562" s="57" t="s">
        <v>354</v>
      </c>
      <c r="N562" s="101" t="s">
        <v>17</v>
      </c>
      <c r="O562" s="101" t="s">
        <v>17</v>
      </c>
      <c r="P562" s="24" t="s">
        <v>223</v>
      </c>
      <c r="Q562" s="24" t="s">
        <v>222</v>
      </c>
      <c r="R562" s="24" t="s">
        <v>222</v>
      </c>
      <c r="S562" s="46"/>
      <c r="T562" s="46"/>
      <c r="U562" s="46"/>
      <c r="V562" s="46"/>
      <c r="W562" s="46"/>
      <c r="X562" s="46"/>
      <c r="Y562" s="46"/>
      <c r="Z562" s="46"/>
      <c r="AA562" s="46"/>
      <c r="AB562" s="49" t="s">
        <v>777</v>
      </c>
      <c r="AC562" s="46"/>
      <c r="AD562" s="46"/>
      <c r="AE562" s="46"/>
      <c r="AF562" s="55">
        <v>32.39</v>
      </c>
      <c r="AG562" s="56" t="s">
        <v>365</v>
      </c>
      <c r="AH562" s="49" t="s">
        <v>433</v>
      </c>
      <c r="AI562" s="35" t="s">
        <v>363</v>
      </c>
      <c r="AJ562" s="46"/>
      <c r="AK562" s="46"/>
      <c r="AL562" s="112" t="s">
        <v>363</v>
      </c>
      <c r="AM562" s="59" t="s">
        <v>357</v>
      </c>
      <c r="AN562" s="37" t="s">
        <v>363</v>
      </c>
    </row>
    <row r="563">
      <c r="A563" s="85" t="s">
        <v>774</v>
      </c>
      <c r="B563" s="18" t="s">
        <v>775</v>
      </c>
      <c r="C563" s="46" t="s">
        <v>221</v>
      </c>
      <c r="D563" s="47" t="s">
        <v>547</v>
      </c>
      <c r="E563" s="48" t="s">
        <v>7</v>
      </c>
      <c r="F563" s="46" t="s">
        <v>67</v>
      </c>
      <c r="G563" s="57" t="s">
        <v>354</v>
      </c>
      <c r="H563" s="49">
        <v>240.0</v>
      </c>
      <c r="I563" s="57" t="s">
        <v>776</v>
      </c>
      <c r="J563" s="46">
        <v>38.0</v>
      </c>
      <c r="K563" s="49">
        <v>0.0</v>
      </c>
      <c r="L563" s="57">
        <v>0.0</v>
      </c>
      <c r="M563" s="57" t="s">
        <v>354</v>
      </c>
      <c r="N563" s="101" t="s">
        <v>17</v>
      </c>
      <c r="O563" s="101" t="s">
        <v>17</v>
      </c>
      <c r="P563" s="24" t="s">
        <v>223</v>
      </c>
      <c r="Q563" s="24" t="s">
        <v>222</v>
      </c>
      <c r="R563" s="24" t="s">
        <v>222</v>
      </c>
      <c r="S563" s="24" t="s">
        <v>222</v>
      </c>
      <c r="T563" s="46"/>
      <c r="U563" s="46"/>
      <c r="V563" s="46"/>
      <c r="W563" s="46"/>
      <c r="X563" s="46"/>
      <c r="Y563" s="46"/>
      <c r="Z563" s="46"/>
      <c r="AA563" s="46"/>
      <c r="AB563" s="49" t="s">
        <v>757</v>
      </c>
      <c r="AC563" s="46"/>
      <c r="AD563" s="46"/>
      <c r="AE563" s="46"/>
      <c r="AF563" s="49">
        <v>0.0</v>
      </c>
      <c r="AG563" s="49" t="s">
        <v>354</v>
      </c>
      <c r="AH563" s="46"/>
      <c r="AI563" s="49" t="s">
        <v>354</v>
      </c>
      <c r="AJ563" s="46"/>
      <c r="AK563" s="46"/>
      <c r="AL563" s="80" t="s">
        <v>356</v>
      </c>
      <c r="AM563" s="64" t="s">
        <v>363</v>
      </c>
      <c r="AN563" s="79" t="s">
        <v>361</v>
      </c>
    </row>
    <row r="564">
      <c r="A564" s="85" t="s">
        <v>774</v>
      </c>
      <c r="B564" s="18" t="s">
        <v>775</v>
      </c>
      <c r="C564" s="46" t="s">
        <v>221</v>
      </c>
      <c r="D564" s="47" t="s">
        <v>547</v>
      </c>
      <c r="E564" s="48" t="s">
        <v>7</v>
      </c>
      <c r="F564" s="46" t="s">
        <v>67</v>
      </c>
      <c r="G564" s="57" t="s">
        <v>354</v>
      </c>
      <c r="H564" s="49">
        <v>250.0</v>
      </c>
      <c r="I564" s="57" t="s">
        <v>776</v>
      </c>
      <c r="J564" s="46">
        <v>43.0</v>
      </c>
      <c r="K564" s="49">
        <v>0.0</v>
      </c>
      <c r="L564" s="57">
        <v>0.0</v>
      </c>
      <c r="M564" s="57" t="s">
        <v>354</v>
      </c>
      <c r="N564" s="101" t="s">
        <v>17</v>
      </c>
      <c r="O564" s="101" t="s">
        <v>17</v>
      </c>
      <c r="P564" s="24" t="s">
        <v>223</v>
      </c>
      <c r="Q564" s="24" t="s">
        <v>222</v>
      </c>
      <c r="R564" s="24" t="s">
        <v>222</v>
      </c>
      <c r="S564" s="24" t="s">
        <v>222</v>
      </c>
      <c r="T564" s="24" t="s">
        <v>222</v>
      </c>
      <c r="U564" s="46"/>
      <c r="V564" s="46"/>
      <c r="W564" s="46"/>
      <c r="X564" s="46"/>
      <c r="Y564" s="46"/>
      <c r="Z564" s="46"/>
      <c r="AA564" s="46"/>
      <c r="AB564" s="57" t="s">
        <v>354</v>
      </c>
      <c r="AC564" s="46"/>
      <c r="AD564" s="46"/>
      <c r="AE564" s="46"/>
      <c r="AF564" s="49">
        <v>0.0</v>
      </c>
      <c r="AG564" s="49" t="s">
        <v>354</v>
      </c>
      <c r="AH564" s="46"/>
      <c r="AI564" s="49" t="s">
        <v>354</v>
      </c>
      <c r="AJ564" s="46"/>
      <c r="AK564" s="46"/>
      <c r="AL564" s="40" t="s">
        <v>357</v>
      </c>
      <c r="AM564" s="40" t="s">
        <v>357</v>
      </c>
      <c r="AN564" s="40" t="s">
        <v>357</v>
      </c>
    </row>
    <row r="565">
      <c r="A565" s="85" t="s">
        <v>774</v>
      </c>
      <c r="B565" s="18" t="s">
        <v>775</v>
      </c>
      <c r="C565" s="46" t="s">
        <v>221</v>
      </c>
      <c r="D565" s="47" t="s">
        <v>547</v>
      </c>
      <c r="E565" s="48" t="s">
        <v>7</v>
      </c>
      <c r="F565" s="46" t="s">
        <v>67</v>
      </c>
      <c r="G565" s="57" t="s">
        <v>354</v>
      </c>
      <c r="H565" s="49">
        <v>265.0</v>
      </c>
      <c r="I565" s="57" t="s">
        <v>776</v>
      </c>
      <c r="J565" s="46">
        <v>41.0</v>
      </c>
      <c r="K565" s="49">
        <v>0.0</v>
      </c>
      <c r="L565" s="57">
        <v>0.0</v>
      </c>
      <c r="M565" s="57" t="s">
        <v>354</v>
      </c>
      <c r="N565" s="101" t="s">
        <v>17</v>
      </c>
      <c r="O565" s="101" t="s">
        <v>17</v>
      </c>
      <c r="P565" s="24" t="s">
        <v>223</v>
      </c>
      <c r="Q565" s="24" t="s">
        <v>222</v>
      </c>
      <c r="R565" s="24" t="s">
        <v>222</v>
      </c>
      <c r="S565" s="24" t="s">
        <v>222</v>
      </c>
      <c r="T565" s="24" t="s">
        <v>222</v>
      </c>
      <c r="U565" s="24" t="s">
        <v>222</v>
      </c>
      <c r="V565" s="46"/>
      <c r="W565" s="49"/>
      <c r="X565" s="49"/>
      <c r="Y565" s="49"/>
      <c r="Z565" s="49"/>
      <c r="AA565" s="46"/>
      <c r="AB565" s="49" t="s">
        <v>662</v>
      </c>
      <c r="AC565" s="46"/>
      <c r="AD565" s="46"/>
      <c r="AE565" s="46"/>
      <c r="AF565" s="49">
        <v>0.0</v>
      </c>
      <c r="AG565" s="49" t="s">
        <v>354</v>
      </c>
      <c r="AH565" s="46"/>
      <c r="AI565" s="49" t="s">
        <v>354</v>
      </c>
      <c r="AJ565" s="46"/>
      <c r="AK565" s="46"/>
      <c r="AL565" s="40" t="s">
        <v>357</v>
      </c>
      <c r="AM565" s="80" t="s">
        <v>356</v>
      </c>
      <c r="AN565" s="80" t="s">
        <v>356</v>
      </c>
    </row>
    <row r="566">
      <c r="A566" s="85" t="s">
        <v>774</v>
      </c>
      <c r="B566" s="18" t="s">
        <v>775</v>
      </c>
      <c r="C566" s="46" t="s">
        <v>221</v>
      </c>
      <c r="D566" s="47" t="s">
        <v>547</v>
      </c>
      <c r="E566" s="48" t="s">
        <v>7</v>
      </c>
      <c r="F566" s="46" t="s">
        <v>67</v>
      </c>
      <c r="G566" s="57" t="s">
        <v>354</v>
      </c>
      <c r="H566" s="49">
        <v>290.0</v>
      </c>
      <c r="I566" s="57" t="s">
        <v>776</v>
      </c>
      <c r="J566" s="46">
        <v>41.0</v>
      </c>
      <c r="K566" s="49">
        <v>1.0</v>
      </c>
      <c r="L566" s="57">
        <v>0.0</v>
      </c>
      <c r="M566" s="57" t="s">
        <v>354</v>
      </c>
      <c r="N566" s="101" t="s">
        <v>17</v>
      </c>
      <c r="O566" s="101" t="s">
        <v>17</v>
      </c>
      <c r="P566" s="24" t="s">
        <v>223</v>
      </c>
      <c r="Q566" s="24" t="s">
        <v>222</v>
      </c>
      <c r="R566" s="24" t="s">
        <v>222</v>
      </c>
      <c r="S566" s="24" t="s">
        <v>222</v>
      </c>
      <c r="T566" s="24" t="s">
        <v>222</v>
      </c>
      <c r="U566" s="24" t="s">
        <v>222</v>
      </c>
      <c r="V566" s="24" t="s">
        <v>222</v>
      </c>
      <c r="W566" s="44" t="s">
        <v>373</v>
      </c>
      <c r="X566" s="49"/>
      <c r="Y566" s="49"/>
      <c r="Z566" s="49"/>
      <c r="AA566" s="46"/>
      <c r="AB566" s="57" t="s">
        <v>354</v>
      </c>
      <c r="AC566" s="46"/>
      <c r="AD566" s="46"/>
      <c r="AE566" s="46"/>
      <c r="AF566" s="49">
        <v>0.0</v>
      </c>
      <c r="AG566" s="49" t="s">
        <v>354</v>
      </c>
      <c r="AH566" s="46"/>
      <c r="AI566" s="49" t="s">
        <v>354</v>
      </c>
      <c r="AJ566" s="46"/>
      <c r="AK566" s="46"/>
      <c r="AL566" s="80" t="s">
        <v>356</v>
      </c>
      <c r="AM566" s="80" t="s">
        <v>356</v>
      </c>
      <c r="AN566" s="80" t="s">
        <v>356</v>
      </c>
    </row>
    <row r="567">
      <c r="A567" s="85" t="s">
        <v>774</v>
      </c>
      <c r="B567" s="18" t="s">
        <v>775</v>
      </c>
      <c r="C567" s="46" t="s">
        <v>221</v>
      </c>
      <c r="D567" s="47" t="s">
        <v>547</v>
      </c>
      <c r="E567" s="48" t="s">
        <v>7</v>
      </c>
      <c r="F567" s="46" t="s">
        <v>67</v>
      </c>
      <c r="G567" s="57" t="s">
        <v>354</v>
      </c>
      <c r="H567" s="57" t="s">
        <v>354</v>
      </c>
      <c r="I567" s="57" t="s">
        <v>776</v>
      </c>
      <c r="J567" s="46">
        <v>41.0</v>
      </c>
      <c r="K567" s="49">
        <v>1.0</v>
      </c>
      <c r="L567" s="78">
        <v>1.0</v>
      </c>
      <c r="M567" s="78" t="s">
        <v>778</v>
      </c>
      <c r="N567" s="101" t="s">
        <v>17</v>
      </c>
      <c r="O567" s="101" t="s">
        <v>17</v>
      </c>
      <c r="P567" s="24" t="s">
        <v>223</v>
      </c>
      <c r="Q567" s="24" t="s">
        <v>222</v>
      </c>
      <c r="R567" s="24" t="s">
        <v>222</v>
      </c>
      <c r="S567" s="24" t="s">
        <v>222</v>
      </c>
      <c r="T567" s="24" t="s">
        <v>222</v>
      </c>
      <c r="U567" s="24" t="s">
        <v>222</v>
      </c>
      <c r="V567" s="24" t="s">
        <v>222</v>
      </c>
      <c r="W567" s="44" t="s">
        <v>373</v>
      </c>
      <c r="X567" s="18">
        <v>3660.0</v>
      </c>
      <c r="Y567" s="49"/>
      <c r="Z567" s="49"/>
      <c r="AA567" s="46"/>
      <c r="AB567" s="158" t="s">
        <v>455</v>
      </c>
      <c r="AC567" s="46"/>
      <c r="AD567" s="46"/>
      <c r="AE567" s="46"/>
      <c r="AF567" s="49">
        <v>0.0</v>
      </c>
      <c r="AG567" s="49" t="s">
        <v>354</v>
      </c>
      <c r="AH567" s="46"/>
      <c r="AI567" s="49" t="s">
        <v>354</v>
      </c>
      <c r="AJ567" s="46"/>
      <c r="AK567" s="46"/>
      <c r="AL567" s="80" t="s">
        <v>356</v>
      </c>
      <c r="AM567" s="80" t="s">
        <v>356</v>
      </c>
      <c r="AN567" s="80" t="s">
        <v>356</v>
      </c>
    </row>
    <row r="568">
      <c r="A568" s="85" t="s">
        <v>774</v>
      </c>
      <c r="B568" s="18" t="s">
        <v>775</v>
      </c>
      <c r="C568" s="46" t="s">
        <v>221</v>
      </c>
      <c r="D568" s="47" t="s">
        <v>547</v>
      </c>
      <c r="E568" s="48" t="s">
        <v>7</v>
      </c>
      <c r="F568" s="46" t="s">
        <v>67</v>
      </c>
      <c r="G568" s="57" t="s">
        <v>354</v>
      </c>
      <c r="H568" s="57" t="s">
        <v>354</v>
      </c>
      <c r="I568" s="57" t="s">
        <v>776</v>
      </c>
      <c r="J568" s="46">
        <v>41.0</v>
      </c>
      <c r="K568" s="49">
        <v>0.0</v>
      </c>
      <c r="L568" s="78">
        <v>1.0</v>
      </c>
      <c r="M568" s="78" t="s">
        <v>778</v>
      </c>
      <c r="N568" s="101" t="s">
        <v>17</v>
      </c>
      <c r="O568" s="101" t="s">
        <v>17</v>
      </c>
      <c r="P568" s="24" t="s">
        <v>223</v>
      </c>
      <c r="Q568" s="24" t="s">
        <v>222</v>
      </c>
      <c r="R568" s="24" t="s">
        <v>222</v>
      </c>
      <c r="S568" s="24" t="s">
        <v>222</v>
      </c>
      <c r="T568" s="24" t="s">
        <v>222</v>
      </c>
      <c r="U568" s="24" t="s">
        <v>222</v>
      </c>
      <c r="V568" s="24" t="s">
        <v>222</v>
      </c>
      <c r="W568" s="44" t="s">
        <v>373</v>
      </c>
      <c r="X568" s="18">
        <v>3660.0</v>
      </c>
      <c r="Y568" s="18" t="s">
        <v>779</v>
      </c>
      <c r="Z568" s="49"/>
      <c r="AA568" s="46"/>
      <c r="AB568" s="158" t="s">
        <v>455</v>
      </c>
      <c r="AC568" s="46"/>
      <c r="AD568" s="46"/>
      <c r="AE568" s="46"/>
      <c r="AF568" s="49">
        <v>0.0</v>
      </c>
      <c r="AG568" s="49" t="s">
        <v>354</v>
      </c>
      <c r="AH568" s="46"/>
      <c r="AI568" s="49" t="s">
        <v>354</v>
      </c>
      <c r="AJ568" s="54"/>
      <c r="AK568" s="54"/>
      <c r="AL568" s="49" t="s">
        <v>356</v>
      </c>
      <c r="AM568" s="49" t="s">
        <v>356</v>
      </c>
      <c r="AN568" s="49" t="s">
        <v>356</v>
      </c>
    </row>
    <row r="569">
      <c r="A569" s="85" t="s">
        <v>774</v>
      </c>
      <c r="B569" s="18" t="s">
        <v>775</v>
      </c>
      <c r="C569" s="46" t="s">
        <v>221</v>
      </c>
      <c r="D569" s="47" t="s">
        <v>547</v>
      </c>
      <c r="E569" s="48" t="s">
        <v>7</v>
      </c>
      <c r="F569" s="46" t="s">
        <v>67</v>
      </c>
      <c r="G569" s="57" t="s">
        <v>354</v>
      </c>
      <c r="H569" s="57" t="s">
        <v>354</v>
      </c>
      <c r="I569" s="57" t="s">
        <v>776</v>
      </c>
      <c r="J569" s="46">
        <v>41.0</v>
      </c>
      <c r="K569" s="49">
        <v>0.0</v>
      </c>
      <c r="L569" s="78">
        <v>1.0</v>
      </c>
      <c r="M569" s="78" t="s">
        <v>778</v>
      </c>
      <c r="N569" s="101" t="s">
        <v>17</v>
      </c>
      <c r="O569" s="101" t="s">
        <v>17</v>
      </c>
      <c r="P569" s="24" t="s">
        <v>223</v>
      </c>
      <c r="Q569" s="24" t="s">
        <v>222</v>
      </c>
      <c r="R569" s="24" t="s">
        <v>222</v>
      </c>
      <c r="S569" s="24" t="s">
        <v>222</v>
      </c>
      <c r="T569" s="24" t="s">
        <v>222</v>
      </c>
      <c r="U569" s="24" t="s">
        <v>222</v>
      </c>
      <c r="V569" s="24" t="s">
        <v>222</v>
      </c>
      <c r="W569" s="44" t="s">
        <v>373</v>
      </c>
      <c r="X569" s="18">
        <v>3660.0</v>
      </c>
      <c r="Y569" s="18" t="s">
        <v>779</v>
      </c>
      <c r="Z569" s="18" t="s">
        <v>780</v>
      </c>
      <c r="AA569" s="46"/>
      <c r="AB569" s="158" t="s">
        <v>455</v>
      </c>
      <c r="AC569" s="46"/>
      <c r="AD569" s="46"/>
      <c r="AE569" s="46"/>
      <c r="AF569" s="49">
        <v>0.0</v>
      </c>
      <c r="AG569" s="49" t="s">
        <v>356</v>
      </c>
      <c r="AH569" s="46"/>
      <c r="AI569" s="49" t="s">
        <v>356</v>
      </c>
      <c r="AJ569" s="49" t="s">
        <v>356</v>
      </c>
      <c r="AK569" s="49" t="s">
        <v>356</v>
      </c>
      <c r="AL569" s="49" t="s">
        <v>356</v>
      </c>
      <c r="AM569" s="49" t="s">
        <v>356</v>
      </c>
      <c r="AN569" s="49" t="s">
        <v>356</v>
      </c>
    </row>
    <row r="570">
      <c r="A570" s="85" t="s">
        <v>774</v>
      </c>
      <c r="B570" s="18" t="s">
        <v>775</v>
      </c>
      <c r="C570" s="46" t="s">
        <v>221</v>
      </c>
      <c r="D570" s="47" t="s">
        <v>547</v>
      </c>
      <c r="E570" s="48" t="s">
        <v>7</v>
      </c>
      <c r="F570" s="46" t="s">
        <v>67</v>
      </c>
      <c r="G570" s="57" t="s">
        <v>354</v>
      </c>
      <c r="H570" s="57" t="s">
        <v>354</v>
      </c>
      <c r="I570" s="57" t="s">
        <v>776</v>
      </c>
      <c r="J570" s="46">
        <v>41.0</v>
      </c>
      <c r="K570" s="49">
        <v>0.0</v>
      </c>
      <c r="L570" s="78">
        <v>1.0</v>
      </c>
      <c r="M570" s="78" t="s">
        <v>778</v>
      </c>
      <c r="N570" s="101" t="s">
        <v>17</v>
      </c>
      <c r="O570" s="101" t="s">
        <v>17</v>
      </c>
      <c r="P570" s="24" t="s">
        <v>223</v>
      </c>
      <c r="Q570" s="24" t="s">
        <v>222</v>
      </c>
      <c r="R570" s="24" t="s">
        <v>222</v>
      </c>
      <c r="S570" s="24" t="s">
        <v>222</v>
      </c>
      <c r="T570" s="24" t="s">
        <v>222</v>
      </c>
      <c r="U570" s="24" t="s">
        <v>222</v>
      </c>
      <c r="V570" s="24" t="s">
        <v>222</v>
      </c>
      <c r="W570" s="44" t="s">
        <v>373</v>
      </c>
      <c r="X570" s="18">
        <v>3660.0</v>
      </c>
      <c r="Y570" s="18" t="s">
        <v>779</v>
      </c>
      <c r="Z570" s="18" t="s">
        <v>780</v>
      </c>
      <c r="AA570" s="130" t="s">
        <v>781</v>
      </c>
      <c r="AB570" s="158" t="s">
        <v>455</v>
      </c>
      <c r="AC570" s="46"/>
      <c r="AD570" s="46"/>
      <c r="AE570" s="46"/>
      <c r="AF570" s="49">
        <v>0.0</v>
      </c>
      <c r="AG570" s="49" t="s">
        <v>354</v>
      </c>
      <c r="AH570" s="46"/>
      <c r="AI570" s="49" t="s">
        <v>354</v>
      </c>
      <c r="AJ570" s="49"/>
      <c r="AK570" s="49"/>
      <c r="AL570" s="49" t="s">
        <v>356</v>
      </c>
      <c r="AM570" s="104" t="s">
        <v>389</v>
      </c>
      <c r="AN570" s="75" t="s">
        <v>357</v>
      </c>
    </row>
    <row r="571">
      <c r="A571" s="121" t="s">
        <v>782</v>
      </c>
      <c r="B571" s="191" t="s">
        <v>783</v>
      </c>
      <c r="C571" s="122" t="s">
        <v>319</v>
      </c>
      <c r="D571" s="123" t="s">
        <v>490</v>
      </c>
      <c r="E571" s="124" t="s">
        <v>491</v>
      </c>
      <c r="F571" s="122" t="s">
        <v>67</v>
      </c>
      <c r="G571" s="125" t="s">
        <v>354</v>
      </c>
      <c r="H571" s="125" t="s">
        <v>354</v>
      </c>
      <c r="I571" s="125" t="s">
        <v>776</v>
      </c>
      <c r="J571" s="122">
        <v>69.0</v>
      </c>
      <c r="K571" s="125">
        <v>0.0</v>
      </c>
      <c r="L571" s="125">
        <v>0.0</v>
      </c>
      <c r="M571" s="125" t="s">
        <v>354</v>
      </c>
      <c r="N571" s="101" t="s">
        <v>17</v>
      </c>
      <c r="O571" s="101" t="s">
        <v>17</v>
      </c>
      <c r="P571" s="101" t="s">
        <v>17</v>
      </c>
      <c r="Q571" s="101" t="s">
        <v>17</v>
      </c>
      <c r="R571" s="24" t="s">
        <v>320</v>
      </c>
      <c r="S571" s="44" t="s">
        <v>373</v>
      </c>
      <c r="T571" s="122"/>
      <c r="U571" s="122"/>
      <c r="V571" s="122"/>
      <c r="W571" s="122"/>
      <c r="X571" s="122"/>
      <c r="Y571" s="122"/>
      <c r="Z571" s="122"/>
      <c r="AA571" s="122"/>
      <c r="AB571" s="147" t="s">
        <v>354</v>
      </c>
      <c r="AC571" s="122"/>
      <c r="AD571" s="122"/>
      <c r="AE571" s="122"/>
      <c r="AF571" s="125">
        <v>0.0</v>
      </c>
      <c r="AG571" s="125" t="s">
        <v>356</v>
      </c>
      <c r="AH571" s="122"/>
      <c r="AI571" s="125" t="s">
        <v>356</v>
      </c>
      <c r="AJ571" s="122"/>
      <c r="AK571" s="122"/>
      <c r="AL571" s="125" t="s">
        <v>356</v>
      </c>
      <c r="AM571" s="125" t="s">
        <v>356</v>
      </c>
      <c r="AN571" s="125" t="s">
        <v>356</v>
      </c>
    </row>
    <row r="572">
      <c r="A572" s="121" t="s">
        <v>782</v>
      </c>
      <c r="B572" s="191" t="s">
        <v>783</v>
      </c>
      <c r="C572" s="122" t="s">
        <v>319</v>
      </c>
      <c r="D572" s="123" t="s">
        <v>490</v>
      </c>
      <c r="E572" s="124" t="s">
        <v>62</v>
      </c>
      <c r="F572" s="122" t="s">
        <v>67</v>
      </c>
      <c r="G572" s="125">
        <v>98.0</v>
      </c>
      <c r="H572" s="125">
        <v>150.0</v>
      </c>
      <c r="I572" s="125" t="s">
        <v>776</v>
      </c>
      <c r="J572" s="122">
        <v>66.0</v>
      </c>
      <c r="K572" s="125">
        <v>0.0</v>
      </c>
      <c r="L572" s="125">
        <v>0.0</v>
      </c>
      <c r="M572" s="125" t="s">
        <v>354</v>
      </c>
      <c r="N572" s="101" t="s">
        <v>17</v>
      </c>
      <c r="O572" s="101" t="s">
        <v>17</v>
      </c>
      <c r="P572" s="101" t="s">
        <v>17</v>
      </c>
      <c r="Q572" s="101" t="s">
        <v>17</v>
      </c>
      <c r="R572" s="24" t="s">
        <v>320</v>
      </c>
      <c r="S572" s="44" t="s">
        <v>373</v>
      </c>
      <c r="T572" s="24" t="s">
        <v>321</v>
      </c>
      <c r="U572" s="122"/>
      <c r="V572" s="122"/>
      <c r="W572" s="122"/>
      <c r="X572" s="122"/>
      <c r="Y572" s="122"/>
      <c r="Z572" s="122"/>
      <c r="AA572" s="122"/>
      <c r="AB572" s="125" t="s">
        <v>590</v>
      </c>
      <c r="AC572" s="122"/>
      <c r="AD572" s="122"/>
      <c r="AE572" s="122"/>
      <c r="AF572" s="125">
        <v>0.0</v>
      </c>
      <c r="AG572" s="125" t="s">
        <v>354</v>
      </c>
      <c r="AH572" s="122"/>
      <c r="AI572" s="125" t="s">
        <v>354</v>
      </c>
      <c r="AJ572" s="122"/>
      <c r="AK572" s="122"/>
      <c r="AL572" s="87" t="s">
        <v>413</v>
      </c>
      <c r="AM572" s="197" t="s">
        <v>361</v>
      </c>
      <c r="AN572" s="122" t="s">
        <v>356</v>
      </c>
    </row>
    <row r="573">
      <c r="A573" s="121" t="s">
        <v>782</v>
      </c>
      <c r="B573" s="191" t="s">
        <v>783</v>
      </c>
      <c r="C573" s="183"/>
      <c r="D573" s="123" t="s">
        <v>490</v>
      </c>
      <c r="E573" s="124" t="s">
        <v>62</v>
      </c>
      <c r="F573" s="122" t="s">
        <v>67</v>
      </c>
      <c r="G573" s="147" t="s">
        <v>354</v>
      </c>
      <c r="H573" s="125">
        <v>165.0</v>
      </c>
      <c r="I573" s="125" t="s">
        <v>776</v>
      </c>
      <c r="J573" s="122"/>
      <c r="K573" s="147">
        <v>0.0</v>
      </c>
      <c r="L573" s="147">
        <v>0.0</v>
      </c>
      <c r="M573" s="147" t="s">
        <v>354</v>
      </c>
      <c r="N573" s="101" t="s">
        <v>17</v>
      </c>
      <c r="O573" s="101" t="s">
        <v>17</v>
      </c>
      <c r="P573" s="101" t="s">
        <v>17</v>
      </c>
      <c r="Q573" s="101" t="s">
        <v>17</v>
      </c>
      <c r="R573" s="24" t="s">
        <v>320</v>
      </c>
      <c r="S573" s="44" t="s">
        <v>373</v>
      </c>
      <c r="T573" s="24" t="s">
        <v>321</v>
      </c>
      <c r="U573" s="18" t="s">
        <v>784</v>
      </c>
      <c r="V573" s="122"/>
      <c r="W573" s="122"/>
      <c r="X573" s="122"/>
      <c r="Y573" s="122"/>
      <c r="Z573" s="122"/>
      <c r="AA573" s="122"/>
      <c r="AB573" s="125" t="s">
        <v>592</v>
      </c>
      <c r="AC573" s="183"/>
      <c r="AD573" s="183"/>
      <c r="AE573" s="183"/>
      <c r="AF573" s="125">
        <v>0.0</v>
      </c>
      <c r="AG573" s="125" t="s">
        <v>354</v>
      </c>
      <c r="AH573" s="122"/>
      <c r="AI573" s="125" t="s">
        <v>354</v>
      </c>
      <c r="AJ573" s="122"/>
      <c r="AK573" s="122"/>
      <c r="AL573" s="125" t="s">
        <v>356</v>
      </c>
      <c r="AM573" s="125" t="s">
        <v>356</v>
      </c>
      <c r="AN573" s="125" t="s">
        <v>356</v>
      </c>
    </row>
    <row r="574">
      <c r="A574" s="121" t="s">
        <v>782</v>
      </c>
      <c r="B574" s="191" t="s">
        <v>783</v>
      </c>
      <c r="C574" s="136"/>
      <c r="D574" s="123" t="s">
        <v>490</v>
      </c>
      <c r="E574" s="124" t="s">
        <v>37</v>
      </c>
      <c r="F574" s="125" t="s">
        <v>67</v>
      </c>
      <c r="G574" s="125">
        <v>108.0</v>
      </c>
      <c r="H574" s="125">
        <v>180.0</v>
      </c>
      <c r="I574" s="125" t="s">
        <v>776</v>
      </c>
      <c r="J574" s="122"/>
      <c r="K574" s="147">
        <v>0.0</v>
      </c>
      <c r="L574" s="147">
        <v>0.0</v>
      </c>
      <c r="M574" s="147" t="s">
        <v>354</v>
      </c>
      <c r="N574" s="101" t="s">
        <v>17</v>
      </c>
      <c r="O574" s="101" t="s">
        <v>17</v>
      </c>
      <c r="P574" s="101" t="s">
        <v>17</v>
      </c>
      <c r="Q574" s="101" t="s">
        <v>17</v>
      </c>
      <c r="R574" s="24" t="s">
        <v>320</v>
      </c>
      <c r="S574" s="44" t="s">
        <v>373</v>
      </c>
      <c r="T574" s="24" t="s">
        <v>321</v>
      </c>
      <c r="U574" s="18" t="s">
        <v>784</v>
      </c>
      <c r="V574" s="18">
        <v>4.0</v>
      </c>
      <c r="W574" s="44" t="s">
        <v>373</v>
      </c>
      <c r="X574" s="122"/>
      <c r="Y574" s="122"/>
      <c r="Z574" s="122"/>
      <c r="AA574" s="122"/>
      <c r="AB574" s="147" t="s">
        <v>354</v>
      </c>
      <c r="AC574" s="183"/>
      <c r="AD574" s="183"/>
      <c r="AE574" s="183"/>
      <c r="AF574" s="125">
        <v>0.0</v>
      </c>
      <c r="AG574" s="125" t="s">
        <v>354</v>
      </c>
      <c r="AH574" s="122"/>
      <c r="AI574" s="125" t="s">
        <v>354</v>
      </c>
      <c r="AJ574" s="122"/>
      <c r="AK574" s="122"/>
      <c r="AL574" s="125" t="s">
        <v>356</v>
      </c>
      <c r="AM574" s="40" t="s">
        <v>357</v>
      </c>
      <c r="AN574" s="125" t="s">
        <v>356</v>
      </c>
    </row>
    <row r="575">
      <c r="A575" s="121" t="s">
        <v>782</v>
      </c>
      <c r="B575" s="191" t="s">
        <v>783</v>
      </c>
      <c r="C575" s="122" t="s">
        <v>319</v>
      </c>
      <c r="D575" s="123" t="s">
        <v>490</v>
      </c>
      <c r="E575" s="124" t="s">
        <v>37</v>
      </c>
      <c r="F575" s="122" t="s">
        <v>67</v>
      </c>
      <c r="G575" s="147" t="s">
        <v>354</v>
      </c>
      <c r="H575" s="147" t="s">
        <v>354</v>
      </c>
      <c r="I575" s="125" t="s">
        <v>776</v>
      </c>
      <c r="J575" s="122"/>
      <c r="K575" s="147">
        <v>0.0</v>
      </c>
      <c r="L575" s="78">
        <v>0.0</v>
      </c>
      <c r="M575" s="78" t="s">
        <v>785</v>
      </c>
      <c r="N575" s="101" t="s">
        <v>17</v>
      </c>
      <c r="O575" s="101" t="s">
        <v>17</v>
      </c>
      <c r="P575" s="101" t="s">
        <v>17</v>
      </c>
      <c r="Q575" s="101" t="s">
        <v>17</v>
      </c>
      <c r="R575" s="24" t="s">
        <v>320</v>
      </c>
      <c r="S575" s="44" t="s">
        <v>373</v>
      </c>
      <c r="T575" s="24" t="s">
        <v>321</v>
      </c>
      <c r="U575" s="18" t="s">
        <v>784</v>
      </c>
      <c r="V575" s="18">
        <v>4.0</v>
      </c>
      <c r="W575" s="44" t="s">
        <v>373</v>
      </c>
      <c r="X575" s="130" t="s">
        <v>786</v>
      </c>
      <c r="Y575" s="122"/>
      <c r="Z575" s="147"/>
      <c r="AA575" s="122"/>
      <c r="AB575" s="158" t="s">
        <v>556</v>
      </c>
      <c r="AC575" s="122"/>
      <c r="AD575" s="122"/>
      <c r="AE575" s="122"/>
      <c r="AF575" s="125">
        <v>0.0</v>
      </c>
      <c r="AG575" s="125" t="s">
        <v>354</v>
      </c>
      <c r="AH575" s="122"/>
      <c r="AI575" s="125" t="s">
        <v>354</v>
      </c>
      <c r="AJ575" s="122"/>
      <c r="AK575" s="122"/>
      <c r="AL575" s="109" t="s">
        <v>420</v>
      </c>
      <c r="AM575" s="126" t="s">
        <v>361</v>
      </c>
      <c r="AN575" s="109" t="s">
        <v>420</v>
      </c>
    </row>
    <row r="576">
      <c r="A576" s="121" t="s">
        <v>782</v>
      </c>
      <c r="B576" s="191" t="s">
        <v>783</v>
      </c>
      <c r="C576" s="122" t="s">
        <v>319</v>
      </c>
      <c r="D576" s="123" t="s">
        <v>490</v>
      </c>
      <c r="E576" s="124" t="s">
        <v>37</v>
      </c>
      <c r="F576" s="122" t="s">
        <v>67</v>
      </c>
      <c r="G576" s="147" t="s">
        <v>354</v>
      </c>
      <c r="H576" s="147" t="s">
        <v>354</v>
      </c>
      <c r="I576" s="125" t="s">
        <v>776</v>
      </c>
      <c r="J576" s="122"/>
      <c r="K576" s="147">
        <v>0.0</v>
      </c>
      <c r="L576" s="78">
        <v>0.0</v>
      </c>
      <c r="M576" s="78" t="s">
        <v>785</v>
      </c>
      <c r="N576" s="101" t="s">
        <v>17</v>
      </c>
      <c r="O576" s="101" t="s">
        <v>17</v>
      </c>
      <c r="P576" s="101" t="s">
        <v>17</v>
      </c>
      <c r="Q576" s="101" t="s">
        <v>17</v>
      </c>
      <c r="R576" s="24" t="s">
        <v>320</v>
      </c>
      <c r="S576" s="44" t="s">
        <v>373</v>
      </c>
      <c r="T576" s="24" t="s">
        <v>321</v>
      </c>
      <c r="U576" s="18" t="s">
        <v>784</v>
      </c>
      <c r="V576" s="18">
        <v>4.0</v>
      </c>
      <c r="W576" s="44" t="s">
        <v>373</v>
      </c>
      <c r="X576" s="130" t="s">
        <v>786</v>
      </c>
      <c r="Y576" s="18" t="s">
        <v>787</v>
      </c>
      <c r="Z576" s="147"/>
      <c r="AA576" s="122"/>
      <c r="AB576" s="158" t="s">
        <v>556</v>
      </c>
      <c r="AC576" s="122"/>
      <c r="AD576" s="122"/>
      <c r="AE576" s="122"/>
      <c r="AF576" s="125">
        <v>0.0</v>
      </c>
      <c r="AG576" s="125" t="s">
        <v>354</v>
      </c>
      <c r="AH576" s="122"/>
      <c r="AI576" s="125" t="s">
        <v>354</v>
      </c>
      <c r="AJ576" s="122"/>
      <c r="AK576" s="122"/>
      <c r="AL576" s="198" t="s">
        <v>356</v>
      </c>
      <c r="AM576" s="127" t="s">
        <v>356</v>
      </c>
      <c r="AN576" s="159" t="s">
        <v>420</v>
      </c>
    </row>
    <row r="577">
      <c r="A577" s="121" t="s">
        <v>782</v>
      </c>
      <c r="B577" s="191" t="s">
        <v>783</v>
      </c>
      <c r="C577" s="122" t="s">
        <v>319</v>
      </c>
      <c r="D577" s="123" t="s">
        <v>490</v>
      </c>
      <c r="E577" s="124" t="s">
        <v>37</v>
      </c>
      <c r="F577" s="122" t="s">
        <v>67</v>
      </c>
      <c r="G577" s="147" t="s">
        <v>354</v>
      </c>
      <c r="H577" s="147" t="s">
        <v>354</v>
      </c>
      <c r="I577" s="125" t="s">
        <v>776</v>
      </c>
      <c r="J577" s="122"/>
      <c r="K577" s="125">
        <v>0.0</v>
      </c>
      <c r="L577" s="78">
        <v>0.0</v>
      </c>
      <c r="M577" s="78" t="s">
        <v>785</v>
      </c>
      <c r="N577" s="101" t="s">
        <v>17</v>
      </c>
      <c r="O577" s="101" t="s">
        <v>17</v>
      </c>
      <c r="P577" s="101" t="s">
        <v>17</v>
      </c>
      <c r="Q577" s="101" t="s">
        <v>17</v>
      </c>
      <c r="R577" s="24" t="s">
        <v>320</v>
      </c>
      <c r="S577" s="44" t="s">
        <v>373</v>
      </c>
      <c r="T577" s="24" t="s">
        <v>321</v>
      </c>
      <c r="U577" s="18" t="s">
        <v>784</v>
      </c>
      <c r="V577" s="18">
        <v>4.0</v>
      </c>
      <c r="W577" s="44" t="s">
        <v>373</v>
      </c>
      <c r="X577" s="130" t="s">
        <v>786</v>
      </c>
      <c r="Y577" s="130" t="s">
        <v>787</v>
      </c>
      <c r="Z577" s="130" t="s">
        <v>788</v>
      </c>
      <c r="AA577" s="122"/>
      <c r="AB577" s="158" t="s">
        <v>556</v>
      </c>
      <c r="AC577" s="122"/>
      <c r="AD577" s="122"/>
      <c r="AE577" s="122"/>
      <c r="AF577" s="125">
        <v>0.0</v>
      </c>
      <c r="AG577" s="198" t="s">
        <v>356</v>
      </c>
      <c r="AH577" s="122"/>
      <c r="AI577" s="198" t="s">
        <v>356</v>
      </c>
      <c r="AJ577" s="198" t="s">
        <v>356</v>
      </c>
      <c r="AK577" s="198" t="s">
        <v>356</v>
      </c>
      <c r="AL577" s="198" t="s">
        <v>356</v>
      </c>
      <c r="AM577" s="198" t="s">
        <v>356</v>
      </c>
      <c r="AN577" s="198" t="s">
        <v>356</v>
      </c>
    </row>
    <row r="578">
      <c r="A578" s="121" t="s">
        <v>782</v>
      </c>
      <c r="B578" s="191" t="s">
        <v>783</v>
      </c>
      <c r="C578" s="122" t="s">
        <v>319</v>
      </c>
      <c r="D578" s="123" t="s">
        <v>490</v>
      </c>
      <c r="E578" s="124" t="s">
        <v>37</v>
      </c>
      <c r="F578" s="122" t="s">
        <v>67</v>
      </c>
      <c r="G578" s="147" t="s">
        <v>354</v>
      </c>
      <c r="H578" s="147" t="s">
        <v>354</v>
      </c>
      <c r="I578" s="125" t="s">
        <v>776</v>
      </c>
      <c r="J578" s="122"/>
      <c r="K578" s="125">
        <v>1.0</v>
      </c>
      <c r="L578" s="78">
        <v>0.0</v>
      </c>
      <c r="M578" s="78" t="s">
        <v>785</v>
      </c>
      <c r="N578" s="101" t="s">
        <v>17</v>
      </c>
      <c r="O578" s="101" t="s">
        <v>17</v>
      </c>
      <c r="P578" s="101" t="s">
        <v>17</v>
      </c>
      <c r="Q578" s="101" t="s">
        <v>17</v>
      </c>
      <c r="R578" s="24" t="s">
        <v>320</v>
      </c>
      <c r="S578" s="44" t="s">
        <v>373</v>
      </c>
      <c r="T578" s="24" t="s">
        <v>321</v>
      </c>
      <c r="U578" s="18" t="s">
        <v>784</v>
      </c>
      <c r="V578" s="18">
        <v>4.0</v>
      </c>
      <c r="W578" s="44" t="s">
        <v>373</v>
      </c>
      <c r="X578" s="130" t="s">
        <v>786</v>
      </c>
      <c r="Y578" s="130" t="s">
        <v>787</v>
      </c>
      <c r="Z578" s="130" t="s">
        <v>788</v>
      </c>
      <c r="AA578" s="130" t="s">
        <v>787</v>
      </c>
      <c r="AB578" s="158" t="s">
        <v>556</v>
      </c>
      <c r="AC578" s="122"/>
      <c r="AD578" s="122"/>
      <c r="AE578" s="122"/>
      <c r="AF578" s="131">
        <v>32.2574991711465</v>
      </c>
      <c r="AG578" s="125" t="s">
        <v>354</v>
      </c>
      <c r="AH578" s="122"/>
      <c r="AI578" s="125" t="s">
        <v>354</v>
      </c>
      <c r="AJ578" s="198"/>
      <c r="AK578" s="198"/>
      <c r="AL578" s="28" t="s">
        <v>358</v>
      </c>
      <c r="AM578" s="119" t="s">
        <v>413</v>
      </c>
      <c r="AN578" s="28" t="s">
        <v>358</v>
      </c>
    </row>
    <row r="579">
      <c r="A579" s="17" t="s">
        <v>225</v>
      </c>
      <c r="B579" s="83" t="s">
        <v>789</v>
      </c>
      <c r="C579" s="19" t="s">
        <v>224</v>
      </c>
      <c r="D579" s="20" t="s">
        <v>547</v>
      </c>
      <c r="E579" s="21" t="s">
        <v>7</v>
      </c>
      <c r="F579" s="19" t="s">
        <v>67</v>
      </c>
      <c r="G579" s="23">
        <v>118.0</v>
      </c>
      <c r="H579" s="23">
        <v>275.0</v>
      </c>
      <c r="I579" s="23" t="s">
        <v>790</v>
      </c>
      <c r="J579" s="19">
        <v>71.0</v>
      </c>
      <c r="K579" s="23">
        <v>1.0</v>
      </c>
      <c r="L579" s="22">
        <v>0.0</v>
      </c>
      <c r="M579" s="22" t="s">
        <v>354</v>
      </c>
      <c r="N579" s="101" t="s">
        <v>17</v>
      </c>
      <c r="O579" s="101" t="s">
        <v>17</v>
      </c>
      <c r="P579" s="24" t="s">
        <v>226</v>
      </c>
      <c r="Q579" s="19"/>
      <c r="R579" s="19"/>
      <c r="S579" s="19"/>
      <c r="T579" s="19"/>
      <c r="U579" s="19"/>
      <c r="V579" s="19"/>
      <c r="W579" s="19"/>
      <c r="X579" s="19"/>
      <c r="Y579" s="19"/>
      <c r="Z579" s="19"/>
      <c r="AA579" s="19"/>
      <c r="AB579" s="22" t="s">
        <v>354</v>
      </c>
      <c r="AC579" s="19">
        <v>36465.0</v>
      </c>
      <c r="AD579" s="19"/>
      <c r="AE579" s="19"/>
      <c r="AF579" s="66">
        <v>39.19</v>
      </c>
      <c r="AG579" s="23" t="s">
        <v>356</v>
      </c>
      <c r="AH579" s="19"/>
      <c r="AI579" s="23" t="s">
        <v>356</v>
      </c>
      <c r="AJ579" s="19"/>
      <c r="AK579" s="19"/>
      <c r="AL579" s="73" t="s">
        <v>357</v>
      </c>
      <c r="AM579" s="165" t="s">
        <v>389</v>
      </c>
      <c r="AN579" s="32" t="s">
        <v>361</v>
      </c>
    </row>
    <row r="580">
      <c r="A580" s="17" t="s">
        <v>225</v>
      </c>
      <c r="B580" s="83" t="s">
        <v>789</v>
      </c>
      <c r="C580" s="19" t="s">
        <v>224</v>
      </c>
      <c r="D580" s="20" t="s">
        <v>547</v>
      </c>
      <c r="E580" s="21" t="s">
        <v>7</v>
      </c>
      <c r="F580" s="19" t="s">
        <v>67</v>
      </c>
      <c r="G580" s="22" t="s">
        <v>354</v>
      </c>
      <c r="H580" s="23">
        <v>220.0</v>
      </c>
      <c r="I580" s="22" t="s">
        <v>790</v>
      </c>
      <c r="J580" s="19">
        <v>43.0</v>
      </c>
      <c r="K580" s="23">
        <v>0.0</v>
      </c>
      <c r="L580" s="23">
        <v>1.0</v>
      </c>
      <c r="M580" s="22" t="s">
        <v>354</v>
      </c>
      <c r="N580" s="101" t="s">
        <v>17</v>
      </c>
      <c r="O580" s="101" t="s">
        <v>17</v>
      </c>
      <c r="P580" s="24" t="s">
        <v>226</v>
      </c>
      <c r="Q580" s="24" t="s">
        <v>225</v>
      </c>
      <c r="R580" s="19"/>
      <c r="S580" s="19"/>
      <c r="T580" s="19"/>
      <c r="U580" s="19"/>
      <c r="V580" s="19"/>
      <c r="W580" s="19"/>
      <c r="X580" s="19"/>
      <c r="Y580" s="19"/>
      <c r="Z580" s="19"/>
      <c r="AA580" s="19"/>
      <c r="AB580" s="23" t="s">
        <v>791</v>
      </c>
      <c r="AC580" s="19">
        <v>36633.0</v>
      </c>
      <c r="AD580" s="19"/>
      <c r="AE580" s="19"/>
      <c r="AF580" s="23">
        <v>0.0</v>
      </c>
      <c r="AG580" s="36" t="s">
        <v>365</v>
      </c>
      <c r="AH580" s="23" t="s">
        <v>366</v>
      </c>
      <c r="AI580" s="26" t="s">
        <v>357</v>
      </c>
      <c r="AJ580" s="19"/>
      <c r="AK580" s="19"/>
      <c r="AL580" s="59" t="s">
        <v>357</v>
      </c>
      <c r="AM580" s="142" t="s">
        <v>356</v>
      </c>
      <c r="AN580" s="75" t="s">
        <v>357</v>
      </c>
    </row>
    <row r="581">
      <c r="A581" s="17" t="s">
        <v>225</v>
      </c>
      <c r="B581" s="83" t="s">
        <v>789</v>
      </c>
      <c r="C581" s="19" t="s">
        <v>224</v>
      </c>
      <c r="D581" s="20" t="s">
        <v>547</v>
      </c>
      <c r="E581" s="21" t="s">
        <v>7</v>
      </c>
      <c r="F581" s="19" t="s">
        <v>67</v>
      </c>
      <c r="G581" s="22" t="s">
        <v>354</v>
      </c>
      <c r="H581" s="23">
        <v>210.0</v>
      </c>
      <c r="I581" s="22" t="s">
        <v>790</v>
      </c>
      <c r="J581" s="19">
        <v>41.0</v>
      </c>
      <c r="K581" s="23">
        <v>0.0</v>
      </c>
      <c r="L581" s="22">
        <v>0.0</v>
      </c>
      <c r="M581" s="22" t="s">
        <v>354</v>
      </c>
      <c r="N581" s="101" t="s">
        <v>17</v>
      </c>
      <c r="O581" s="101" t="s">
        <v>17</v>
      </c>
      <c r="P581" s="24" t="s">
        <v>226</v>
      </c>
      <c r="Q581" s="24" t="s">
        <v>225</v>
      </c>
      <c r="R581" s="24" t="s">
        <v>225</v>
      </c>
      <c r="S581" s="19"/>
      <c r="T581" s="19"/>
      <c r="U581" s="19"/>
      <c r="V581" s="19"/>
      <c r="W581" s="19"/>
      <c r="X581" s="19"/>
      <c r="Y581" s="19"/>
      <c r="Z581" s="19"/>
      <c r="AA581" s="19"/>
      <c r="AB581" s="22" t="s">
        <v>354</v>
      </c>
      <c r="AC581" s="19"/>
      <c r="AD581" s="19"/>
      <c r="AE581" s="19"/>
      <c r="AF581" s="66">
        <v>38.77</v>
      </c>
      <c r="AG581" s="36" t="s">
        <v>365</v>
      </c>
      <c r="AH581" s="23" t="s">
        <v>543</v>
      </c>
      <c r="AI581" s="58" t="s">
        <v>380</v>
      </c>
      <c r="AJ581" s="19"/>
      <c r="AK581" s="19"/>
      <c r="AL581" s="59" t="s">
        <v>357</v>
      </c>
      <c r="AM581" s="58" t="s">
        <v>380</v>
      </c>
      <c r="AN581" s="67" t="s">
        <v>356</v>
      </c>
    </row>
    <row r="582">
      <c r="A582" s="17" t="s">
        <v>225</v>
      </c>
      <c r="B582" s="83" t="s">
        <v>789</v>
      </c>
      <c r="C582" s="19" t="s">
        <v>224</v>
      </c>
      <c r="D582" s="20" t="s">
        <v>547</v>
      </c>
      <c r="E582" s="21" t="s">
        <v>7</v>
      </c>
      <c r="F582" s="19" t="s">
        <v>67</v>
      </c>
      <c r="G582" s="22" t="s">
        <v>354</v>
      </c>
      <c r="H582" s="23">
        <v>240.0</v>
      </c>
      <c r="I582" s="22" t="s">
        <v>790</v>
      </c>
      <c r="J582" s="19">
        <v>39.0</v>
      </c>
      <c r="K582" s="23">
        <v>0.0</v>
      </c>
      <c r="L582" s="22">
        <v>0.0</v>
      </c>
      <c r="M582" s="22" t="s">
        <v>354</v>
      </c>
      <c r="N582" s="101" t="s">
        <v>17</v>
      </c>
      <c r="O582" s="101" t="s">
        <v>17</v>
      </c>
      <c r="P582" s="24" t="s">
        <v>226</v>
      </c>
      <c r="Q582" s="24" t="s">
        <v>225</v>
      </c>
      <c r="R582" s="24" t="s">
        <v>225</v>
      </c>
      <c r="S582" s="24" t="s">
        <v>225</v>
      </c>
      <c r="T582" s="19"/>
      <c r="U582" s="19"/>
      <c r="V582" s="19"/>
      <c r="W582" s="19"/>
      <c r="X582" s="19"/>
      <c r="Y582" s="19"/>
      <c r="Z582" s="19"/>
      <c r="AA582" s="19"/>
      <c r="AB582" s="22" t="s">
        <v>354</v>
      </c>
      <c r="AC582" s="19"/>
      <c r="AD582" s="19"/>
      <c r="AE582" s="19"/>
      <c r="AF582" s="23">
        <v>0.0</v>
      </c>
      <c r="AG582" s="23" t="s">
        <v>354</v>
      </c>
      <c r="AH582" s="19"/>
      <c r="AI582" s="23" t="s">
        <v>354</v>
      </c>
      <c r="AJ582" s="19"/>
      <c r="AK582" s="19"/>
      <c r="AL582" s="89" t="s">
        <v>356</v>
      </c>
      <c r="AM582" s="89" t="s">
        <v>356</v>
      </c>
      <c r="AN582" s="59" t="s">
        <v>357</v>
      </c>
    </row>
    <row r="583">
      <c r="A583" s="17" t="s">
        <v>225</v>
      </c>
      <c r="B583" s="83" t="s">
        <v>789</v>
      </c>
      <c r="C583" s="19" t="s">
        <v>224</v>
      </c>
      <c r="D583" s="20" t="s">
        <v>547</v>
      </c>
      <c r="E583" s="21" t="s">
        <v>7</v>
      </c>
      <c r="F583" s="19" t="s">
        <v>67</v>
      </c>
      <c r="G583" s="22" t="s">
        <v>354</v>
      </c>
      <c r="H583" s="23">
        <v>240.0</v>
      </c>
      <c r="I583" s="22" t="s">
        <v>790</v>
      </c>
      <c r="J583" s="19">
        <v>44.0</v>
      </c>
      <c r="K583" s="23">
        <v>0.0</v>
      </c>
      <c r="L583" s="22">
        <v>0.0</v>
      </c>
      <c r="M583" s="22" t="s">
        <v>354</v>
      </c>
      <c r="N583" s="101" t="s">
        <v>17</v>
      </c>
      <c r="O583" s="101" t="s">
        <v>17</v>
      </c>
      <c r="P583" s="24" t="s">
        <v>226</v>
      </c>
      <c r="Q583" s="24" t="s">
        <v>225</v>
      </c>
      <c r="R583" s="24" t="s">
        <v>225</v>
      </c>
      <c r="S583" s="24" t="s">
        <v>225</v>
      </c>
      <c r="T583" s="24" t="s">
        <v>225</v>
      </c>
      <c r="U583" s="19"/>
      <c r="V583" s="19"/>
      <c r="W583" s="19"/>
      <c r="X583" s="19"/>
      <c r="Y583" s="19"/>
      <c r="Z583" s="19"/>
      <c r="AA583" s="19"/>
      <c r="AB583" s="22" t="s">
        <v>354</v>
      </c>
      <c r="AC583" s="19"/>
      <c r="AD583" s="19"/>
      <c r="AE583" s="19"/>
      <c r="AF583" s="36">
        <v>32.21</v>
      </c>
      <c r="AG583" s="23" t="s">
        <v>354</v>
      </c>
      <c r="AH583" s="19"/>
      <c r="AI583" s="23" t="s">
        <v>354</v>
      </c>
      <c r="AJ583" s="19"/>
      <c r="AK583" s="19"/>
      <c r="AL583" s="28" t="s">
        <v>358</v>
      </c>
      <c r="AM583" s="58" t="s">
        <v>380</v>
      </c>
      <c r="AN583" s="28" t="s">
        <v>358</v>
      </c>
    </row>
    <row r="584">
      <c r="A584" s="17" t="s">
        <v>225</v>
      </c>
      <c r="B584" s="83" t="s">
        <v>789</v>
      </c>
      <c r="C584" s="19" t="s">
        <v>224</v>
      </c>
      <c r="D584" s="20" t="s">
        <v>547</v>
      </c>
      <c r="E584" s="21" t="s">
        <v>7</v>
      </c>
      <c r="F584" s="19" t="s">
        <v>67</v>
      </c>
      <c r="G584" s="22" t="s">
        <v>354</v>
      </c>
      <c r="H584" s="23">
        <v>245.0</v>
      </c>
      <c r="I584" s="22" t="s">
        <v>790</v>
      </c>
      <c r="J584" s="19">
        <v>42.0</v>
      </c>
      <c r="K584" s="23">
        <v>0.0</v>
      </c>
      <c r="L584" s="22">
        <v>0.0</v>
      </c>
      <c r="M584" s="22" t="s">
        <v>354</v>
      </c>
      <c r="N584" s="101" t="s">
        <v>17</v>
      </c>
      <c r="O584" s="101" t="s">
        <v>17</v>
      </c>
      <c r="P584" s="24" t="s">
        <v>226</v>
      </c>
      <c r="Q584" s="24" t="s">
        <v>225</v>
      </c>
      <c r="R584" s="24" t="s">
        <v>225</v>
      </c>
      <c r="S584" s="24" t="s">
        <v>225</v>
      </c>
      <c r="T584" s="24" t="s">
        <v>225</v>
      </c>
      <c r="U584" s="24" t="s">
        <v>225</v>
      </c>
      <c r="V584" s="19"/>
      <c r="W584" s="19"/>
      <c r="X584" s="19"/>
      <c r="Y584" s="19"/>
      <c r="Z584" s="19"/>
      <c r="AA584" s="19"/>
      <c r="AB584" s="23" t="s">
        <v>662</v>
      </c>
      <c r="AC584" s="19"/>
      <c r="AD584" s="19"/>
      <c r="AE584" s="19"/>
      <c r="AF584" s="144">
        <v>33.02</v>
      </c>
      <c r="AG584" s="23" t="s">
        <v>354</v>
      </c>
      <c r="AH584" s="19"/>
      <c r="AI584" s="23" t="s">
        <v>354</v>
      </c>
      <c r="AJ584" s="19"/>
      <c r="AK584" s="19"/>
      <c r="AL584" s="28" t="s">
        <v>358</v>
      </c>
      <c r="AM584" s="89" t="s">
        <v>356</v>
      </c>
      <c r="AN584" s="28" t="s">
        <v>358</v>
      </c>
    </row>
    <row r="585">
      <c r="A585" s="17" t="s">
        <v>225</v>
      </c>
      <c r="B585" s="83" t="s">
        <v>789</v>
      </c>
      <c r="C585" s="19" t="s">
        <v>224</v>
      </c>
      <c r="D585" s="20" t="s">
        <v>547</v>
      </c>
      <c r="E585" s="21" t="s">
        <v>7</v>
      </c>
      <c r="F585" s="19" t="s">
        <v>67</v>
      </c>
      <c r="G585" s="22" t="s">
        <v>354</v>
      </c>
      <c r="H585" s="23">
        <v>255.0</v>
      </c>
      <c r="I585" s="22" t="s">
        <v>790</v>
      </c>
      <c r="J585" s="19">
        <v>42.0</v>
      </c>
      <c r="K585" s="23">
        <v>1.0</v>
      </c>
      <c r="L585" s="22">
        <v>0.0</v>
      </c>
      <c r="M585" s="22" t="s">
        <v>354</v>
      </c>
      <c r="N585" s="101" t="s">
        <v>17</v>
      </c>
      <c r="O585" s="101" t="s">
        <v>17</v>
      </c>
      <c r="P585" s="24" t="s">
        <v>226</v>
      </c>
      <c r="Q585" s="24" t="s">
        <v>225</v>
      </c>
      <c r="R585" s="24" t="s">
        <v>225</v>
      </c>
      <c r="S585" s="24" t="s">
        <v>225</v>
      </c>
      <c r="T585" s="24" t="s">
        <v>225</v>
      </c>
      <c r="U585" s="24" t="s">
        <v>225</v>
      </c>
      <c r="V585" s="24" t="s">
        <v>225</v>
      </c>
      <c r="W585" s="19"/>
      <c r="X585" s="19"/>
      <c r="Y585" s="19"/>
      <c r="Z585" s="19"/>
      <c r="AA585" s="19"/>
      <c r="AB585" s="22" t="s">
        <v>354</v>
      </c>
      <c r="AC585" s="19"/>
      <c r="AD585" s="19"/>
      <c r="AE585" s="19"/>
      <c r="AF585" s="23">
        <v>0.0</v>
      </c>
      <c r="AG585" s="23" t="s">
        <v>354</v>
      </c>
      <c r="AH585" s="19"/>
      <c r="AI585" s="23" t="s">
        <v>354</v>
      </c>
      <c r="AJ585" s="19"/>
      <c r="AK585" s="19"/>
      <c r="AL585" s="19" t="s">
        <v>356</v>
      </c>
      <c r="AM585" s="19" t="s">
        <v>356</v>
      </c>
      <c r="AN585" s="28" t="s">
        <v>358</v>
      </c>
    </row>
    <row r="586">
      <c r="A586" s="17" t="s">
        <v>225</v>
      </c>
      <c r="B586" s="83" t="s">
        <v>789</v>
      </c>
      <c r="C586" s="19" t="s">
        <v>224</v>
      </c>
      <c r="D586" s="20" t="s">
        <v>547</v>
      </c>
      <c r="E586" s="21" t="s">
        <v>7</v>
      </c>
      <c r="F586" s="19" t="s">
        <v>67</v>
      </c>
      <c r="G586" s="23">
        <v>117.0</v>
      </c>
      <c r="H586" s="22" t="s">
        <v>354</v>
      </c>
      <c r="I586" s="22" t="s">
        <v>790</v>
      </c>
      <c r="J586" s="19">
        <v>42.0</v>
      </c>
      <c r="K586" s="23">
        <v>0.0</v>
      </c>
      <c r="L586" s="22">
        <v>0.0</v>
      </c>
      <c r="M586" s="22" t="s">
        <v>354</v>
      </c>
      <c r="N586" s="101" t="s">
        <v>17</v>
      </c>
      <c r="O586" s="101" t="s">
        <v>17</v>
      </c>
      <c r="P586" s="24" t="s">
        <v>226</v>
      </c>
      <c r="Q586" s="24" t="s">
        <v>225</v>
      </c>
      <c r="R586" s="24" t="s">
        <v>225</v>
      </c>
      <c r="S586" s="24" t="s">
        <v>225</v>
      </c>
      <c r="T586" s="24" t="s">
        <v>225</v>
      </c>
      <c r="U586" s="24" t="s">
        <v>225</v>
      </c>
      <c r="V586" s="24" t="s">
        <v>225</v>
      </c>
      <c r="W586" s="18" t="s">
        <v>792</v>
      </c>
      <c r="X586" s="19"/>
      <c r="Y586" s="19"/>
      <c r="Z586" s="19"/>
      <c r="AA586" s="19"/>
      <c r="AB586" s="158" t="s">
        <v>793</v>
      </c>
      <c r="AC586" s="19"/>
      <c r="AD586" s="19"/>
      <c r="AE586" s="19"/>
      <c r="AF586" s="199">
        <v>42.2</v>
      </c>
      <c r="AG586" s="23" t="s">
        <v>354</v>
      </c>
      <c r="AH586" s="19"/>
      <c r="AI586" s="23" t="s">
        <v>354</v>
      </c>
      <c r="AJ586" s="19"/>
      <c r="AK586" s="19"/>
      <c r="AL586" s="19" t="s">
        <v>356</v>
      </c>
      <c r="AM586" s="19" t="s">
        <v>356</v>
      </c>
      <c r="AN586" s="35" t="s">
        <v>363</v>
      </c>
    </row>
    <row r="587">
      <c r="A587" s="17" t="s">
        <v>225</v>
      </c>
      <c r="B587" s="83" t="s">
        <v>789</v>
      </c>
      <c r="C587" s="19" t="s">
        <v>224</v>
      </c>
      <c r="D587" s="20" t="s">
        <v>547</v>
      </c>
      <c r="E587" s="21" t="s">
        <v>7</v>
      </c>
      <c r="F587" s="19" t="s">
        <v>67</v>
      </c>
      <c r="G587" s="22" t="s">
        <v>354</v>
      </c>
      <c r="H587" s="22" t="s">
        <v>354</v>
      </c>
      <c r="I587" s="22" t="s">
        <v>790</v>
      </c>
      <c r="J587" s="19">
        <v>42.0</v>
      </c>
      <c r="K587" s="23">
        <v>1.0</v>
      </c>
      <c r="L587" s="78">
        <v>1.0</v>
      </c>
      <c r="M587" s="78" t="s">
        <v>794</v>
      </c>
      <c r="N587" s="101" t="s">
        <v>17</v>
      </c>
      <c r="O587" s="101" t="s">
        <v>17</v>
      </c>
      <c r="P587" s="24" t="s">
        <v>226</v>
      </c>
      <c r="Q587" s="24" t="s">
        <v>225</v>
      </c>
      <c r="R587" s="24" t="s">
        <v>225</v>
      </c>
      <c r="S587" s="24" t="s">
        <v>225</v>
      </c>
      <c r="T587" s="24" t="s">
        <v>225</v>
      </c>
      <c r="U587" s="24" t="s">
        <v>225</v>
      </c>
      <c r="V587" s="24" t="s">
        <v>225</v>
      </c>
      <c r="W587" s="18" t="s">
        <v>792</v>
      </c>
      <c r="X587" s="18" t="s">
        <v>225</v>
      </c>
      <c r="Y587" s="19"/>
      <c r="Z587" s="19"/>
      <c r="AA587" s="19"/>
      <c r="AB587" s="158" t="s">
        <v>600</v>
      </c>
      <c r="AC587" s="19"/>
      <c r="AD587" s="19"/>
      <c r="AE587" s="19"/>
      <c r="AF587" s="23">
        <v>0.0</v>
      </c>
      <c r="AG587" s="23" t="s">
        <v>354</v>
      </c>
      <c r="AH587" s="19"/>
      <c r="AI587" s="23" t="s">
        <v>354</v>
      </c>
      <c r="AJ587" s="23"/>
      <c r="AK587" s="23"/>
      <c r="AL587" s="116" t="s">
        <v>361</v>
      </c>
      <c r="AM587" s="89" t="s">
        <v>356</v>
      </c>
      <c r="AN587" s="115" t="s">
        <v>358</v>
      </c>
    </row>
    <row r="588">
      <c r="A588" s="17" t="s">
        <v>225</v>
      </c>
      <c r="B588" s="83" t="s">
        <v>789</v>
      </c>
      <c r="C588" s="19" t="s">
        <v>224</v>
      </c>
      <c r="D588" s="20" t="s">
        <v>547</v>
      </c>
      <c r="E588" s="21" t="s">
        <v>7</v>
      </c>
      <c r="F588" s="19" t="s">
        <v>67</v>
      </c>
      <c r="G588" s="22" t="s">
        <v>354</v>
      </c>
      <c r="H588" s="22" t="s">
        <v>354</v>
      </c>
      <c r="I588" s="22" t="s">
        <v>790</v>
      </c>
      <c r="J588" s="19">
        <v>42.0</v>
      </c>
      <c r="K588" s="23">
        <v>1.0</v>
      </c>
      <c r="L588" s="78">
        <v>1.0</v>
      </c>
      <c r="M588" s="78" t="s">
        <v>794</v>
      </c>
      <c r="N588" s="101" t="s">
        <v>17</v>
      </c>
      <c r="O588" s="101" t="s">
        <v>17</v>
      </c>
      <c r="P588" s="24" t="s">
        <v>226</v>
      </c>
      <c r="Q588" s="24" t="s">
        <v>225</v>
      </c>
      <c r="R588" s="24" t="s">
        <v>225</v>
      </c>
      <c r="S588" s="24" t="s">
        <v>225</v>
      </c>
      <c r="T588" s="24" t="s">
        <v>225</v>
      </c>
      <c r="U588" s="24" t="s">
        <v>225</v>
      </c>
      <c r="V588" s="24" t="s">
        <v>225</v>
      </c>
      <c r="W588" s="18" t="s">
        <v>792</v>
      </c>
      <c r="X588" s="18" t="s">
        <v>225</v>
      </c>
      <c r="Y588" s="130" t="s">
        <v>225</v>
      </c>
      <c r="Z588" s="19"/>
      <c r="AA588" s="19"/>
      <c r="AB588" s="158" t="s">
        <v>600</v>
      </c>
      <c r="AC588" s="19"/>
      <c r="AD588" s="19"/>
      <c r="AE588" s="19"/>
      <c r="AF588" s="23">
        <v>0.0</v>
      </c>
      <c r="AG588" s="23" t="s">
        <v>354</v>
      </c>
      <c r="AH588" s="19"/>
      <c r="AI588" s="23" t="s">
        <v>354</v>
      </c>
      <c r="AJ588" s="23"/>
      <c r="AK588" s="23"/>
      <c r="AL588" s="116" t="s">
        <v>361</v>
      </c>
      <c r="AM588" s="82" t="s">
        <v>361</v>
      </c>
      <c r="AN588" s="113" t="s">
        <v>356</v>
      </c>
    </row>
    <row r="589">
      <c r="A589" s="17" t="s">
        <v>225</v>
      </c>
      <c r="B589" s="83" t="s">
        <v>789</v>
      </c>
      <c r="C589" s="19" t="s">
        <v>224</v>
      </c>
      <c r="D589" s="20" t="s">
        <v>547</v>
      </c>
      <c r="E589" s="21" t="s">
        <v>7</v>
      </c>
      <c r="F589" s="19" t="s">
        <v>67</v>
      </c>
      <c r="G589" s="22" t="s">
        <v>354</v>
      </c>
      <c r="H589" s="22" t="s">
        <v>354</v>
      </c>
      <c r="I589" s="22" t="s">
        <v>790</v>
      </c>
      <c r="J589" s="19">
        <v>42.0</v>
      </c>
      <c r="K589" s="23">
        <v>1.0</v>
      </c>
      <c r="L589" s="78">
        <v>1.0</v>
      </c>
      <c r="M589" s="78" t="s">
        <v>794</v>
      </c>
      <c r="N589" s="101" t="s">
        <v>17</v>
      </c>
      <c r="O589" s="101" t="s">
        <v>17</v>
      </c>
      <c r="P589" s="24" t="s">
        <v>226</v>
      </c>
      <c r="Q589" s="24" t="s">
        <v>225</v>
      </c>
      <c r="R589" s="24" t="s">
        <v>225</v>
      </c>
      <c r="S589" s="24" t="s">
        <v>225</v>
      </c>
      <c r="T589" s="24" t="s">
        <v>225</v>
      </c>
      <c r="U589" s="24" t="s">
        <v>225</v>
      </c>
      <c r="V589" s="24" t="s">
        <v>225</v>
      </c>
      <c r="W589" s="18" t="s">
        <v>792</v>
      </c>
      <c r="X589" s="18" t="s">
        <v>225</v>
      </c>
      <c r="Y589" s="130" t="s">
        <v>225</v>
      </c>
      <c r="Z589" s="24" t="s">
        <v>225</v>
      </c>
      <c r="AA589" s="19"/>
      <c r="AB589" s="158" t="s">
        <v>795</v>
      </c>
      <c r="AC589" s="19"/>
      <c r="AD589" s="19"/>
      <c r="AE589" s="19"/>
      <c r="AF589" s="23">
        <v>0.0</v>
      </c>
      <c r="AG589" s="23" t="s">
        <v>356</v>
      </c>
      <c r="AH589" s="19"/>
      <c r="AI589" s="23" t="s">
        <v>356</v>
      </c>
      <c r="AJ589" s="23" t="s">
        <v>356</v>
      </c>
      <c r="AK589" s="23" t="s">
        <v>356</v>
      </c>
      <c r="AL589" s="116" t="s">
        <v>361</v>
      </c>
      <c r="AM589" s="116" t="s">
        <v>361</v>
      </c>
      <c r="AN589" s="59" t="s">
        <v>357</v>
      </c>
    </row>
    <row r="590">
      <c r="A590" s="17" t="s">
        <v>225</v>
      </c>
      <c r="B590" s="83" t="s">
        <v>789</v>
      </c>
      <c r="C590" s="19" t="s">
        <v>224</v>
      </c>
      <c r="D590" s="20" t="s">
        <v>547</v>
      </c>
      <c r="E590" s="21" t="s">
        <v>7</v>
      </c>
      <c r="F590" s="19" t="s">
        <v>67</v>
      </c>
      <c r="G590" s="22" t="s">
        <v>354</v>
      </c>
      <c r="H590" s="22" t="s">
        <v>354</v>
      </c>
      <c r="I590" s="22" t="s">
        <v>790</v>
      </c>
      <c r="J590" s="19">
        <v>42.0</v>
      </c>
      <c r="K590" s="23">
        <v>1.0</v>
      </c>
      <c r="L590" s="78">
        <v>1.0</v>
      </c>
      <c r="M590" s="78" t="s">
        <v>794</v>
      </c>
      <c r="N590" s="101" t="s">
        <v>17</v>
      </c>
      <c r="O590" s="101" t="s">
        <v>17</v>
      </c>
      <c r="P590" s="24" t="s">
        <v>226</v>
      </c>
      <c r="Q590" s="24" t="s">
        <v>225</v>
      </c>
      <c r="R590" s="24" t="s">
        <v>225</v>
      </c>
      <c r="S590" s="24" t="s">
        <v>225</v>
      </c>
      <c r="T590" s="24" t="s">
        <v>225</v>
      </c>
      <c r="U590" s="24" t="s">
        <v>225</v>
      </c>
      <c r="V590" s="24" t="s">
        <v>225</v>
      </c>
      <c r="W590" s="18" t="s">
        <v>792</v>
      </c>
      <c r="X590" s="18" t="s">
        <v>225</v>
      </c>
      <c r="Y590" s="130" t="s">
        <v>225</v>
      </c>
      <c r="Z590" s="24" t="s">
        <v>225</v>
      </c>
      <c r="AA590" s="130" t="s">
        <v>225</v>
      </c>
      <c r="AB590" s="158" t="s">
        <v>600</v>
      </c>
      <c r="AC590" s="19"/>
      <c r="AD590" s="19"/>
      <c r="AE590" s="19"/>
      <c r="AF590" s="23">
        <v>0.0</v>
      </c>
      <c r="AG590" s="23" t="s">
        <v>354</v>
      </c>
      <c r="AH590" s="19"/>
      <c r="AI590" s="23" t="s">
        <v>354</v>
      </c>
      <c r="AJ590" s="23"/>
      <c r="AK590" s="23"/>
      <c r="AL590" s="89" t="s">
        <v>356</v>
      </c>
      <c r="AM590" s="58" t="s">
        <v>380</v>
      </c>
      <c r="AN590" s="28" t="s">
        <v>358</v>
      </c>
    </row>
    <row r="591">
      <c r="A591" s="121" t="s">
        <v>796</v>
      </c>
      <c r="B591" s="18" t="s">
        <v>797</v>
      </c>
      <c r="C591" s="122"/>
      <c r="D591" s="173" t="s">
        <v>736</v>
      </c>
      <c r="E591" s="124" t="s">
        <v>491</v>
      </c>
      <c r="F591" s="125" t="s">
        <v>67</v>
      </c>
      <c r="G591" s="125">
        <v>96.0</v>
      </c>
      <c r="H591" s="125">
        <v>100.0</v>
      </c>
      <c r="I591" s="125" t="s">
        <v>790</v>
      </c>
      <c r="J591" s="122"/>
      <c r="K591" s="125">
        <v>0.0</v>
      </c>
      <c r="L591" s="125">
        <v>0.0</v>
      </c>
      <c r="M591" s="125" t="s">
        <v>354</v>
      </c>
      <c r="N591" s="174" t="s">
        <v>17</v>
      </c>
      <c r="O591" s="174" t="s">
        <v>17</v>
      </c>
      <c r="P591" s="174" t="s">
        <v>17</v>
      </c>
      <c r="Q591" s="174" t="s">
        <v>17</v>
      </c>
      <c r="R591" s="174" t="s">
        <v>17</v>
      </c>
      <c r="S591" s="174" t="s">
        <v>17</v>
      </c>
      <c r="T591" s="174" t="s">
        <v>17</v>
      </c>
      <c r="U591" s="174" t="s">
        <v>17</v>
      </c>
      <c r="V591" s="174" t="s">
        <v>17</v>
      </c>
      <c r="W591" s="18" t="s">
        <v>798</v>
      </c>
      <c r="X591" s="125"/>
      <c r="Y591" s="125"/>
      <c r="Z591" s="125"/>
      <c r="AA591" s="125"/>
      <c r="AB591" s="200" t="s">
        <v>354</v>
      </c>
      <c r="AC591" s="122"/>
      <c r="AD591" s="122"/>
      <c r="AE591" s="122"/>
      <c r="AF591" s="147">
        <v>0.0</v>
      </c>
      <c r="AG591" s="147" t="s">
        <v>354</v>
      </c>
      <c r="AH591" s="122"/>
      <c r="AI591" s="147" t="s">
        <v>354</v>
      </c>
      <c r="AJ591" s="147"/>
      <c r="AK591" s="147"/>
      <c r="AL591" s="122" t="s">
        <v>356</v>
      </c>
      <c r="AM591" s="122" t="s">
        <v>356</v>
      </c>
      <c r="AN591" s="122" t="s">
        <v>356</v>
      </c>
    </row>
    <row r="592">
      <c r="A592" s="121" t="s">
        <v>796</v>
      </c>
      <c r="B592" s="18" t="s">
        <v>797</v>
      </c>
      <c r="C592" s="122"/>
      <c r="D592" s="173" t="s">
        <v>736</v>
      </c>
      <c r="E592" s="124" t="s">
        <v>37</v>
      </c>
      <c r="F592" s="125" t="s">
        <v>67</v>
      </c>
      <c r="G592" s="147" t="s">
        <v>354</v>
      </c>
      <c r="H592" s="147" t="s">
        <v>354</v>
      </c>
      <c r="I592" s="147" t="s">
        <v>790</v>
      </c>
      <c r="J592" s="122"/>
      <c r="K592" s="125">
        <v>0.0</v>
      </c>
      <c r="L592" s="61">
        <v>1.0</v>
      </c>
      <c r="M592" s="61" t="s">
        <v>354</v>
      </c>
      <c r="N592" s="174" t="s">
        <v>17</v>
      </c>
      <c r="O592" s="174" t="s">
        <v>17</v>
      </c>
      <c r="P592" s="174" t="s">
        <v>17</v>
      </c>
      <c r="Q592" s="174" t="s">
        <v>17</v>
      </c>
      <c r="R592" s="174" t="s">
        <v>17</v>
      </c>
      <c r="S592" s="174" t="s">
        <v>17</v>
      </c>
      <c r="T592" s="174" t="s">
        <v>17</v>
      </c>
      <c r="U592" s="174" t="s">
        <v>17</v>
      </c>
      <c r="V592" s="174" t="s">
        <v>17</v>
      </c>
      <c r="W592" s="18" t="s">
        <v>798</v>
      </c>
      <c r="X592" s="18" t="s">
        <v>799</v>
      </c>
      <c r="Y592" s="125"/>
      <c r="Z592" s="125"/>
      <c r="AA592" s="122"/>
      <c r="AB592" s="201" t="s">
        <v>485</v>
      </c>
      <c r="AC592" s="122"/>
      <c r="AD592" s="122"/>
      <c r="AE592" s="122"/>
      <c r="AF592" s="202">
        <v>0.0</v>
      </c>
      <c r="AG592" s="202" t="s">
        <v>354</v>
      </c>
      <c r="AH592" s="203"/>
      <c r="AI592" s="202" t="s">
        <v>354</v>
      </c>
      <c r="AJ592" s="203"/>
      <c r="AK592" s="203"/>
      <c r="AL592" s="203" t="s">
        <v>356</v>
      </c>
      <c r="AM592" s="203" t="s">
        <v>356</v>
      </c>
      <c r="AN592" s="203" t="s">
        <v>356</v>
      </c>
    </row>
    <row r="593">
      <c r="A593" s="121" t="s">
        <v>796</v>
      </c>
      <c r="B593" s="18" t="s">
        <v>797</v>
      </c>
      <c r="C593" s="122"/>
      <c r="D593" s="173" t="s">
        <v>736</v>
      </c>
      <c r="E593" s="124" t="s">
        <v>37</v>
      </c>
      <c r="F593" s="125" t="s">
        <v>67</v>
      </c>
      <c r="G593" s="147" t="s">
        <v>354</v>
      </c>
      <c r="H593" s="147" t="s">
        <v>354</v>
      </c>
      <c r="I593" s="147" t="s">
        <v>790</v>
      </c>
      <c r="J593" s="122"/>
      <c r="K593" s="125">
        <v>0.0</v>
      </c>
      <c r="L593" s="61">
        <v>1.0</v>
      </c>
      <c r="M593" s="61" t="s">
        <v>354</v>
      </c>
      <c r="N593" s="174" t="s">
        <v>17</v>
      </c>
      <c r="O593" s="174" t="s">
        <v>17</v>
      </c>
      <c r="P593" s="174" t="s">
        <v>17</v>
      </c>
      <c r="Q593" s="174" t="s">
        <v>17</v>
      </c>
      <c r="R593" s="174" t="s">
        <v>17</v>
      </c>
      <c r="S593" s="174" t="s">
        <v>17</v>
      </c>
      <c r="T593" s="174" t="s">
        <v>17</v>
      </c>
      <c r="U593" s="174" t="s">
        <v>17</v>
      </c>
      <c r="V593" s="174" t="s">
        <v>17</v>
      </c>
      <c r="W593" s="18" t="s">
        <v>798</v>
      </c>
      <c r="X593" s="18" t="s">
        <v>799</v>
      </c>
      <c r="Y593" s="18" t="s">
        <v>799</v>
      </c>
      <c r="Z593" s="125"/>
      <c r="AA593" s="122"/>
      <c r="AB593" s="201" t="s">
        <v>485</v>
      </c>
      <c r="AC593" s="122"/>
      <c r="AD593" s="122"/>
      <c r="AE593" s="122"/>
      <c r="AF593" s="202">
        <v>0.0</v>
      </c>
      <c r="AG593" s="202" t="s">
        <v>354</v>
      </c>
      <c r="AH593" s="203"/>
      <c r="AI593" s="202" t="s">
        <v>354</v>
      </c>
      <c r="AJ593" s="203"/>
      <c r="AK593" s="203"/>
      <c r="AL593" s="203" t="s">
        <v>356</v>
      </c>
      <c r="AM593" s="203" t="s">
        <v>356</v>
      </c>
      <c r="AN593" s="203" t="s">
        <v>356</v>
      </c>
    </row>
    <row r="594">
      <c r="A594" s="121" t="s">
        <v>796</v>
      </c>
      <c r="B594" s="18" t="s">
        <v>797</v>
      </c>
      <c r="C594" s="122"/>
      <c r="D594" s="173" t="s">
        <v>736</v>
      </c>
      <c r="E594" s="124" t="s">
        <v>37</v>
      </c>
      <c r="F594" s="125" t="s">
        <v>67</v>
      </c>
      <c r="G594" s="147" t="s">
        <v>354</v>
      </c>
      <c r="H594" s="147" t="s">
        <v>354</v>
      </c>
      <c r="I594" s="147" t="s">
        <v>790</v>
      </c>
      <c r="J594" s="122"/>
      <c r="K594" s="125">
        <v>0.0</v>
      </c>
      <c r="L594" s="61">
        <v>1.0</v>
      </c>
      <c r="M594" s="61" t="s">
        <v>354</v>
      </c>
      <c r="N594" s="174" t="s">
        <v>17</v>
      </c>
      <c r="O594" s="174" t="s">
        <v>17</v>
      </c>
      <c r="P594" s="174" t="s">
        <v>17</v>
      </c>
      <c r="Q594" s="174" t="s">
        <v>17</v>
      </c>
      <c r="R594" s="174" t="s">
        <v>17</v>
      </c>
      <c r="S594" s="174" t="s">
        <v>17</v>
      </c>
      <c r="T594" s="174" t="s">
        <v>17</v>
      </c>
      <c r="U594" s="174" t="s">
        <v>17</v>
      </c>
      <c r="V594" s="174" t="s">
        <v>17</v>
      </c>
      <c r="W594" s="18" t="s">
        <v>798</v>
      </c>
      <c r="X594" s="18" t="s">
        <v>799</v>
      </c>
      <c r="Y594" s="18" t="s">
        <v>799</v>
      </c>
      <c r="Z594" s="18" t="s">
        <v>800</v>
      </c>
      <c r="AA594" s="122"/>
      <c r="AB594" s="201" t="s">
        <v>485</v>
      </c>
      <c r="AC594" s="122"/>
      <c r="AD594" s="122"/>
      <c r="AE594" s="122"/>
      <c r="AF594" s="134">
        <v>34.8341334999339</v>
      </c>
      <c r="AG594" s="125" t="s">
        <v>356</v>
      </c>
      <c r="AH594" s="122"/>
      <c r="AI594" s="125" t="s">
        <v>356</v>
      </c>
      <c r="AJ594" s="147" t="s">
        <v>361</v>
      </c>
      <c r="AK594" s="204" t="s">
        <v>361</v>
      </c>
      <c r="AL594" s="103" t="s">
        <v>389</v>
      </c>
      <c r="AM594" s="103" t="s">
        <v>389</v>
      </c>
      <c r="AN594" s="115" t="s">
        <v>358</v>
      </c>
    </row>
    <row r="595">
      <c r="A595" s="121" t="s">
        <v>796</v>
      </c>
      <c r="B595" s="18" t="s">
        <v>797</v>
      </c>
      <c r="C595" s="122"/>
      <c r="D595" s="173" t="s">
        <v>736</v>
      </c>
      <c r="E595" s="124" t="s">
        <v>37</v>
      </c>
      <c r="F595" s="125" t="s">
        <v>67</v>
      </c>
      <c r="G595" s="147" t="s">
        <v>354</v>
      </c>
      <c r="H595" s="147" t="s">
        <v>354</v>
      </c>
      <c r="I595" s="147" t="s">
        <v>790</v>
      </c>
      <c r="J595" s="122"/>
      <c r="K595" s="125">
        <v>0.0</v>
      </c>
      <c r="L595" s="61">
        <v>1.0</v>
      </c>
      <c r="M595" s="61" t="s">
        <v>354</v>
      </c>
      <c r="N595" s="174" t="s">
        <v>17</v>
      </c>
      <c r="O595" s="174" t="s">
        <v>17</v>
      </c>
      <c r="P595" s="174" t="s">
        <v>17</v>
      </c>
      <c r="Q595" s="174" t="s">
        <v>17</v>
      </c>
      <c r="R595" s="174" t="s">
        <v>17</v>
      </c>
      <c r="S595" s="174" t="s">
        <v>17</v>
      </c>
      <c r="T595" s="174" t="s">
        <v>17</v>
      </c>
      <c r="U595" s="174" t="s">
        <v>17</v>
      </c>
      <c r="V595" s="174" t="s">
        <v>17</v>
      </c>
      <c r="W595" s="18" t="s">
        <v>798</v>
      </c>
      <c r="X595" s="18" t="s">
        <v>799</v>
      </c>
      <c r="Y595" s="18" t="s">
        <v>799</v>
      </c>
      <c r="Z595" s="18" t="s">
        <v>800</v>
      </c>
      <c r="AA595" s="18" t="s">
        <v>799</v>
      </c>
      <c r="AB595" s="201" t="s">
        <v>485</v>
      </c>
      <c r="AC595" s="122"/>
      <c r="AD595" s="122"/>
      <c r="AE595" s="122"/>
      <c r="AF595" s="202">
        <v>0.0</v>
      </c>
      <c r="AG595" s="202" t="s">
        <v>354</v>
      </c>
      <c r="AH595" s="203"/>
      <c r="AI595" s="202" t="s">
        <v>354</v>
      </c>
      <c r="AJ595" s="203"/>
      <c r="AK595" s="203"/>
      <c r="AL595" s="203" t="s">
        <v>356</v>
      </c>
      <c r="AM595" s="203" t="s">
        <v>356</v>
      </c>
      <c r="AN595" s="203" t="s">
        <v>356</v>
      </c>
    </row>
    <row r="596">
      <c r="A596" s="45" t="s">
        <v>228</v>
      </c>
      <c r="B596" s="18" t="s">
        <v>801</v>
      </c>
      <c r="C596" s="46" t="s">
        <v>227</v>
      </c>
      <c r="D596" s="47" t="s">
        <v>547</v>
      </c>
      <c r="E596" s="63" t="s">
        <v>37</v>
      </c>
      <c r="F596" s="46" t="s">
        <v>67</v>
      </c>
      <c r="G596" s="57" t="s">
        <v>354</v>
      </c>
      <c r="H596" s="57" t="s">
        <v>354</v>
      </c>
      <c r="I596" s="57" t="s">
        <v>354</v>
      </c>
      <c r="J596" s="46">
        <v>75.0</v>
      </c>
      <c r="K596" s="49">
        <v>0.0</v>
      </c>
      <c r="L596" s="57">
        <v>0.0</v>
      </c>
      <c r="M596" s="57" t="s">
        <v>354</v>
      </c>
      <c r="N596" s="101" t="s">
        <v>17</v>
      </c>
      <c r="O596" s="101" t="s">
        <v>17</v>
      </c>
      <c r="P596" s="24" t="s">
        <v>229</v>
      </c>
      <c r="Q596" s="46"/>
      <c r="R596" s="46"/>
      <c r="S596" s="46"/>
      <c r="T596" s="46"/>
      <c r="U596" s="46"/>
      <c r="V596" s="46"/>
      <c r="W596" s="46"/>
      <c r="X596" s="46"/>
      <c r="Y596" s="46"/>
      <c r="Z596" s="46"/>
      <c r="AA596" s="46"/>
      <c r="AB596" s="57" t="s">
        <v>354</v>
      </c>
      <c r="AC596" s="46">
        <v>36469.0</v>
      </c>
      <c r="AD596" s="46"/>
      <c r="AE596" s="46"/>
      <c r="AF596" s="55">
        <v>28.36</v>
      </c>
      <c r="AG596" s="49" t="s">
        <v>356</v>
      </c>
      <c r="AH596" s="46"/>
      <c r="AI596" s="49" t="s">
        <v>356</v>
      </c>
      <c r="AJ596" s="46"/>
      <c r="AK596" s="46"/>
      <c r="AL596" s="166" t="s">
        <v>802</v>
      </c>
      <c r="AM596" s="165" t="s">
        <v>389</v>
      </c>
      <c r="AN596" s="88" t="s">
        <v>358</v>
      </c>
    </row>
    <row r="597">
      <c r="A597" s="45" t="s">
        <v>228</v>
      </c>
      <c r="B597" s="18" t="s">
        <v>801</v>
      </c>
      <c r="C597" s="46" t="s">
        <v>227</v>
      </c>
      <c r="D597" s="47" t="s">
        <v>547</v>
      </c>
      <c r="E597" s="63" t="s">
        <v>37</v>
      </c>
      <c r="F597" s="46" t="s">
        <v>67</v>
      </c>
      <c r="G597" s="49">
        <v>112.0</v>
      </c>
      <c r="H597" s="49">
        <v>195.0</v>
      </c>
      <c r="I597" s="57" t="s">
        <v>354</v>
      </c>
      <c r="J597" s="46">
        <v>44.0</v>
      </c>
      <c r="K597" s="49">
        <v>0.0</v>
      </c>
      <c r="L597" s="49">
        <v>1.0</v>
      </c>
      <c r="M597" s="57" t="s">
        <v>354</v>
      </c>
      <c r="N597" s="101" t="s">
        <v>17</v>
      </c>
      <c r="O597" s="101" t="s">
        <v>17</v>
      </c>
      <c r="P597" s="24" t="s">
        <v>229</v>
      </c>
      <c r="Q597" s="24" t="s">
        <v>228</v>
      </c>
      <c r="R597" s="46"/>
      <c r="S597" s="46"/>
      <c r="T597" s="46"/>
      <c r="U597" s="46"/>
      <c r="V597" s="46"/>
      <c r="W597" s="46"/>
      <c r="X597" s="46"/>
      <c r="Y597" s="46"/>
      <c r="Z597" s="46"/>
      <c r="AA597" s="46"/>
      <c r="AB597" s="57" t="s">
        <v>354</v>
      </c>
      <c r="AC597" s="46">
        <v>36634.0</v>
      </c>
      <c r="AD597" s="46"/>
      <c r="AE597" s="46"/>
      <c r="AF597" s="55">
        <v>29.47</v>
      </c>
      <c r="AG597" s="56" t="s">
        <v>365</v>
      </c>
      <c r="AH597" s="49" t="s">
        <v>366</v>
      </c>
      <c r="AI597" s="26" t="s">
        <v>357</v>
      </c>
      <c r="AJ597" s="46"/>
      <c r="AK597" s="46"/>
      <c r="AL597" s="109" t="s">
        <v>420</v>
      </c>
      <c r="AM597" s="205" t="s">
        <v>389</v>
      </c>
      <c r="AN597" s="28" t="s">
        <v>358</v>
      </c>
    </row>
    <row r="598">
      <c r="A598" s="45" t="s">
        <v>228</v>
      </c>
      <c r="B598" s="18" t="s">
        <v>801</v>
      </c>
      <c r="C598" s="46" t="s">
        <v>227</v>
      </c>
      <c r="D598" s="47" t="s">
        <v>547</v>
      </c>
      <c r="E598" s="63" t="s">
        <v>37</v>
      </c>
      <c r="F598" s="46" t="s">
        <v>67</v>
      </c>
      <c r="G598" s="57" t="s">
        <v>354</v>
      </c>
      <c r="H598" s="49">
        <v>170.0</v>
      </c>
      <c r="I598" s="57" t="s">
        <v>354</v>
      </c>
      <c r="J598" s="46">
        <v>42.0</v>
      </c>
      <c r="K598" s="49">
        <v>0.0</v>
      </c>
      <c r="L598" s="57">
        <v>0.0</v>
      </c>
      <c r="M598" s="57" t="s">
        <v>354</v>
      </c>
      <c r="N598" s="101" t="s">
        <v>17</v>
      </c>
      <c r="O598" s="101" t="s">
        <v>17</v>
      </c>
      <c r="P598" s="24" t="s">
        <v>229</v>
      </c>
      <c r="Q598" s="24" t="s">
        <v>228</v>
      </c>
      <c r="R598" s="24" t="s">
        <v>228</v>
      </c>
      <c r="S598" s="46"/>
      <c r="T598" s="46"/>
      <c r="U598" s="46"/>
      <c r="V598" s="46"/>
      <c r="W598" s="46"/>
      <c r="X598" s="46"/>
      <c r="Y598" s="46"/>
      <c r="Z598" s="46"/>
      <c r="AA598" s="46"/>
      <c r="AB598" s="49" t="s">
        <v>803</v>
      </c>
      <c r="AC598" s="46"/>
      <c r="AD598" s="46"/>
      <c r="AE598" s="46"/>
      <c r="AF598" s="55">
        <v>30.71</v>
      </c>
      <c r="AG598" s="49" t="s">
        <v>356</v>
      </c>
      <c r="AH598" s="46"/>
      <c r="AI598" s="49" t="s">
        <v>356</v>
      </c>
      <c r="AJ598" s="46"/>
      <c r="AK598" s="46"/>
      <c r="AL598" s="49" t="s">
        <v>356</v>
      </c>
      <c r="AM598" s="49" t="s">
        <v>356</v>
      </c>
      <c r="AN598" s="49" t="s">
        <v>356</v>
      </c>
    </row>
    <row r="599">
      <c r="A599" s="45" t="s">
        <v>228</v>
      </c>
      <c r="B599" s="18" t="s">
        <v>801</v>
      </c>
      <c r="C599" s="46" t="s">
        <v>227</v>
      </c>
      <c r="D599" s="47" t="s">
        <v>547</v>
      </c>
      <c r="E599" s="63" t="s">
        <v>37</v>
      </c>
      <c r="F599" s="46" t="s">
        <v>67</v>
      </c>
      <c r="G599" s="57" t="s">
        <v>354</v>
      </c>
      <c r="H599" s="49">
        <v>220.0</v>
      </c>
      <c r="I599" s="57" t="s">
        <v>354</v>
      </c>
      <c r="J599" s="46">
        <v>40.0</v>
      </c>
      <c r="K599" s="49">
        <v>0.0</v>
      </c>
      <c r="L599" s="57">
        <v>0.0</v>
      </c>
      <c r="M599" s="57" t="s">
        <v>354</v>
      </c>
      <c r="N599" s="101" t="s">
        <v>17</v>
      </c>
      <c r="O599" s="101" t="s">
        <v>17</v>
      </c>
      <c r="P599" s="24" t="s">
        <v>229</v>
      </c>
      <c r="Q599" s="24" t="s">
        <v>228</v>
      </c>
      <c r="R599" s="24" t="s">
        <v>228</v>
      </c>
      <c r="S599" s="24" t="s">
        <v>228</v>
      </c>
      <c r="T599" s="46"/>
      <c r="U599" s="46"/>
      <c r="V599" s="46"/>
      <c r="W599" s="46"/>
      <c r="X599" s="46"/>
      <c r="Y599" s="46"/>
      <c r="Z599" s="46"/>
      <c r="AA599" s="46"/>
      <c r="AB599" s="49" t="s">
        <v>804</v>
      </c>
      <c r="AC599" s="46"/>
      <c r="AD599" s="46"/>
      <c r="AE599" s="46"/>
      <c r="AF599" s="63">
        <v>0.0</v>
      </c>
      <c r="AG599" s="63" t="s">
        <v>354</v>
      </c>
      <c r="AH599" s="63"/>
      <c r="AI599" s="63" t="s">
        <v>354</v>
      </c>
      <c r="AJ599" s="46"/>
      <c r="AK599" s="46"/>
      <c r="AL599" s="40" t="s">
        <v>357</v>
      </c>
      <c r="AM599" s="40" t="s">
        <v>357</v>
      </c>
      <c r="AN599" s="40" t="s">
        <v>357</v>
      </c>
    </row>
    <row r="600">
      <c r="A600" s="45" t="s">
        <v>228</v>
      </c>
      <c r="B600" s="18" t="s">
        <v>801</v>
      </c>
      <c r="C600" s="46" t="s">
        <v>227</v>
      </c>
      <c r="D600" s="47" t="s">
        <v>547</v>
      </c>
      <c r="E600" s="63" t="s">
        <v>37</v>
      </c>
      <c r="F600" s="46" t="s">
        <v>67</v>
      </c>
      <c r="G600" s="57" t="s">
        <v>354</v>
      </c>
      <c r="H600" s="49">
        <v>210.0</v>
      </c>
      <c r="I600" s="57" t="s">
        <v>354</v>
      </c>
      <c r="J600" s="46">
        <v>45.0</v>
      </c>
      <c r="K600" s="49">
        <v>0.0</v>
      </c>
      <c r="L600" s="49">
        <v>0.0</v>
      </c>
      <c r="M600" s="57" t="s">
        <v>354</v>
      </c>
      <c r="N600" s="101" t="s">
        <v>17</v>
      </c>
      <c r="O600" s="101" t="s">
        <v>17</v>
      </c>
      <c r="P600" s="24" t="s">
        <v>229</v>
      </c>
      <c r="Q600" s="24" t="s">
        <v>228</v>
      </c>
      <c r="R600" s="24" t="s">
        <v>228</v>
      </c>
      <c r="S600" s="24" t="s">
        <v>228</v>
      </c>
      <c r="T600" s="24" t="s">
        <v>228</v>
      </c>
      <c r="U600" s="46"/>
      <c r="V600" s="46"/>
      <c r="W600" s="46"/>
      <c r="X600" s="46"/>
      <c r="Y600" s="46"/>
      <c r="Z600" s="46"/>
      <c r="AA600" s="46"/>
      <c r="AB600" s="49" t="s">
        <v>805</v>
      </c>
      <c r="AC600" s="46"/>
      <c r="AD600" s="46"/>
      <c r="AE600" s="46"/>
      <c r="AF600" s="63">
        <v>0.0</v>
      </c>
      <c r="AG600" s="63" t="s">
        <v>354</v>
      </c>
      <c r="AH600" s="63"/>
      <c r="AI600" s="63" t="s">
        <v>354</v>
      </c>
      <c r="AJ600" s="46"/>
      <c r="AK600" s="46"/>
      <c r="AL600" s="40" t="s">
        <v>357</v>
      </c>
      <c r="AM600" s="40" t="s">
        <v>357</v>
      </c>
      <c r="AN600" s="40" t="s">
        <v>357</v>
      </c>
    </row>
    <row r="601">
      <c r="A601" s="45" t="s">
        <v>228</v>
      </c>
      <c r="B601" s="18" t="s">
        <v>801</v>
      </c>
      <c r="C601" s="46" t="s">
        <v>227</v>
      </c>
      <c r="D601" s="47" t="s">
        <v>547</v>
      </c>
      <c r="E601" s="63" t="s">
        <v>37</v>
      </c>
      <c r="F601" s="46" t="s">
        <v>67</v>
      </c>
      <c r="G601" s="57" t="s">
        <v>354</v>
      </c>
      <c r="H601" s="49">
        <v>220.0</v>
      </c>
      <c r="I601" s="57" t="s">
        <v>354</v>
      </c>
      <c r="J601" s="46">
        <v>43.0</v>
      </c>
      <c r="K601" s="49">
        <v>1.0</v>
      </c>
      <c r="L601" s="49">
        <v>0.0</v>
      </c>
      <c r="M601" s="57" t="s">
        <v>354</v>
      </c>
      <c r="N601" s="101" t="s">
        <v>17</v>
      </c>
      <c r="O601" s="101" t="s">
        <v>17</v>
      </c>
      <c r="P601" s="24" t="s">
        <v>229</v>
      </c>
      <c r="Q601" s="24" t="s">
        <v>228</v>
      </c>
      <c r="R601" s="24" t="s">
        <v>228</v>
      </c>
      <c r="S601" s="24" t="s">
        <v>228</v>
      </c>
      <c r="T601" s="24" t="s">
        <v>228</v>
      </c>
      <c r="U601" s="24" t="s">
        <v>228</v>
      </c>
      <c r="V601" s="46"/>
      <c r="W601" s="46"/>
      <c r="X601" s="46"/>
      <c r="Y601" s="46"/>
      <c r="Z601" s="46"/>
      <c r="AA601" s="46"/>
      <c r="AB601" s="49" t="s">
        <v>806</v>
      </c>
      <c r="AC601" s="46"/>
      <c r="AD601" s="46"/>
      <c r="AE601" s="46"/>
      <c r="AF601" s="63">
        <v>0.0</v>
      </c>
      <c r="AG601" s="63" t="s">
        <v>354</v>
      </c>
      <c r="AH601" s="63"/>
      <c r="AI601" s="63" t="s">
        <v>354</v>
      </c>
      <c r="AJ601" s="46"/>
      <c r="AK601" s="46"/>
      <c r="AL601" s="40" t="s">
        <v>357</v>
      </c>
      <c r="AM601" s="40" t="s">
        <v>357</v>
      </c>
      <c r="AN601" s="40" t="s">
        <v>357</v>
      </c>
    </row>
    <row r="602">
      <c r="A602" s="45" t="s">
        <v>228</v>
      </c>
      <c r="B602" s="18" t="s">
        <v>801</v>
      </c>
      <c r="C602" s="46" t="s">
        <v>227</v>
      </c>
      <c r="D602" s="47" t="s">
        <v>547</v>
      </c>
      <c r="E602" s="63" t="s">
        <v>37</v>
      </c>
      <c r="F602" s="46" t="s">
        <v>67</v>
      </c>
      <c r="G602" s="57" t="s">
        <v>354</v>
      </c>
      <c r="H602" s="49">
        <v>265.0</v>
      </c>
      <c r="I602" s="57" t="s">
        <v>354</v>
      </c>
      <c r="J602" s="46">
        <v>43.0</v>
      </c>
      <c r="K602" s="49">
        <v>0.0</v>
      </c>
      <c r="L602" s="49">
        <v>0.0</v>
      </c>
      <c r="M602" s="57" t="s">
        <v>354</v>
      </c>
      <c r="N602" s="101" t="s">
        <v>17</v>
      </c>
      <c r="O602" s="101" t="s">
        <v>17</v>
      </c>
      <c r="P602" s="24" t="s">
        <v>229</v>
      </c>
      <c r="Q602" s="24" t="s">
        <v>228</v>
      </c>
      <c r="R602" s="24" t="s">
        <v>228</v>
      </c>
      <c r="S602" s="24" t="s">
        <v>228</v>
      </c>
      <c r="T602" s="24" t="s">
        <v>228</v>
      </c>
      <c r="U602" s="24" t="s">
        <v>228</v>
      </c>
      <c r="V602" s="24" t="s">
        <v>228</v>
      </c>
      <c r="W602" s="46"/>
      <c r="X602" s="46"/>
      <c r="Y602" s="46"/>
      <c r="Z602" s="46"/>
      <c r="AA602" s="46"/>
      <c r="AB602" s="57" t="s">
        <v>354</v>
      </c>
      <c r="AC602" s="46"/>
      <c r="AD602" s="46"/>
      <c r="AE602" s="46"/>
      <c r="AF602" s="206">
        <v>35.22</v>
      </c>
      <c r="AG602" s="63" t="s">
        <v>354</v>
      </c>
      <c r="AH602" s="46"/>
      <c r="AI602" s="63" t="s">
        <v>354</v>
      </c>
      <c r="AJ602" s="46"/>
      <c r="AK602" s="46"/>
      <c r="AL602" s="49" t="s">
        <v>356</v>
      </c>
      <c r="AM602" s="49" t="s">
        <v>356</v>
      </c>
      <c r="AN602" s="49" t="s">
        <v>356</v>
      </c>
    </row>
    <row r="603">
      <c r="A603" s="45" t="s">
        <v>228</v>
      </c>
      <c r="B603" s="18" t="s">
        <v>801</v>
      </c>
      <c r="C603" s="46" t="s">
        <v>227</v>
      </c>
      <c r="D603" s="47" t="s">
        <v>547</v>
      </c>
      <c r="E603" s="63" t="s">
        <v>7</v>
      </c>
      <c r="F603" s="46" t="s">
        <v>67</v>
      </c>
      <c r="G603" s="57" t="s">
        <v>354</v>
      </c>
      <c r="H603" s="49">
        <v>200.0</v>
      </c>
      <c r="I603" s="57" t="s">
        <v>354</v>
      </c>
      <c r="J603" s="46">
        <v>43.0</v>
      </c>
      <c r="K603" s="49">
        <v>0.0</v>
      </c>
      <c r="L603" s="49">
        <v>0.0</v>
      </c>
      <c r="M603" s="57" t="s">
        <v>354</v>
      </c>
      <c r="N603" s="101" t="s">
        <v>17</v>
      </c>
      <c r="O603" s="101" t="s">
        <v>17</v>
      </c>
      <c r="P603" s="24" t="s">
        <v>229</v>
      </c>
      <c r="Q603" s="24" t="s">
        <v>228</v>
      </c>
      <c r="R603" s="24" t="s">
        <v>228</v>
      </c>
      <c r="S603" s="24" t="s">
        <v>228</v>
      </c>
      <c r="T603" s="24" t="s">
        <v>228</v>
      </c>
      <c r="U603" s="24" t="s">
        <v>228</v>
      </c>
      <c r="V603" s="24" t="s">
        <v>228</v>
      </c>
      <c r="W603" s="18" t="s">
        <v>807</v>
      </c>
      <c r="X603" s="46"/>
      <c r="Y603" s="46"/>
      <c r="Z603" s="46"/>
      <c r="AA603" s="46"/>
      <c r="AB603" s="184" t="s">
        <v>371</v>
      </c>
      <c r="AC603" s="46"/>
      <c r="AD603" s="46"/>
      <c r="AE603" s="46"/>
      <c r="AF603" s="154">
        <v>36.83752863993755</v>
      </c>
      <c r="AG603" s="63" t="s">
        <v>354</v>
      </c>
      <c r="AH603" s="46"/>
      <c r="AI603" s="63" t="s">
        <v>354</v>
      </c>
      <c r="AJ603" s="46"/>
      <c r="AK603" s="46"/>
      <c r="AL603" s="205" t="s">
        <v>389</v>
      </c>
      <c r="AM603" s="46" t="s">
        <v>356</v>
      </c>
      <c r="AN603" s="46" t="s">
        <v>356</v>
      </c>
    </row>
    <row r="604">
      <c r="A604" s="45" t="s">
        <v>228</v>
      </c>
      <c r="B604" s="18" t="s">
        <v>801</v>
      </c>
      <c r="C604" s="46" t="s">
        <v>227</v>
      </c>
      <c r="D604" s="47" t="s">
        <v>547</v>
      </c>
      <c r="E604" s="63" t="s">
        <v>7</v>
      </c>
      <c r="F604" s="46" t="s">
        <v>67</v>
      </c>
      <c r="G604" s="57" t="s">
        <v>354</v>
      </c>
      <c r="H604" s="57" t="s">
        <v>354</v>
      </c>
      <c r="I604" s="57" t="s">
        <v>354</v>
      </c>
      <c r="J604" s="46">
        <v>43.0</v>
      </c>
      <c r="K604" s="49">
        <v>0.0</v>
      </c>
      <c r="L604" s="41">
        <v>0.0</v>
      </c>
      <c r="M604" s="41" t="s">
        <v>354</v>
      </c>
      <c r="N604" s="101" t="s">
        <v>17</v>
      </c>
      <c r="O604" s="101" t="s">
        <v>17</v>
      </c>
      <c r="P604" s="24" t="s">
        <v>229</v>
      </c>
      <c r="Q604" s="24" t="s">
        <v>228</v>
      </c>
      <c r="R604" s="24" t="s">
        <v>228</v>
      </c>
      <c r="S604" s="24" t="s">
        <v>228</v>
      </c>
      <c r="T604" s="24" t="s">
        <v>228</v>
      </c>
      <c r="U604" s="24" t="s">
        <v>228</v>
      </c>
      <c r="V604" s="24" t="s">
        <v>228</v>
      </c>
      <c r="W604" s="18" t="s">
        <v>807</v>
      </c>
      <c r="X604" s="24" t="s">
        <v>228</v>
      </c>
      <c r="Y604" s="46"/>
      <c r="Z604" s="46"/>
      <c r="AA604" s="46"/>
      <c r="AB604" s="184" t="s">
        <v>371</v>
      </c>
      <c r="AC604" s="46"/>
      <c r="AD604" s="46"/>
      <c r="AE604" s="46"/>
      <c r="AF604" s="63">
        <v>0.0</v>
      </c>
      <c r="AG604" s="63" t="s">
        <v>354</v>
      </c>
      <c r="AH604" s="63"/>
      <c r="AI604" s="63" t="s">
        <v>354</v>
      </c>
      <c r="AJ604" s="49"/>
      <c r="AK604" s="49"/>
      <c r="AL604" s="74" t="s">
        <v>407</v>
      </c>
      <c r="AM604" s="80" t="s">
        <v>356</v>
      </c>
      <c r="AN604" s="91" t="s">
        <v>413</v>
      </c>
    </row>
    <row r="605">
      <c r="A605" s="45" t="s">
        <v>228</v>
      </c>
      <c r="B605" s="18" t="s">
        <v>801</v>
      </c>
      <c r="C605" s="46" t="s">
        <v>227</v>
      </c>
      <c r="D605" s="47" t="s">
        <v>547</v>
      </c>
      <c r="E605" s="63" t="s">
        <v>7</v>
      </c>
      <c r="F605" s="46" t="s">
        <v>67</v>
      </c>
      <c r="G605" s="57" t="s">
        <v>354</v>
      </c>
      <c r="H605" s="57" t="s">
        <v>354</v>
      </c>
      <c r="I605" s="57" t="s">
        <v>354</v>
      </c>
      <c r="J605" s="46">
        <v>43.0</v>
      </c>
      <c r="K605" s="49">
        <v>1.0</v>
      </c>
      <c r="L605" s="41">
        <v>0.0</v>
      </c>
      <c r="M605" s="41" t="s">
        <v>354</v>
      </c>
      <c r="N605" s="101" t="s">
        <v>17</v>
      </c>
      <c r="O605" s="101" t="s">
        <v>17</v>
      </c>
      <c r="P605" s="24" t="s">
        <v>229</v>
      </c>
      <c r="Q605" s="24" t="s">
        <v>228</v>
      </c>
      <c r="R605" s="24" t="s">
        <v>228</v>
      </c>
      <c r="S605" s="24" t="s">
        <v>228</v>
      </c>
      <c r="T605" s="24" t="s">
        <v>228</v>
      </c>
      <c r="U605" s="24" t="s">
        <v>228</v>
      </c>
      <c r="V605" s="24" t="s">
        <v>228</v>
      </c>
      <c r="W605" s="18" t="s">
        <v>807</v>
      </c>
      <c r="X605" s="24" t="s">
        <v>228</v>
      </c>
      <c r="Y605" s="130" t="s">
        <v>228</v>
      </c>
      <c r="Z605" s="46"/>
      <c r="AA605" s="46"/>
      <c r="AB605" s="184" t="s">
        <v>371</v>
      </c>
      <c r="AC605" s="46"/>
      <c r="AD605" s="46"/>
      <c r="AE605" s="46"/>
      <c r="AF605" s="207">
        <v>40.6738772285189</v>
      </c>
      <c r="AG605" s="63" t="s">
        <v>354</v>
      </c>
      <c r="AH605" s="63"/>
      <c r="AI605" s="63" t="s">
        <v>354</v>
      </c>
      <c r="AJ605" s="49"/>
      <c r="AK605" s="49"/>
      <c r="AL605" s="80" t="s">
        <v>356</v>
      </c>
      <c r="AM605" s="119" t="s">
        <v>413</v>
      </c>
      <c r="AN605" s="91" t="s">
        <v>413</v>
      </c>
    </row>
    <row r="606">
      <c r="A606" s="45" t="s">
        <v>228</v>
      </c>
      <c r="B606" s="18" t="s">
        <v>801</v>
      </c>
      <c r="C606" s="46" t="s">
        <v>227</v>
      </c>
      <c r="D606" s="47" t="s">
        <v>547</v>
      </c>
      <c r="E606" s="63" t="s">
        <v>7</v>
      </c>
      <c r="F606" s="46" t="s">
        <v>67</v>
      </c>
      <c r="G606" s="57" t="s">
        <v>354</v>
      </c>
      <c r="H606" s="57" t="s">
        <v>354</v>
      </c>
      <c r="I606" s="57" t="s">
        <v>354</v>
      </c>
      <c r="J606" s="46">
        <v>43.0</v>
      </c>
      <c r="K606" s="49">
        <v>1.0</v>
      </c>
      <c r="L606" s="78">
        <v>1.0</v>
      </c>
      <c r="M606" s="78" t="s">
        <v>354</v>
      </c>
      <c r="N606" s="101" t="s">
        <v>17</v>
      </c>
      <c r="O606" s="101" t="s">
        <v>17</v>
      </c>
      <c r="P606" s="24" t="s">
        <v>229</v>
      </c>
      <c r="Q606" s="24" t="s">
        <v>228</v>
      </c>
      <c r="R606" s="24" t="s">
        <v>228</v>
      </c>
      <c r="S606" s="24" t="s">
        <v>228</v>
      </c>
      <c r="T606" s="24" t="s">
        <v>228</v>
      </c>
      <c r="U606" s="24" t="s">
        <v>228</v>
      </c>
      <c r="V606" s="24" t="s">
        <v>228</v>
      </c>
      <c r="W606" s="18" t="s">
        <v>807</v>
      </c>
      <c r="X606" s="24" t="s">
        <v>228</v>
      </c>
      <c r="Y606" s="130" t="s">
        <v>228</v>
      </c>
      <c r="Z606" s="24" t="s">
        <v>228</v>
      </c>
      <c r="AA606" s="46"/>
      <c r="AB606" s="78" t="s">
        <v>571</v>
      </c>
      <c r="AC606" s="46"/>
      <c r="AD606" s="46"/>
      <c r="AE606" s="46"/>
      <c r="AF606" s="49">
        <v>0.0</v>
      </c>
      <c r="AG606" s="49" t="s">
        <v>356</v>
      </c>
      <c r="AH606" s="46"/>
      <c r="AI606" s="49" t="s">
        <v>356</v>
      </c>
      <c r="AJ606" s="49" t="s">
        <v>356</v>
      </c>
      <c r="AK606" s="49" t="s">
        <v>356</v>
      </c>
      <c r="AL606" s="54" t="s">
        <v>356</v>
      </c>
      <c r="AM606" s="92" t="s">
        <v>361</v>
      </c>
      <c r="AN606" s="54" t="s">
        <v>356</v>
      </c>
    </row>
    <row r="607">
      <c r="A607" s="45" t="s">
        <v>228</v>
      </c>
      <c r="B607" s="18" t="s">
        <v>801</v>
      </c>
      <c r="C607" s="46" t="s">
        <v>227</v>
      </c>
      <c r="D607" s="47" t="s">
        <v>547</v>
      </c>
      <c r="E607" s="63" t="s">
        <v>7</v>
      </c>
      <c r="F607" s="46" t="s">
        <v>67</v>
      </c>
      <c r="G607" s="57" t="s">
        <v>354</v>
      </c>
      <c r="H607" s="57" t="s">
        <v>354</v>
      </c>
      <c r="I607" s="57" t="s">
        <v>354</v>
      </c>
      <c r="J607" s="46">
        <v>43.0</v>
      </c>
      <c r="K607" s="49">
        <v>1.0</v>
      </c>
      <c r="L607" s="41">
        <v>0.0</v>
      </c>
      <c r="M607" s="41" t="s">
        <v>354</v>
      </c>
      <c r="N607" s="101" t="s">
        <v>17</v>
      </c>
      <c r="O607" s="101" t="s">
        <v>17</v>
      </c>
      <c r="P607" s="24" t="s">
        <v>229</v>
      </c>
      <c r="Q607" s="24" t="s">
        <v>228</v>
      </c>
      <c r="R607" s="24" t="s">
        <v>228</v>
      </c>
      <c r="S607" s="24" t="s">
        <v>228</v>
      </c>
      <c r="T607" s="24" t="s">
        <v>228</v>
      </c>
      <c r="U607" s="24" t="s">
        <v>228</v>
      </c>
      <c r="V607" s="24" t="s">
        <v>228</v>
      </c>
      <c r="W607" s="18" t="s">
        <v>807</v>
      </c>
      <c r="X607" s="24" t="s">
        <v>228</v>
      </c>
      <c r="Y607" s="130" t="s">
        <v>228</v>
      </c>
      <c r="Z607" s="24" t="s">
        <v>228</v>
      </c>
      <c r="AA607" s="24" t="s">
        <v>228</v>
      </c>
      <c r="AB607" s="184" t="s">
        <v>371</v>
      </c>
      <c r="AC607" s="46"/>
      <c r="AD607" s="46"/>
      <c r="AE607" s="46"/>
      <c r="AF607" s="49">
        <v>0.0</v>
      </c>
      <c r="AG607" s="49"/>
      <c r="AH607" s="46"/>
      <c r="AI607" s="63" t="s">
        <v>354</v>
      </c>
      <c r="AJ607" s="49"/>
      <c r="AK607" s="49"/>
      <c r="AL607" s="132" t="s">
        <v>420</v>
      </c>
      <c r="AM607" s="92" t="s">
        <v>361</v>
      </c>
      <c r="AN607" s="133" t="s">
        <v>420</v>
      </c>
    </row>
    <row r="608">
      <c r="A608" s="17" t="s">
        <v>231</v>
      </c>
      <c r="B608" s="18" t="s">
        <v>808</v>
      </c>
      <c r="C608" s="19" t="s">
        <v>230</v>
      </c>
      <c r="D608" s="20" t="s">
        <v>547</v>
      </c>
      <c r="E608" s="21" t="s">
        <v>7</v>
      </c>
      <c r="F608" s="19" t="s">
        <v>67</v>
      </c>
      <c r="G608" s="22" t="s">
        <v>354</v>
      </c>
      <c r="H608" s="23">
        <v>320.0</v>
      </c>
      <c r="I608" s="23" t="s">
        <v>809</v>
      </c>
      <c r="J608" s="19">
        <v>76.0</v>
      </c>
      <c r="K608" s="23">
        <v>1.0</v>
      </c>
      <c r="L608" s="22">
        <v>0.0</v>
      </c>
      <c r="M608" s="22" t="s">
        <v>354</v>
      </c>
      <c r="N608" s="101" t="s">
        <v>17</v>
      </c>
      <c r="O608" s="101" t="s">
        <v>17</v>
      </c>
      <c r="P608" s="24" t="s">
        <v>232</v>
      </c>
      <c r="Q608" s="19"/>
      <c r="R608" s="19"/>
      <c r="S608" s="19"/>
      <c r="T608" s="19"/>
      <c r="U608" s="19"/>
      <c r="V608" s="19"/>
      <c r="W608" s="19"/>
      <c r="X608" s="19"/>
      <c r="Y608" s="19"/>
      <c r="Z608" s="19"/>
      <c r="AA608" s="19"/>
      <c r="AB608" s="22" t="s">
        <v>354</v>
      </c>
      <c r="AC608" s="19">
        <v>36470.0</v>
      </c>
      <c r="AD608" s="19" t="s">
        <v>810</v>
      </c>
      <c r="AE608" s="23" t="s">
        <v>811</v>
      </c>
      <c r="AF608" s="66">
        <v>30.71</v>
      </c>
      <c r="AG608" s="36" t="s">
        <v>365</v>
      </c>
      <c r="AH608" s="23" t="s">
        <v>389</v>
      </c>
      <c r="AI608" s="65" t="s">
        <v>387</v>
      </c>
      <c r="AJ608" s="19"/>
      <c r="AK608" s="19"/>
      <c r="AL608" s="32" t="s">
        <v>361</v>
      </c>
      <c r="AM608" s="65" t="s">
        <v>387</v>
      </c>
      <c r="AN608" s="31" t="s">
        <v>356</v>
      </c>
    </row>
    <row r="609">
      <c r="A609" s="17" t="s">
        <v>231</v>
      </c>
      <c r="B609" s="18" t="s">
        <v>808</v>
      </c>
      <c r="C609" s="19" t="s">
        <v>230</v>
      </c>
      <c r="D609" s="20" t="s">
        <v>547</v>
      </c>
      <c r="E609" s="21" t="s">
        <v>7</v>
      </c>
      <c r="F609" s="19" t="s">
        <v>67</v>
      </c>
      <c r="G609" s="22" t="s">
        <v>354</v>
      </c>
      <c r="H609" s="23">
        <v>315.0</v>
      </c>
      <c r="I609" s="22" t="s">
        <v>809</v>
      </c>
      <c r="J609" s="19">
        <v>45.0</v>
      </c>
      <c r="K609" s="23">
        <v>1.0</v>
      </c>
      <c r="L609" s="23">
        <v>0.0</v>
      </c>
      <c r="M609" s="22" t="s">
        <v>354</v>
      </c>
      <c r="N609" s="101" t="s">
        <v>17</v>
      </c>
      <c r="O609" s="101" t="s">
        <v>17</v>
      </c>
      <c r="P609" s="24" t="s">
        <v>232</v>
      </c>
      <c r="Q609" s="24" t="s">
        <v>231</v>
      </c>
      <c r="R609" s="19"/>
      <c r="S609" s="19"/>
      <c r="T609" s="19"/>
      <c r="U609" s="19"/>
      <c r="V609" s="19"/>
      <c r="W609" s="19"/>
      <c r="X609" s="19"/>
      <c r="Y609" s="19"/>
      <c r="Z609" s="19"/>
      <c r="AA609" s="19"/>
      <c r="AB609" s="23" t="s">
        <v>371</v>
      </c>
      <c r="AC609" s="19">
        <v>36635.0</v>
      </c>
      <c r="AD609" s="19"/>
      <c r="AE609" s="19"/>
      <c r="AF609" s="66">
        <v>30.68</v>
      </c>
      <c r="AG609" s="36" t="s">
        <v>365</v>
      </c>
      <c r="AH609" s="23" t="s">
        <v>389</v>
      </c>
      <c r="AI609" s="65" t="s">
        <v>387</v>
      </c>
      <c r="AJ609" s="19"/>
      <c r="AK609" s="19"/>
      <c r="AL609" s="32" t="s">
        <v>361</v>
      </c>
      <c r="AM609" s="65" t="s">
        <v>387</v>
      </c>
      <c r="AN609" s="116" t="s">
        <v>361</v>
      </c>
    </row>
    <row r="610">
      <c r="A610" s="17" t="s">
        <v>231</v>
      </c>
      <c r="B610" s="18" t="s">
        <v>808</v>
      </c>
      <c r="C610" s="19" t="s">
        <v>230</v>
      </c>
      <c r="D610" s="20" t="s">
        <v>547</v>
      </c>
      <c r="E610" s="21" t="s">
        <v>7</v>
      </c>
      <c r="F610" s="19" t="s">
        <v>67</v>
      </c>
      <c r="G610" s="22" t="s">
        <v>354</v>
      </c>
      <c r="H610" s="23">
        <v>250.0</v>
      </c>
      <c r="I610" s="22" t="s">
        <v>809</v>
      </c>
      <c r="J610" s="19">
        <v>43.0</v>
      </c>
      <c r="K610" s="23">
        <v>0.0</v>
      </c>
      <c r="L610" s="22">
        <v>0.0</v>
      </c>
      <c r="M610" s="22" t="s">
        <v>354</v>
      </c>
      <c r="N610" s="101" t="s">
        <v>17</v>
      </c>
      <c r="O610" s="101" t="s">
        <v>17</v>
      </c>
      <c r="P610" s="24" t="s">
        <v>232</v>
      </c>
      <c r="Q610" s="24" t="s">
        <v>231</v>
      </c>
      <c r="R610" s="24" t="s">
        <v>231</v>
      </c>
      <c r="S610" s="19"/>
      <c r="T610" s="19"/>
      <c r="U610" s="19"/>
      <c r="V610" s="19"/>
      <c r="W610" s="19"/>
      <c r="X610" s="19"/>
      <c r="Y610" s="19"/>
      <c r="Z610" s="19"/>
      <c r="AA610" s="19"/>
      <c r="AB610" s="23" t="s">
        <v>812</v>
      </c>
      <c r="AC610" s="19"/>
      <c r="AD610" s="19"/>
      <c r="AE610" s="19"/>
      <c r="AF610" s="30">
        <v>42.21</v>
      </c>
      <c r="AG610" s="36" t="s">
        <v>365</v>
      </c>
      <c r="AH610" s="23" t="s">
        <v>389</v>
      </c>
      <c r="AI610" s="65" t="s">
        <v>387</v>
      </c>
      <c r="AJ610" s="19"/>
      <c r="AK610" s="19"/>
      <c r="AL610" s="102" t="s">
        <v>357</v>
      </c>
      <c r="AM610" s="102" t="s">
        <v>357</v>
      </c>
      <c r="AN610" s="102" t="s">
        <v>357</v>
      </c>
    </row>
    <row r="611">
      <c r="A611" s="17" t="s">
        <v>231</v>
      </c>
      <c r="B611" s="18" t="s">
        <v>808</v>
      </c>
      <c r="C611" s="19" t="s">
        <v>230</v>
      </c>
      <c r="D611" s="20" t="s">
        <v>547</v>
      </c>
      <c r="E611" s="21" t="s">
        <v>7</v>
      </c>
      <c r="F611" s="19" t="s">
        <v>67</v>
      </c>
      <c r="G611" s="22" t="s">
        <v>354</v>
      </c>
      <c r="H611" s="23">
        <v>255.0</v>
      </c>
      <c r="I611" s="22" t="s">
        <v>809</v>
      </c>
      <c r="J611" s="19">
        <v>41.0</v>
      </c>
      <c r="K611" s="23">
        <v>0.0</v>
      </c>
      <c r="L611" s="22">
        <v>0.0</v>
      </c>
      <c r="M611" s="22" t="s">
        <v>354</v>
      </c>
      <c r="N611" s="101" t="s">
        <v>17</v>
      </c>
      <c r="O611" s="101" t="s">
        <v>17</v>
      </c>
      <c r="P611" s="24" t="s">
        <v>232</v>
      </c>
      <c r="Q611" s="24" t="s">
        <v>231</v>
      </c>
      <c r="R611" s="24" t="s">
        <v>231</v>
      </c>
      <c r="S611" s="24" t="s">
        <v>231</v>
      </c>
      <c r="T611" s="19"/>
      <c r="U611" s="19"/>
      <c r="V611" s="19"/>
      <c r="W611" s="19"/>
      <c r="X611" s="19"/>
      <c r="Y611" s="19"/>
      <c r="Z611" s="19"/>
      <c r="AA611" s="19"/>
      <c r="AB611" s="22" t="s">
        <v>354</v>
      </c>
      <c r="AC611" s="19"/>
      <c r="AD611" s="19"/>
      <c r="AE611" s="19"/>
      <c r="AF611" s="139">
        <v>0.0</v>
      </c>
      <c r="AG611" s="33" t="s">
        <v>354</v>
      </c>
      <c r="AH611" s="33"/>
      <c r="AI611" s="33" t="s">
        <v>354</v>
      </c>
      <c r="AJ611" s="19"/>
      <c r="AK611" s="19"/>
      <c r="AL611" s="82" t="s">
        <v>407</v>
      </c>
      <c r="AM611" s="65" t="s">
        <v>387</v>
      </c>
      <c r="AN611" s="59" t="s">
        <v>357</v>
      </c>
    </row>
    <row r="612">
      <c r="A612" s="17" t="s">
        <v>231</v>
      </c>
      <c r="B612" s="18" t="s">
        <v>808</v>
      </c>
      <c r="C612" s="19" t="s">
        <v>230</v>
      </c>
      <c r="D612" s="20" t="s">
        <v>547</v>
      </c>
      <c r="E612" s="21" t="s">
        <v>7</v>
      </c>
      <c r="F612" s="19" t="s">
        <v>67</v>
      </c>
      <c r="G612" s="22" t="s">
        <v>354</v>
      </c>
      <c r="H612" s="23">
        <v>255.0</v>
      </c>
      <c r="I612" s="22" t="s">
        <v>809</v>
      </c>
      <c r="J612" s="19">
        <v>46.0</v>
      </c>
      <c r="K612" s="23">
        <v>0.0</v>
      </c>
      <c r="L612" s="22">
        <v>0.0</v>
      </c>
      <c r="M612" s="22" t="s">
        <v>354</v>
      </c>
      <c r="N612" s="101" t="s">
        <v>17</v>
      </c>
      <c r="O612" s="101" t="s">
        <v>17</v>
      </c>
      <c r="P612" s="24" t="s">
        <v>232</v>
      </c>
      <c r="Q612" s="24" t="s">
        <v>231</v>
      </c>
      <c r="R612" s="24" t="s">
        <v>231</v>
      </c>
      <c r="S612" s="24" t="s">
        <v>231</v>
      </c>
      <c r="T612" s="24" t="s">
        <v>231</v>
      </c>
      <c r="U612" s="19"/>
      <c r="V612" s="19"/>
      <c r="W612" s="19"/>
      <c r="X612" s="19"/>
      <c r="Y612" s="19"/>
      <c r="Z612" s="19"/>
      <c r="AA612" s="19"/>
      <c r="AB612" s="22" t="s">
        <v>354</v>
      </c>
      <c r="AC612" s="19"/>
      <c r="AD612" s="19"/>
      <c r="AE612" s="19"/>
      <c r="AF612" s="139">
        <v>0.0</v>
      </c>
      <c r="AG612" s="33" t="s">
        <v>354</v>
      </c>
      <c r="AH612" s="33"/>
      <c r="AI612" s="33" t="s">
        <v>354</v>
      </c>
      <c r="AJ612" s="19"/>
      <c r="AK612" s="19"/>
      <c r="AL612" s="82" t="s">
        <v>361</v>
      </c>
      <c r="AM612" s="89" t="s">
        <v>356</v>
      </c>
      <c r="AN612" s="89" t="s">
        <v>356</v>
      </c>
    </row>
    <row r="613">
      <c r="A613" s="17" t="s">
        <v>231</v>
      </c>
      <c r="B613" s="18" t="s">
        <v>808</v>
      </c>
      <c r="C613" s="19" t="s">
        <v>230</v>
      </c>
      <c r="D613" s="20" t="s">
        <v>547</v>
      </c>
      <c r="E613" s="21" t="s">
        <v>7</v>
      </c>
      <c r="F613" s="19" t="s">
        <v>67</v>
      </c>
      <c r="G613" s="22" t="s">
        <v>354</v>
      </c>
      <c r="H613" s="23">
        <v>265.0</v>
      </c>
      <c r="I613" s="22" t="s">
        <v>809</v>
      </c>
      <c r="J613" s="19">
        <v>44.0</v>
      </c>
      <c r="K613" s="23">
        <v>1.0</v>
      </c>
      <c r="L613" s="22">
        <v>0.0</v>
      </c>
      <c r="M613" s="22" t="s">
        <v>354</v>
      </c>
      <c r="N613" s="101" t="s">
        <v>17</v>
      </c>
      <c r="O613" s="101" t="s">
        <v>17</v>
      </c>
      <c r="P613" s="24" t="s">
        <v>232</v>
      </c>
      <c r="Q613" s="24" t="s">
        <v>231</v>
      </c>
      <c r="R613" s="24" t="s">
        <v>231</v>
      </c>
      <c r="S613" s="24" t="s">
        <v>231</v>
      </c>
      <c r="T613" s="24" t="s">
        <v>231</v>
      </c>
      <c r="U613" s="24" t="s">
        <v>231</v>
      </c>
      <c r="V613" s="19"/>
      <c r="W613" s="19"/>
      <c r="X613" s="19"/>
      <c r="Y613" s="19"/>
      <c r="Z613" s="19"/>
      <c r="AA613" s="19"/>
      <c r="AB613" s="22" t="s">
        <v>354</v>
      </c>
      <c r="AC613" s="19"/>
      <c r="AD613" s="19"/>
      <c r="AE613" s="19"/>
      <c r="AF613" s="139">
        <v>0.0</v>
      </c>
      <c r="AG613" s="33" t="s">
        <v>354</v>
      </c>
      <c r="AH613" s="33"/>
      <c r="AI613" s="33" t="s">
        <v>354</v>
      </c>
      <c r="AJ613" s="19"/>
      <c r="AK613" s="19"/>
      <c r="AL613" s="89" t="s">
        <v>356</v>
      </c>
      <c r="AM613" s="89" t="s">
        <v>356</v>
      </c>
      <c r="AN613" s="89" t="s">
        <v>356</v>
      </c>
    </row>
    <row r="614">
      <c r="A614" s="17" t="s">
        <v>231</v>
      </c>
      <c r="B614" s="18" t="s">
        <v>808</v>
      </c>
      <c r="C614" s="19" t="s">
        <v>230</v>
      </c>
      <c r="D614" s="20" t="s">
        <v>547</v>
      </c>
      <c r="E614" s="21" t="s">
        <v>7</v>
      </c>
      <c r="F614" s="19" t="s">
        <v>67</v>
      </c>
      <c r="G614" s="22" t="s">
        <v>354</v>
      </c>
      <c r="H614" s="23">
        <v>340.0</v>
      </c>
      <c r="I614" s="22" t="s">
        <v>809</v>
      </c>
      <c r="J614" s="19">
        <v>44.0</v>
      </c>
      <c r="K614" s="23">
        <v>1.0</v>
      </c>
      <c r="L614" s="22">
        <v>0.0</v>
      </c>
      <c r="M614" s="22" t="s">
        <v>354</v>
      </c>
      <c r="N614" s="101" t="s">
        <v>17</v>
      </c>
      <c r="O614" s="101" t="s">
        <v>17</v>
      </c>
      <c r="P614" s="24" t="s">
        <v>232</v>
      </c>
      <c r="Q614" s="24" t="s">
        <v>231</v>
      </c>
      <c r="R614" s="24" t="s">
        <v>231</v>
      </c>
      <c r="S614" s="24" t="s">
        <v>231</v>
      </c>
      <c r="T614" s="24" t="s">
        <v>231</v>
      </c>
      <c r="U614" s="24" t="s">
        <v>231</v>
      </c>
      <c r="V614" s="24" t="s">
        <v>231</v>
      </c>
      <c r="W614" s="19"/>
      <c r="X614" s="19"/>
      <c r="Y614" s="19"/>
      <c r="Z614" s="19"/>
      <c r="AA614" s="19"/>
      <c r="AB614" s="22" t="s">
        <v>354</v>
      </c>
      <c r="AC614" s="19"/>
      <c r="AD614" s="19"/>
      <c r="AE614" s="19"/>
      <c r="AF614" s="139">
        <v>0.0</v>
      </c>
      <c r="AG614" s="33" t="s">
        <v>354</v>
      </c>
      <c r="AH614" s="33"/>
      <c r="AI614" s="33" t="s">
        <v>354</v>
      </c>
      <c r="AJ614" s="19"/>
      <c r="AK614" s="19"/>
      <c r="AL614" s="89" t="s">
        <v>356</v>
      </c>
      <c r="AM614" s="89" t="s">
        <v>356</v>
      </c>
      <c r="AN614" s="89" t="s">
        <v>356</v>
      </c>
    </row>
    <row r="615">
      <c r="A615" s="17" t="s">
        <v>231</v>
      </c>
      <c r="B615" s="18" t="s">
        <v>808</v>
      </c>
      <c r="C615" s="19" t="s">
        <v>230</v>
      </c>
      <c r="D615" s="20" t="s">
        <v>547</v>
      </c>
      <c r="E615" s="21" t="s">
        <v>7</v>
      </c>
      <c r="F615" s="19" t="s">
        <v>67</v>
      </c>
      <c r="G615" s="22" t="s">
        <v>354</v>
      </c>
      <c r="H615" s="23">
        <v>255.0</v>
      </c>
      <c r="I615" s="22" t="s">
        <v>809</v>
      </c>
      <c r="J615" s="19">
        <v>44.0</v>
      </c>
      <c r="K615" s="23">
        <v>0.0</v>
      </c>
      <c r="L615" s="22">
        <v>0.0</v>
      </c>
      <c r="M615" s="22" t="s">
        <v>354</v>
      </c>
      <c r="N615" s="101" t="s">
        <v>17</v>
      </c>
      <c r="O615" s="101" t="s">
        <v>17</v>
      </c>
      <c r="P615" s="24" t="s">
        <v>232</v>
      </c>
      <c r="Q615" s="24" t="s">
        <v>231</v>
      </c>
      <c r="R615" s="24" t="s">
        <v>231</v>
      </c>
      <c r="S615" s="24" t="s">
        <v>231</v>
      </c>
      <c r="T615" s="24" t="s">
        <v>231</v>
      </c>
      <c r="U615" s="24" t="s">
        <v>231</v>
      </c>
      <c r="V615" s="24" t="s">
        <v>231</v>
      </c>
      <c r="W615" s="18" t="s">
        <v>813</v>
      </c>
      <c r="X615" s="19"/>
      <c r="Y615" s="19"/>
      <c r="Z615" s="19"/>
      <c r="AA615" s="19"/>
      <c r="AB615" s="158" t="s">
        <v>814</v>
      </c>
      <c r="AC615" s="19"/>
      <c r="AD615" s="19"/>
      <c r="AE615" s="19"/>
      <c r="AF615" s="139">
        <v>0.0</v>
      </c>
      <c r="AG615" s="33" t="s">
        <v>354</v>
      </c>
      <c r="AH615" s="33"/>
      <c r="AI615" s="33" t="s">
        <v>354</v>
      </c>
      <c r="AJ615" s="19"/>
      <c r="AK615" s="19"/>
      <c r="AL615" s="82" t="s">
        <v>361</v>
      </c>
      <c r="AM615" s="64" t="s">
        <v>363</v>
      </c>
      <c r="AN615" s="28" t="s">
        <v>358</v>
      </c>
    </row>
    <row r="616">
      <c r="A616" s="17" t="s">
        <v>231</v>
      </c>
      <c r="B616" s="18" t="s">
        <v>808</v>
      </c>
      <c r="C616" s="19" t="s">
        <v>230</v>
      </c>
      <c r="D616" s="20" t="s">
        <v>547</v>
      </c>
      <c r="E616" s="21" t="s">
        <v>7</v>
      </c>
      <c r="F616" s="19" t="s">
        <v>67</v>
      </c>
      <c r="G616" s="22" t="s">
        <v>354</v>
      </c>
      <c r="H616" s="22" t="s">
        <v>354</v>
      </c>
      <c r="I616" s="22" t="s">
        <v>809</v>
      </c>
      <c r="J616" s="19">
        <v>44.0</v>
      </c>
      <c r="K616" s="23">
        <v>1.0</v>
      </c>
      <c r="L616" s="78">
        <v>1.0</v>
      </c>
      <c r="M616" s="78" t="s">
        <v>815</v>
      </c>
      <c r="N616" s="101" t="s">
        <v>17</v>
      </c>
      <c r="O616" s="101" t="s">
        <v>17</v>
      </c>
      <c r="P616" s="24" t="s">
        <v>232</v>
      </c>
      <c r="Q616" s="24" t="s">
        <v>231</v>
      </c>
      <c r="R616" s="24" t="s">
        <v>231</v>
      </c>
      <c r="S616" s="24" t="s">
        <v>231</v>
      </c>
      <c r="T616" s="24" t="s">
        <v>231</v>
      </c>
      <c r="U616" s="24" t="s">
        <v>231</v>
      </c>
      <c r="V616" s="24" t="s">
        <v>231</v>
      </c>
      <c r="W616" s="18" t="s">
        <v>813</v>
      </c>
      <c r="X616" s="24" t="s">
        <v>231</v>
      </c>
      <c r="Y616" s="19"/>
      <c r="Z616" s="19"/>
      <c r="AA616" s="19"/>
      <c r="AB616" s="158" t="s">
        <v>398</v>
      </c>
      <c r="AC616" s="19"/>
      <c r="AD616" s="19"/>
      <c r="AE616" s="19"/>
      <c r="AF616" s="139">
        <v>0.0</v>
      </c>
      <c r="AG616" s="33" t="s">
        <v>354</v>
      </c>
      <c r="AH616" s="33"/>
      <c r="AI616" s="33" t="s">
        <v>354</v>
      </c>
      <c r="AJ616" s="23"/>
      <c r="AK616" s="23"/>
      <c r="AL616" s="82" t="s">
        <v>407</v>
      </c>
      <c r="AM616" s="19" t="s">
        <v>356</v>
      </c>
      <c r="AN616" s="31" t="s">
        <v>356</v>
      </c>
    </row>
    <row r="617">
      <c r="A617" s="17" t="s">
        <v>231</v>
      </c>
      <c r="B617" s="18" t="s">
        <v>808</v>
      </c>
      <c r="C617" s="19" t="s">
        <v>230</v>
      </c>
      <c r="D617" s="20" t="s">
        <v>547</v>
      </c>
      <c r="E617" s="21" t="s">
        <v>7</v>
      </c>
      <c r="F617" s="19" t="s">
        <v>67</v>
      </c>
      <c r="G617" s="22" t="s">
        <v>354</v>
      </c>
      <c r="H617" s="22" t="s">
        <v>354</v>
      </c>
      <c r="I617" s="22" t="s">
        <v>809</v>
      </c>
      <c r="J617" s="19">
        <v>44.0</v>
      </c>
      <c r="K617" s="23">
        <v>1.0</v>
      </c>
      <c r="L617" s="194">
        <v>1.0</v>
      </c>
      <c r="M617" s="194" t="s">
        <v>815</v>
      </c>
      <c r="N617" s="101" t="s">
        <v>17</v>
      </c>
      <c r="O617" s="101" t="s">
        <v>17</v>
      </c>
      <c r="P617" s="24" t="s">
        <v>232</v>
      </c>
      <c r="Q617" s="24" t="s">
        <v>231</v>
      </c>
      <c r="R617" s="24" t="s">
        <v>231</v>
      </c>
      <c r="S617" s="24" t="s">
        <v>231</v>
      </c>
      <c r="T617" s="24" t="s">
        <v>231</v>
      </c>
      <c r="U617" s="24" t="s">
        <v>231</v>
      </c>
      <c r="V617" s="24" t="s">
        <v>231</v>
      </c>
      <c r="W617" s="18" t="s">
        <v>813</v>
      </c>
      <c r="X617" s="24" t="s">
        <v>231</v>
      </c>
      <c r="Y617" s="24" t="s">
        <v>231</v>
      </c>
      <c r="Z617" s="19"/>
      <c r="AA617" s="19"/>
      <c r="AB617" s="158" t="s">
        <v>398</v>
      </c>
      <c r="AC617" s="19"/>
      <c r="AD617" s="19"/>
      <c r="AE617" s="19"/>
      <c r="AF617" s="139">
        <v>0.0</v>
      </c>
      <c r="AG617" s="33" t="s">
        <v>354</v>
      </c>
      <c r="AH617" s="33"/>
      <c r="AI617" s="33" t="s">
        <v>354</v>
      </c>
      <c r="AJ617" s="23"/>
      <c r="AK617" s="23"/>
      <c r="AL617" s="19" t="s">
        <v>356</v>
      </c>
      <c r="AM617" s="19" t="s">
        <v>356</v>
      </c>
      <c r="AN617" s="19" t="s">
        <v>356</v>
      </c>
    </row>
    <row r="618">
      <c r="A618" s="17" t="s">
        <v>231</v>
      </c>
      <c r="B618" s="18" t="s">
        <v>808</v>
      </c>
      <c r="C618" s="19" t="s">
        <v>230</v>
      </c>
      <c r="D618" s="20" t="s">
        <v>547</v>
      </c>
      <c r="E618" s="21" t="s">
        <v>7</v>
      </c>
      <c r="F618" s="19" t="s">
        <v>67</v>
      </c>
      <c r="G618" s="22" t="s">
        <v>354</v>
      </c>
      <c r="H618" s="22" t="s">
        <v>354</v>
      </c>
      <c r="I618" s="22" t="s">
        <v>809</v>
      </c>
      <c r="J618" s="19">
        <v>44.0</v>
      </c>
      <c r="K618" s="23">
        <v>1.0</v>
      </c>
      <c r="L618" s="194">
        <v>1.0</v>
      </c>
      <c r="M618" s="194" t="s">
        <v>815</v>
      </c>
      <c r="N618" s="101" t="s">
        <v>17</v>
      </c>
      <c r="O618" s="101" t="s">
        <v>17</v>
      </c>
      <c r="P618" s="24" t="s">
        <v>232</v>
      </c>
      <c r="Q618" s="24" t="s">
        <v>231</v>
      </c>
      <c r="R618" s="24" t="s">
        <v>231</v>
      </c>
      <c r="S618" s="24" t="s">
        <v>231</v>
      </c>
      <c r="T618" s="24" t="s">
        <v>231</v>
      </c>
      <c r="U618" s="24" t="s">
        <v>231</v>
      </c>
      <c r="V618" s="24" t="s">
        <v>231</v>
      </c>
      <c r="W618" s="18" t="s">
        <v>813</v>
      </c>
      <c r="X618" s="24" t="s">
        <v>231</v>
      </c>
      <c r="Y618" s="24" t="s">
        <v>231</v>
      </c>
      <c r="Z618" s="24" t="s">
        <v>231</v>
      </c>
      <c r="AA618" s="19"/>
      <c r="AB618" s="158" t="s">
        <v>398</v>
      </c>
      <c r="AC618" s="19"/>
      <c r="AD618" s="19"/>
      <c r="AE618" s="19"/>
      <c r="AF618" s="23">
        <v>0.0</v>
      </c>
      <c r="AG618" s="23" t="s">
        <v>356</v>
      </c>
      <c r="AH618" s="19"/>
      <c r="AI618" s="23" t="s">
        <v>356</v>
      </c>
      <c r="AJ618" s="23" t="s">
        <v>356</v>
      </c>
      <c r="AK618" s="23" t="s">
        <v>356</v>
      </c>
      <c r="AL618" s="23" t="s">
        <v>356</v>
      </c>
      <c r="AM618" s="82" t="s">
        <v>361</v>
      </c>
      <c r="AN618" s="23" t="s">
        <v>356</v>
      </c>
    </row>
    <row r="619">
      <c r="A619" s="17" t="s">
        <v>231</v>
      </c>
      <c r="B619" s="18" t="s">
        <v>808</v>
      </c>
      <c r="C619" s="19" t="s">
        <v>230</v>
      </c>
      <c r="D619" s="20" t="s">
        <v>547</v>
      </c>
      <c r="E619" s="21" t="s">
        <v>7</v>
      </c>
      <c r="F619" s="19" t="s">
        <v>67</v>
      </c>
      <c r="G619" s="22" t="s">
        <v>354</v>
      </c>
      <c r="H619" s="22" t="s">
        <v>354</v>
      </c>
      <c r="I619" s="22" t="s">
        <v>809</v>
      </c>
      <c r="J619" s="19">
        <v>44.0</v>
      </c>
      <c r="K619" s="23">
        <v>1.0</v>
      </c>
      <c r="L619" s="194">
        <v>1.0</v>
      </c>
      <c r="M619" s="194" t="s">
        <v>815</v>
      </c>
      <c r="N619" s="101" t="s">
        <v>17</v>
      </c>
      <c r="O619" s="101" t="s">
        <v>17</v>
      </c>
      <c r="P619" s="24" t="s">
        <v>232</v>
      </c>
      <c r="Q619" s="24" t="s">
        <v>231</v>
      </c>
      <c r="R619" s="24" t="s">
        <v>231</v>
      </c>
      <c r="S619" s="24" t="s">
        <v>231</v>
      </c>
      <c r="T619" s="24" t="s">
        <v>231</v>
      </c>
      <c r="U619" s="24" t="s">
        <v>231</v>
      </c>
      <c r="V619" s="24" t="s">
        <v>231</v>
      </c>
      <c r="W619" s="18" t="s">
        <v>813</v>
      </c>
      <c r="X619" s="24" t="s">
        <v>231</v>
      </c>
      <c r="Y619" s="24" t="s">
        <v>231</v>
      </c>
      <c r="Z619" s="24" t="s">
        <v>231</v>
      </c>
      <c r="AA619" s="24" t="s">
        <v>231</v>
      </c>
      <c r="AB619" s="158" t="s">
        <v>398</v>
      </c>
      <c r="AC619" s="19"/>
      <c r="AD619" s="19"/>
      <c r="AE619" s="19"/>
      <c r="AF619" s="139">
        <v>0.0</v>
      </c>
      <c r="AG619" s="33" t="s">
        <v>354</v>
      </c>
      <c r="AH619" s="33"/>
      <c r="AI619" s="33" t="s">
        <v>354</v>
      </c>
      <c r="AJ619" s="23"/>
      <c r="AK619" s="23"/>
      <c r="AL619" s="19" t="s">
        <v>356</v>
      </c>
      <c r="AM619" s="19" t="s">
        <v>356</v>
      </c>
      <c r="AN619" s="19" t="s">
        <v>356</v>
      </c>
    </row>
    <row r="620">
      <c r="A620" s="121" t="s">
        <v>816</v>
      </c>
      <c r="B620" s="18" t="s">
        <v>817</v>
      </c>
      <c r="C620" s="122" t="s">
        <v>289</v>
      </c>
      <c r="D620" s="123" t="s">
        <v>490</v>
      </c>
      <c r="E620" s="124" t="s">
        <v>491</v>
      </c>
      <c r="F620" s="122" t="s">
        <v>67</v>
      </c>
      <c r="G620" s="147" t="s">
        <v>354</v>
      </c>
      <c r="H620" s="125">
        <v>50.0</v>
      </c>
      <c r="I620" s="125" t="s">
        <v>809</v>
      </c>
      <c r="J620" s="122">
        <v>70.0</v>
      </c>
      <c r="K620" s="125">
        <v>0.0</v>
      </c>
      <c r="L620" s="147">
        <v>0.0</v>
      </c>
      <c r="M620" s="147" t="s">
        <v>354</v>
      </c>
      <c r="N620" s="101" t="s">
        <v>17</v>
      </c>
      <c r="O620" s="101" t="s">
        <v>17</v>
      </c>
      <c r="P620" s="101" t="s">
        <v>17</v>
      </c>
      <c r="Q620" s="101" t="s">
        <v>17</v>
      </c>
      <c r="R620" s="24" t="s">
        <v>290</v>
      </c>
      <c r="S620" s="122"/>
      <c r="T620" s="122"/>
      <c r="U620" s="122"/>
      <c r="V620" s="122"/>
      <c r="W620" s="122"/>
      <c r="X620" s="122"/>
      <c r="Y620" s="122"/>
      <c r="Z620" s="122"/>
      <c r="AA620" s="122"/>
      <c r="AB620" s="147" t="s">
        <v>354</v>
      </c>
      <c r="AC620" s="122"/>
      <c r="AD620" s="122"/>
      <c r="AE620" s="122"/>
      <c r="AF620" s="125">
        <v>0.0</v>
      </c>
      <c r="AG620" s="125" t="s">
        <v>356</v>
      </c>
      <c r="AH620" s="122"/>
      <c r="AI620" s="125" t="s">
        <v>356</v>
      </c>
      <c r="AJ620" s="122"/>
      <c r="AK620" s="122"/>
      <c r="AL620" s="147" t="s">
        <v>356</v>
      </c>
      <c r="AM620" s="147" t="s">
        <v>356</v>
      </c>
      <c r="AN620" s="125" t="s">
        <v>356</v>
      </c>
    </row>
    <row r="621">
      <c r="A621" s="121" t="s">
        <v>816</v>
      </c>
      <c r="B621" s="18" t="s">
        <v>817</v>
      </c>
      <c r="C621" s="122" t="s">
        <v>289</v>
      </c>
      <c r="D621" s="123" t="s">
        <v>490</v>
      </c>
      <c r="E621" s="124" t="s">
        <v>62</v>
      </c>
      <c r="F621" s="122" t="s">
        <v>67</v>
      </c>
      <c r="G621" s="125">
        <v>96.0</v>
      </c>
      <c r="H621" s="125">
        <v>100.0</v>
      </c>
      <c r="I621" s="125" t="s">
        <v>809</v>
      </c>
      <c r="J621" s="122">
        <v>61.0</v>
      </c>
      <c r="K621" s="125">
        <v>0.0</v>
      </c>
      <c r="L621" s="147">
        <v>0.0</v>
      </c>
      <c r="M621" s="147" t="s">
        <v>354</v>
      </c>
      <c r="N621" s="101" t="s">
        <v>17</v>
      </c>
      <c r="O621" s="101" t="s">
        <v>17</v>
      </c>
      <c r="P621" s="101" t="s">
        <v>17</v>
      </c>
      <c r="Q621" s="101" t="s">
        <v>17</v>
      </c>
      <c r="R621" s="24" t="s">
        <v>290</v>
      </c>
      <c r="S621" s="24" t="s">
        <v>292</v>
      </c>
      <c r="T621" s="122"/>
      <c r="U621" s="122"/>
      <c r="V621" s="122"/>
      <c r="W621" s="122"/>
      <c r="X621" s="122"/>
      <c r="Y621" s="122"/>
      <c r="Z621" s="122"/>
      <c r="AA621" s="122"/>
      <c r="AB621" s="125" t="s">
        <v>590</v>
      </c>
      <c r="AC621" s="122"/>
      <c r="AD621" s="122"/>
      <c r="AE621" s="122"/>
      <c r="AF621" s="208">
        <v>44.67</v>
      </c>
      <c r="AG621" s="125" t="s">
        <v>354</v>
      </c>
      <c r="AH621" s="122"/>
      <c r="AI621" s="125" t="s">
        <v>354</v>
      </c>
      <c r="AJ621" s="122"/>
      <c r="AK621" s="122"/>
      <c r="AL621" s="126" t="s">
        <v>361</v>
      </c>
      <c r="AM621" s="127" t="s">
        <v>356</v>
      </c>
      <c r="AN621" s="127" t="s">
        <v>356</v>
      </c>
    </row>
    <row r="622">
      <c r="A622" s="121" t="s">
        <v>816</v>
      </c>
      <c r="B622" s="18" t="s">
        <v>817</v>
      </c>
      <c r="C622" s="122" t="s">
        <v>289</v>
      </c>
      <c r="D622" s="123" t="s">
        <v>490</v>
      </c>
      <c r="E622" s="124" t="s">
        <v>62</v>
      </c>
      <c r="F622" s="122" t="s">
        <v>67</v>
      </c>
      <c r="G622" s="125">
        <v>104.0</v>
      </c>
      <c r="H622" s="125">
        <v>130.0</v>
      </c>
      <c r="I622" s="125" t="s">
        <v>809</v>
      </c>
      <c r="J622" s="122">
        <v>69.0</v>
      </c>
      <c r="K622" s="125">
        <v>0.0</v>
      </c>
      <c r="L622" s="147">
        <v>0.0</v>
      </c>
      <c r="M622" s="147" t="s">
        <v>354</v>
      </c>
      <c r="N622" s="101" t="s">
        <v>17</v>
      </c>
      <c r="O622" s="101" t="s">
        <v>17</v>
      </c>
      <c r="P622" s="101" t="s">
        <v>17</v>
      </c>
      <c r="Q622" s="101" t="s">
        <v>17</v>
      </c>
      <c r="R622" s="24" t="s">
        <v>290</v>
      </c>
      <c r="S622" s="24" t="s">
        <v>292</v>
      </c>
      <c r="T622" s="24" t="s">
        <v>293</v>
      </c>
      <c r="U622" s="122"/>
      <c r="V622" s="122"/>
      <c r="W622" s="122"/>
      <c r="X622" s="122"/>
      <c r="Y622" s="122"/>
      <c r="Z622" s="122"/>
      <c r="AA622" s="122"/>
      <c r="AB622" s="125" t="s">
        <v>590</v>
      </c>
      <c r="AC622" s="122"/>
      <c r="AD622" s="122"/>
      <c r="AE622" s="122"/>
      <c r="AF622" s="125">
        <v>0.0</v>
      </c>
      <c r="AG622" s="125" t="s">
        <v>354</v>
      </c>
      <c r="AH622" s="122"/>
      <c r="AI622" s="125" t="s">
        <v>354</v>
      </c>
      <c r="AJ622" s="122"/>
      <c r="AK622" s="122"/>
      <c r="AL622" s="127" t="s">
        <v>356</v>
      </c>
      <c r="AM622" s="127" t="s">
        <v>356</v>
      </c>
      <c r="AN622" s="127" t="s">
        <v>356</v>
      </c>
    </row>
    <row r="623">
      <c r="A623" s="121" t="s">
        <v>816</v>
      </c>
      <c r="B623" s="18" t="s">
        <v>817</v>
      </c>
      <c r="C623" s="122" t="s">
        <v>289</v>
      </c>
      <c r="D623" s="123" t="s">
        <v>490</v>
      </c>
      <c r="E623" s="124" t="s">
        <v>62</v>
      </c>
      <c r="F623" s="122" t="s">
        <v>67</v>
      </c>
      <c r="G623" s="125">
        <v>108.0</v>
      </c>
      <c r="H623" s="125">
        <v>130.0</v>
      </c>
      <c r="I623" s="125" t="s">
        <v>809</v>
      </c>
      <c r="J623" s="122"/>
      <c r="K623" s="125">
        <v>0.0</v>
      </c>
      <c r="L623" s="147">
        <v>0.0</v>
      </c>
      <c r="M623" s="147" t="s">
        <v>354</v>
      </c>
      <c r="N623" s="101" t="s">
        <v>17</v>
      </c>
      <c r="O623" s="101" t="s">
        <v>17</v>
      </c>
      <c r="P623" s="101" t="s">
        <v>17</v>
      </c>
      <c r="Q623" s="101" t="s">
        <v>17</v>
      </c>
      <c r="R623" s="24" t="s">
        <v>290</v>
      </c>
      <c r="S623" s="24" t="s">
        <v>292</v>
      </c>
      <c r="T623" s="24" t="s">
        <v>293</v>
      </c>
      <c r="U623" s="18" t="s">
        <v>818</v>
      </c>
      <c r="V623" s="122"/>
      <c r="W623" s="122"/>
      <c r="X623" s="122"/>
      <c r="Y623" s="122"/>
      <c r="Z623" s="122"/>
      <c r="AA623" s="122"/>
      <c r="AB623" s="125" t="s">
        <v>819</v>
      </c>
      <c r="AC623" s="122"/>
      <c r="AD623" s="122"/>
      <c r="AE623" s="122"/>
      <c r="AF623" s="125">
        <v>0.0</v>
      </c>
      <c r="AG623" s="125" t="s">
        <v>354</v>
      </c>
      <c r="AH623" s="122"/>
      <c r="AI623" s="125" t="s">
        <v>354</v>
      </c>
      <c r="AJ623" s="122"/>
      <c r="AK623" s="122"/>
      <c r="AL623" s="127" t="s">
        <v>356</v>
      </c>
      <c r="AM623" s="127" t="s">
        <v>356</v>
      </c>
      <c r="AN623" s="127" t="s">
        <v>356</v>
      </c>
    </row>
    <row r="624">
      <c r="A624" s="121" t="s">
        <v>816</v>
      </c>
      <c r="B624" s="18" t="s">
        <v>817</v>
      </c>
      <c r="C624" s="122" t="s">
        <v>289</v>
      </c>
      <c r="D624" s="123" t="s">
        <v>490</v>
      </c>
      <c r="E624" s="124" t="s">
        <v>37</v>
      </c>
      <c r="F624" s="122" t="s">
        <v>67</v>
      </c>
      <c r="G624" s="125">
        <v>111.0</v>
      </c>
      <c r="H624" s="125">
        <v>165.0</v>
      </c>
      <c r="I624" s="125" t="s">
        <v>809</v>
      </c>
      <c r="J624" s="122"/>
      <c r="K624" s="125">
        <v>0.0</v>
      </c>
      <c r="L624" s="147">
        <v>0.0</v>
      </c>
      <c r="M624" s="147" t="s">
        <v>354</v>
      </c>
      <c r="N624" s="101" t="s">
        <v>17</v>
      </c>
      <c r="O624" s="101" t="s">
        <v>17</v>
      </c>
      <c r="P624" s="101" t="s">
        <v>17</v>
      </c>
      <c r="Q624" s="101" t="s">
        <v>17</v>
      </c>
      <c r="R624" s="24" t="s">
        <v>290</v>
      </c>
      <c r="S624" s="24" t="s">
        <v>292</v>
      </c>
      <c r="T624" s="24" t="s">
        <v>293</v>
      </c>
      <c r="U624" s="18" t="s">
        <v>818</v>
      </c>
      <c r="V624" s="18" t="s">
        <v>820</v>
      </c>
      <c r="W624" s="122"/>
      <c r="X624" s="122"/>
      <c r="Y624" s="122"/>
      <c r="Z624" s="122"/>
      <c r="AA624" s="122"/>
      <c r="AB624" s="147" t="s">
        <v>354</v>
      </c>
      <c r="AC624" s="122"/>
      <c r="AD624" s="122"/>
      <c r="AE624" s="122"/>
      <c r="AF624" s="125">
        <v>0.0</v>
      </c>
      <c r="AG624" s="125" t="s">
        <v>354</v>
      </c>
      <c r="AH624" s="122"/>
      <c r="AI624" s="125" t="s">
        <v>354</v>
      </c>
      <c r="AJ624" s="122"/>
      <c r="AK624" s="122"/>
      <c r="AL624" s="127" t="s">
        <v>356</v>
      </c>
      <c r="AM624" s="127" t="s">
        <v>356</v>
      </c>
      <c r="AN624" s="127" t="s">
        <v>356</v>
      </c>
    </row>
    <row r="625">
      <c r="A625" s="121" t="s">
        <v>816</v>
      </c>
      <c r="B625" s="18" t="s">
        <v>817</v>
      </c>
      <c r="C625" s="122" t="s">
        <v>289</v>
      </c>
      <c r="D625" s="123" t="s">
        <v>490</v>
      </c>
      <c r="E625" s="124" t="s">
        <v>37</v>
      </c>
      <c r="F625" s="122" t="s">
        <v>67</v>
      </c>
      <c r="G625" s="147" t="s">
        <v>354</v>
      </c>
      <c r="H625" s="125">
        <v>210.0</v>
      </c>
      <c r="I625" s="125" t="s">
        <v>809</v>
      </c>
      <c r="J625" s="122"/>
      <c r="K625" s="125">
        <v>0.0</v>
      </c>
      <c r="L625" s="147">
        <v>0.0</v>
      </c>
      <c r="M625" s="147" t="s">
        <v>354</v>
      </c>
      <c r="N625" s="101" t="s">
        <v>17</v>
      </c>
      <c r="O625" s="101" t="s">
        <v>17</v>
      </c>
      <c r="P625" s="101" t="s">
        <v>17</v>
      </c>
      <c r="Q625" s="101" t="s">
        <v>17</v>
      </c>
      <c r="R625" s="24" t="s">
        <v>290</v>
      </c>
      <c r="S625" s="24" t="s">
        <v>292</v>
      </c>
      <c r="T625" s="24" t="s">
        <v>293</v>
      </c>
      <c r="U625" s="18" t="s">
        <v>818</v>
      </c>
      <c r="V625" s="18" t="s">
        <v>820</v>
      </c>
      <c r="W625" s="18" t="s">
        <v>821</v>
      </c>
      <c r="X625" s="122"/>
      <c r="Y625" s="122"/>
      <c r="Z625" s="122"/>
      <c r="AA625" s="122"/>
      <c r="AB625" s="41" t="s">
        <v>371</v>
      </c>
      <c r="AC625" s="122"/>
      <c r="AD625" s="122"/>
      <c r="AE625" s="122"/>
      <c r="AF625" s="125">
        <v>0.0</v>
      </c>
      <c r="AG625" s="125" t="s">
        <v>354</v>
      </c>
      <c r="AH625" s="122"/>
      <c r="AI625" s="125" t="s">
        <v>354</v>
      </c>
      <c r="AJ625" s="122"/>
      <c r="AK625" s="122"/>
      <c r="AL625" s="127" t="s">
        <v>356</v>
      </c>
      <c r="AM625" s="58" t="s">
        <v>380</v>
      </c>
      <c r="AN625" s="127" t="s">
        <v>356</v>
      </c>
    </row>
    <row r="626">
      <c r="A626" s="121" t="s">
        <v>816</v>
      </c>
      <c r="B626" s="18" t="s">
        <v>817</v>
      </c>
      <c r="C626" s="122" t="s">
        <v>289</v>
      </c>
      <c r="D626" s="123" t="s">
        <v>490</v>
      </c>
      <c r="E626" s="124" t="s">
        <v>37</v>
      </c>
      <c r="F626" s="122" t="s">
        <v>67</v>
      </c>
      <c r="G626" s="147" t="s">
        <v>354</v>
      </c>
      <c r="H626" s="147" t="s">
        <v>354</v>
      </c>
      <c r="I626" s="125" t="s">
        <v>809</v>
      </c>
      <c r="J626" s="122"/>
      <c r="K626" s="125">
        <v>0.0</v>
      </c>
      <c r="L626" s="41">
        <v>0.0</v>
      </c>
      <c r="M626" s="41" t="s">
        <v>354</v>
      </c>
      <c r="N626" s="101" t="s">
        <v>17</v>
      </c>
      <c r="O626" s="101" t="s">
        <v>17</v>
      </c>
      <c r="P626" s="101" t="s">
        <v>17</v>
      </c>
      <c r="Q626" s="101" t="s">
        <v>17</v>
      </c>
      <c r="R626" s="24" t="s">
        <v>290</v>
      </c>
      <c r="S626" s="24" t="s">
        <v>292</v>
      </c>
      <c r="T626" s="24" t="s">
        <v>293</v>
      </c>
      <c r="U626" s="18" t="s">
        <v>818</v>
      </c>
      <c r="V626" s="18" t="s">
        <v>820</v>
      </c>
      <c r="W626" s="18" t="s">
        <v>821</v>
      </c>
      <c r="X626" s="18" t="s">
        <v>820</v>
      </c>
      <c r="Y626" s="125"/>
      <c r="Z626" s="125"/>
      <c r="AA626" s="122"/>
      <c r="AB626" s="41" t="s">
        <v>371</v>
      </c>
      <c r="AC626" s="122"/>
      <c r="AD626" s="122"/>
      <c r="AE626" s="122"/>
      <c r="AF626" s="125">
        <v>0.0</v>
      </c>
      <c r="AG626" s="125" t="s">
        <v>354</v>
      </c>
      <c r="AH626" s="122"/>
      <c r="AI626" s="125" t="s">
        <v>354</v>
      </c>
      <c r="AJ626" s="135"/>
      <c r="AK626" s="125"/>
      <c r="AL626" s="91" t="s">
        <v>413</v>
      </c>
      <c r="AM626" s="119" t="s">
        <v>413</v>
      </c>
      <c r="AN626" s="128" t="s">
        <v>356</v>
      </c>
    </row>
    <row r="627">
      <c r="A627" s="121" t="s">
        <v>816</v>
      </c>
      <c r="B627" s="18" t="s">
        <v>817</v>
      </c>
      <c r="C627" s="122" t="s">
        <v>289</v>
      </c>
      <c r="D627" s="123" t="s">
        <v>490</v>
      </c>
      <c r="E627" s="124" t="s">
        <v>37</v>
      </c>
      <c r="F627" s="122" t="s">
        <v>67</v>
      </c>
      <c r="G627" s="147" t="s">
        <v>354</v>
      </c>
      <c r="H627" s="147" t="s">
        <v>354</v>
      </c>
      <c r="I627" s="125" t="s">
        <v>809</v>
      </c>
      <c r="J627" s="122"/>
      <c r="K627" s="125">
        <v>0.0</v>
      </c>
      <c r="L627" s="41">
        <v>0.0</v>
      </c>
      <c r="M627" s="41" t="s">
        <v>354</v>
      </c>
      <c r="N627" s="101" t="s">
        <v>17</v>
      </c>
      <c r="O627" s="101" t="s">
        <v>17</v>
      </c>
      <c r="P627" s="101" t="s">
        <v>17</v>
      </c>
      <c r="Q627" s="101" t="s">
        <v>17</v>
      </c>
      <c r="R627" s="24" t="s">
        <v>290</v>
      </c>
      <c r="S627" s="24" t="s">
        <v>292</v>
      </c>
      <c r="T627" s="24" t="s">
        <v>293</v>
      </c>
      <c r="U627" s="18" t="s">
        <v>818</v>
      </c>
      <c r="V627" s="18" t="s">
        <v>820</v>
      </c>
      <c r="W627" s="18" t="s">
        <v>821</v>
      </c>
      <c r="X627" s="18" t="s">
        <v>820</v>
      </c>
      <c r="Y627" s="18" t="s">
        <v>820</v>
      </c>
      <c r="Z627" s="125"/>
      <c r="AA627" s="122"/>
      <c r="AB627" s="41" t="s">
        <v>371</v>
      </c>
      <c r="AC627" s="122"/>
      <c r="AD627" s="122"/>
      <c r="AE627" s="122"/>
      <c r="AF627" s="125">
        <v>0.0</v>
      </c>
      <c r="AG627" s="125" t="s">
        <v>354</v>
      </c>
      <c r="AH627" s="122"/>
      <c r="AI627" s="125" t="s">
        <v>354</v>
      </c>
      <c r="AJ627" s="122"/>
      <c r="AK627" s="122"/>
      <c r="AL627" s="127" t="s">
        <v>356</v>
      </c>
      <c r="AM627" s="127" t="s">
        <v>356</v>
      </c>
      <c r="AN627" s="127" t="s">
        <v>356</v>
      </c>
    </row>
    <row r="628">
      <c r="A628" s="121" t="s">
        <v>816</v>
      </c>
      <c r="B628" s="18" t="s">
        <v>817</v>
      </c>
      <c r="C628" s="122" t="s">
        <v>289</v>
      </c>
      <c r="D628" s="123" t="s">
        <v>490</v>
      </c>
      <c r="E628" s="124" t="s">
        <v>37</v>
      </c>
      <c r="F628" s="122" t="s">
        <v>67</v>
      </c>
      <c r="G628" s="147" t="s">
        <v>354</v>
      </c>
      <c r="H628" s="147" t="s">
        <v>354</v>
      </c>
      <c r="I628" s="125" t="s">
        <v>809</v>
      </c>
      <c r="J628" s="122"/>
      <c r="K628" s="125">
        <v>0.0</v>
      </c>
      <c r="L628" s="41">
        <v>0.0</v>
      </c>
      <c r="M628" s="41" t="s">
        <v>354</v>
      </c>
      <c r="N628" s="101" t="s">
        <v>17</v>
      </c>
      <c r="O628" s="101" t="s">
        <v>17</v>
      </c>
      <c r="P628" s="101" t="s">
        <v>17</v>
      </c>
      <c r="Q628" s="101" t="s">
        <v>17</v>
      </c>
      <c r="R628" s="24" t="s">
        <v>290</v>
      </c>
      <c r="S628" s="24" t="s">
        <v>292</v>
      </c>
      <c r="T628" s="24" t="s">
        <v>293</v>
      </c>
      <c r="U628" s="18" t="s">
        <v>818</v>
      </c>
      <c r="V628" s="18" t="s">
        <v>820</v>
      </c>
      <c r="W628" s="18" t="s">
        <v>821</v>
      </c>
      <c r="X628" s="18" t="s">
        <v>820</v>
      </c>
      <c r="Y628" s="18" t="s">
        <v>820</v>
      </c>
      <c r="Z628" s="18" t="s">
        <v>822</v>
      </c>
      <c r="AA628" s="122"/>
      <c r="AB628" s="41" t="s">
        <v>823</v>
      </c>
      <c r="AC628" s="122"/>
      <c r="AD628" s="122"/>
      <c r="AE628" s="122"/>
      <c r="AF628" s="125">
        <v>0.0</v>
      </c>
      <c r="AG628" s="125" t="s">
        <v>356</v>
      </c>
      <c r="AH628" s="122"/>
      <c r="AI628" s="125" t="s">
        <v>356</v>
      </c>
      <c r="AJ628" s="126" t="s">
        <v>361</v>
      </c>
      <c r="AK628" s="125" t="s">
        <v>356</v>
      </c>
      <c r="AL628" s="125" t="s">
        <v>356</v>
      </c>
      <c r="AM628" s="126" t="s">
        <v>361</v>
      </c>
      <c r="AN628" s="125" t="s">
        <v>356</v>
      </c>
    </row>
    <row r="629">
      <c r="A629" s="121" t="s">
        <v>816</v>
      </c>
      <c r="B629" s="18" t="s">
        <v>817</v>
      </c>
      <c r="C629" s="122" t="s">
        <v>289</v>
      </c>
      <c r="D629" s="123" t="s">
        <v>490</v>
      </c>
      <c r="E629" s="124" t="s">
        <v>37</v>
      </c>
      <c r="F629" s="122" t="s">
        <v>67</v>
      </c>
      <c r="G629" s="147" t="s">
        <v>354</v>
      </c>
      <c r="H629" s="147" t="s">
        <v>354</v>
      </c>
      <c r="I629" s="125" t="s">
        <v>809</v>
      </c>
      <c r="J629" s="122"/>
      <c r="K629" s="125">
        <v>0.0</v>
      </c>
      <c r="L629" s="41">
        <v>0.0</v>
      </c>
      <c r="M629" s="41" t="s">
        <v>354</v>
      </c>
      <c r="N629" s="101" t="s">
        <v>17</v>
      </c>
      <c r="O629" s="101" t="s">
        <v>17</v>
      </c>
      <c r="P629" s="101" t="s">
        <v>17</v>
      </c>
      <c r="Q629" s="101" t="s">
        <v>17</v>
      </c>
      <c r="R629" s="24" t="s">
        <v>290</v>
      </c>
      <c r="S629" s="24" t="s">
        <v>292</v>
      </c>
      <c r="T629" s="24" t="s">
        <v>293</v>
      </c>
      <c r="U629" s="18" t="s">
        <v>818</v>
      </c>
      <c r="V629" s="18" t="s">
        <v>820</v>
      </c>
      <c r="W629" s="18" t="s">
        <v>821</v>
      </c>
      <c r="X629" s="18" t="s">
        <v>820</v>
      </c>
      <c r="Y629" s="18" t="s">
        <v>820</v>
      </c>
      <c r="Z629" s="18" t="s">
        <v>822</v>
      </c>
      <c r="AA629" s="18" t="s">
        <v>820</v>
      </c>
      <c r="AB629" s="41" t="s">
        <v>824</v>
      </c>
      <c r="AC629" s="122"/>
      <c r="AD629" s="122"/>
      <c r="AE629" s="122"/>
      <c r="AF629" s="125">
        <v>0.0</v>
      </c>
      <c r="AG629" s="125" t="s">
        <v>354</v>
      </c>
      <c r="AH629" s="122"/>
      <c r="AI629" s="125" t="s">
        <v>354</v>
      </c>
      <c r="AJ629" s="122"/>
      <c r="AK629" s="122"/>
      <c r="AL629" s="127" t="s">
        <v>356</v>
      </c>
      <c r="AM629" s="127" t="s">
        <v>356</v>
      </c>
      <c r="AN629" s="127" t="s">
        <v>356</v>
      </c>
    </row>
    <row r="630">
      <c r="A630" s="45" t="s">
        <v>234</v>
      </c>
      <c r="B630" s="18" t="s">
        <v>825</v>
      </c>
      <c r="C630" s="46" t="s">
        <v>233</v>
      </c>
      <c r="D630" s="47" t="s">
        <v>547</v>
      </c>
      <c r="E630" s="48" t="s">
        <v>7</v>
      </c>
      <c r="F630" s="46" t="s">
        <v>67</v>
      </c>
      <c r="G630" s="49" t="s">
        <v>354</v>
      </c>
      <c r="H630" s="49">
        <v>330.0</v>
      </c>
      <c r="I630" s="49" t="s">
        <v>826</v>
      </c>
      <c r="J630" s="46">
        <v>86.0</v>
      </c>
      <c r="K630" s="49">
        <v>1.0</v>
      </c>
      <c r="L630" s="49">
        <v>0.0</v>
      </c>
      <c r="M630" s="49" t="s">
        <v>354</v>
      </c>
      <c r="N630" s="101" t="s">
        <v>17</v>
      </c>
      <c r="O630" s="101" t="s">
        <v>17</v>
      </c>
      <c r="P630" s="24" t="s">
        <v>235</v>
      </c>
      <c r="Q630" s="46"/>
      <c r="R630" s="46"/>
      <c r="S630" s="46"/>
      <c r="T630" s="46"/>
      <c r="U630" s="46"/>
      <c r="V630" s="46"/>
      <c r="W630" s="46"/>
      <c r="X630" s="46"/>
      <c r="Y630" s="46"/>
      <c r="Z630" s="46"/>
      <c r="AA630" s="46"/>
      <c r="AB630" s="57" t="s">
        <v>354</v>
      </c>
      <c r="AC630" s="46">
        <v>36480.0</v>
      </c>
      <c r="AD630" s="46"/>
      <c r="AE630" s="46"/>
      <c r="AF630" s="49">
        <v>0.0</v>
      </c>
      <c r="AG630" s="49" t="s">
        <v>356</v>
      </c>
      <c r="AH630" s="46"/>
      <c r="AI630" s="49" t="s">
        <v>356</v>
      </c>
      <c r="AJ630" s="46"/>
      <c r="AK630" s="46"/>
      <c r="AL630" s="65" t="s">
        <v>387</v>
      </c>
      <c r="AM630" s="54" t="s">
        <v>356</v>
      </c>
      <c r="AN630" s="54" t="s">
        <v>356</v>
      </c>
    </row>
    <row r="631">
      <c r="A631" s="45" t="s">
        <v>234</v>
      </c>
      <c r="B631" s="18" t="s">
        <v>825</v>
      </c>
      <c r="C631" s="46" t="s">
        <v>233</v>
      </c>
      <c r="D631" s="47" t="s">
        <v>547</v>
      </c>
      <c r="E631" s="48" t="s">
        <v>7</v>
      </c>
      <c r="F631" s="46" t="s">
        <v>67</v>
      </c>
      <c r="G631" s="49" t="s">
        <v>354</v>
      </c>
      <c r="H631" s="49">
        <v>275.0</v>
      </c>
      <c r="I631" s="57" t="s">
        <v>826</v>
      </c>
      <c r="J631" s="46">
        <v>56.0</v>
      </c>
      <c r="K631" s="49">
        <v>1.0</v>
      </c>
      <c r="L631" s="49">
        <v>0.0</v>
      </c>
      <c r="M631" s="49" t="s">
        <v>354</v>
      </c>
      <c r="N631" s="101" t="s">
        <v>17</v>
      </c>
      <c r="O631" s="101" t="s">
        <v>17</v>
      </c>
      <c r="P631" s="24" t="s">
        <v>235</v>
      </c>
      <c r="Q631" s="24" t="s">
        <v>236</v>
      </c>
      <c r="R631" s="46"/>
      <c r="S631" s="46"/>
      <c r="T631" s="46"/>
      <c r="U631" s="46"/>
      <c r="V631" s="46"/>
      <c r="W631" s="46"/>
      <c r="X631" s="46"/>
      <c r="Y631" s="46"/>
      <c r="Z631" s="46"/>
      <c r="AA631" s="46"/>
      <c r="AB631" s="209" t="s">
        <v>827</v>
      </c>
      <c r="AC631" s="46">
        <v>36646.0</v>
      </c>
      <c r="AD631" s="46"/>
      <c r="AE631" s="46"/>
      <c r="AF631" s="49">
        <v>0.0</v>
      </c>
      <c r="AG631" s="56" t="s">
        <v>365</v>
      </c>
      <c r="AH631" s="46" t="s">
        <v>8</v>
      </c>
      <c r="AI631" s="58" t="s">
        <v>380</v>
      </c>
      <c r="AJ631" s="46"/>
      <c r="AK631" s="46"/>
      <c r="AL631" s="80" t="s">
        <v>356</v>
      </c>
      <c r="AM631" s="58" t="s">
        <v>380</v>
      </c>
      <c r="AN631" s="76" t="s">
        <v>356</v>
      </c>
    </row>
    <row r="632">
      <c r="A632" s="45" t="s">
        <v>234</v>
      </c>
      <c r="B632" s="18" t="s">
        <v>825</v>
      </c>
      <c r="C632" s="46" t="s">
        <v>233</v>
      </c>
      <c r="D632" s="47" t="s">
        <v>547</v>
      </c>
      <c r="E632" s="48" t="s">
        <v>7</v>
      </c>
      <c r="F632" s="46" t="s">
        <v>67</v>
      </c>
      <c r="G632" s="49" t="s">
        <v>354</v>
      </c>
      <c r="H632" s="49">
        <v>275.0</v>
      </c>
      <c r="I632" s="57" t="s">
        <v>826</v>
      </c>
      <c r="J632" s="46">
        <v>56.0</v>
      </c>
      <c r="K632" s="49">
        <v>0.0</v>
      </c>
      <c r="L632" s="49">
        <v>0.0</v>
      </c>
      <c r="M632" s="49" t="s">
        <v>354</v>
      </c>
      <c r="N632" s="101" t="s">
        <v>17</v>
      </c>
      <c r="O632" s="101" t="s">
        <v>17</v>
      </c>
      <c r="P632" s="24" t="s">
        <v>235</v>
      </c>
      <c r="Q632" s="24" t="s">
        <v>236</v>
      </c>
      <c r="R632" s="24" t="s">
        <v>236</v>
      </c>
      <c r="S632" s="46"/>
      <c r="T632" s="46"/>
      <c r="U632" s="46"/>
      <c r="V632" s="46"/>
      <c r="W632" s="46"/>
      <c r="X632" s="46"/>
      <c r="Y632" s="46"/>
      <c r="Z632" s="46"/>
      <c r="AA632" s="46"/>
      <c r="AB632" s="209" t="s">
        <v>828</v>
      </c>
      <c r="AC632" s="46"/>
      <c r="AD632" s="46"/>
      <c r="AE632" s="46"/>
      <c r="AF632" s="56">
        <v>27.99</v>
      </c>
      <c r="AG632" s="56" t="s">
        <v>365</v>
      </c>
      <c r="AH632" s="46" t="s">
        <v>829</v>
      </c>
      <c r="AI632" s="58" t="s">
        <v>380</v>
      </c>
      <c r="AJ632" s="46"/>
      <c r="AK632" s="46"/>
      <c r="AL632" s="79" t="s">
        <v>361</v>
      </c>
      <c r="AM632" s="58" t="s">
        <v>380</v>
      </c>
      <c r="AN632" s="76" t="s">
        <v>356</v>
      </c>
    </row>
    <row r="633">
      <c r="A633" s="45" t="s">
        <v>234</v>
      </c>
      <c r="B633" s="18" t="s">
        <v>825</v>
      </c>
      <c r="C633" s="46" t="s">
        <v>233</v>
      </c>
      <c r="D633" s="47" t="s">
        <v>547</v>
      </c>
      <c r="E633" s="48" t="s">
        <v>7</v>
      </c>
      <c r="F633" s="46" t="s">
        <v>67</v>
      </c>
      <c r="G633" s="49" t="s">
        <v>354</v>
      </c>
      <c r="H633" s="49">
        <v>220.0</v>
      </c>
      <c r="I633" s="57" t="s">
        <v>826</v>
      </c>
      <c r="J633" s="46">
        <v>50.0</v>
      </c>
      <c r="K633" s="49">
        <v>0.0</v>
      </c>
      <c r="L633" s="49">
        <v>0.0</v>
      </c>
      <c r="M633" s="49" t="s">
        <v>354</v>
      </c>
      <c r="N633" s="101" t="s">
        <v>17</v>
      </c>
      <c r="O633" s="101" t="s">
        <v>17</v>
      </c>
      <c r="P633" s="24" t="s">
        <v>235</v>
      </c>
      <c r="Q633" s="24" t="s">
        <v>236</v>
      </c>
      <c r="R633" s="24" t="s">
        <v>236</v>
      </c>
      <c r="S633" s="24" t="s">
        <v>236</v>
      </c>
      <c r="T633" s="46"/>
      <c r="U633" s="46"/>
      <c r="V633" s="46"/>
      <c r="W633" s="46"/>
      <c r="X633" s="46"/>
      <c r="Y633" s="46"/>
      <c r="Z633" s="46"/>
      <c r="AA633" s="46"/>
      <c r="AB633" s="49" t="s">
        <v>757</v>
      </c>
      <c r="AC633" s="46"/>
      <c r="AD633" s="46"/>
      <c r="AE633" s="46"/>
      <c r="AF633" s="49">
        <v>0.0</v>
      </c>
      <c r="AG633" s="49" t="s">
        <v>354</v>
      </c>
      <c r="AH633" s="46"/>
      <c r="AI633" s="49" t="s">
        <v>354</v>
      </c>
      <c r="AJ633" s="46"/>
      <c r="AK633" s="46"/>
      <c r="AL633" s="59" t="s">
        <v>357</v>
      </c>
      <c r="AM633" s="64" t="s">
        <v>363</v>
      </c>
      <c r="AN633" s="80" t="s">
        <v>356</v>
      </c>
    </row>
    <row r="634">
      <c r="A634" s="45" t="s">
        <v>234</v>
      </c>
      <c r="B634" s="18" t="s">
        <v>825</v>
      </c>
      <c r="C634" s="46" t="s">
        <v>233</v>
      </c>
      <c r="D634" s="47" t="s">
        <v>547</v>
      </c>
      <c r="E634" s="48" t="s">
        <v>7</v>
      </c>
      <c r="F634" s="46" t="s">
        <v>67</v>
      </c>
      <c r="G634" s="49" t="s">
        <v>354</v>
      </c>
      <c r="H634" s="49">
        <v>235.0</v>
      </c>
      <c r="I634" s="57" t="s">
        <v>826</v>
      </c>
      <c r="J634" s="46">
        <v>55.0</v>
      </c>
      <c r="K634" s="49">
        <v>0.0</v>
      </c>
      <c r="L634" s="49">
        <v>0.0</v>
      </c>
      <c r="M634" s="49" t="s">
        <v>354</v>
      </c>
      <c r="N634" s="101" t="s">
        <v>17</v>
      </c>
      <c r="O634" s="101" t="s">
        <v>17</v>
      </c>
      <c r="P634" s="24" t="s">
        <v>235</v>
      </c>
      <c r="Q634" s="24" t="s">
        <v>236</v>
      </c>
      <c r="R634" s="24" t="s">
        <v>236</v>
      </c>
      <c r="S634" s="24" t="s">
        <v>236</v>
      </c>
      <c r="T634" s="24" t="s">
        <v>236</v>
      </c>
      <c r="U634" s="49"/>
      <c r="V634" s="46"/>
      <c r="W634" s="46"/>
      <c r="X634" s="46"/>
      <c r="Y634" s="46"/>
      <c r="Z634" s="46"/>
      <c r="AA634" s="46"/>
      <c r="AB634" s="49" t="s">
        <v>830</v>
      </c>
      <c r="AC634" s="46"/>
      <c r="AD634" s="46"/>
      <c r="AE634" s="46"/>
      <c r="AF634" s="49">
        <v>0.0</v>
      </c>
      <c r="AG634" s="49" t="s">
        <v>354</v>
      </c>
      <c r="AH634" s="46"/>
      <c r="AI634" s="49" t="s">
        <v>354</v>
      </c>
      <c r="AJ634" s="46"/>
      <c r="AK634" s="46"/>
      <c r="AL634" s="79" t="s">
        <v>361</v>
      </c>
      <c r="AM634" s="80" t="s">
        <v>356</v>
      </c>
      <c r="AN634" s="80" t="s">
        <v>356</v>
      </c>
    </row>
    <row r="635">
      <c r="A635" s="45" t="s">
        <v>234</v>
      </c>
      <c r="B635" s="18" t="s">
        <v>825</v>
      </c>
      <c r="C635" s="46" t="s">
        <v>233</v>
      </c>
      <c r="D635" s="47" t="s">
        <v>547</v>
      </c>
      <c r="E635" s="48" t="s">
        <v>7</v>
      </c>
      <c r="F635" s="46" t="s">
        <v>67</v>
      </c>
      <c r="G635" s="49" t="s">
        <v>354</v>
      </c>
      <c r="H635" s="49">
        <v>250.0</v>
      </c>
      <c r="I635" s="57" t="s">
        <v>826</v>
      </c>
      <c r="J635" s="46">
        <v>55.0</v>
      </c>
      <c r="K635" s="49">
        <v>1.0</v>
      </c>
      <c r="L635" s="49">
        <v>0.0</v>
      </c>
      <c r="M635" s="49" t="s">
        <v>354</v>
      </c>
      <c r="N635" s="101" t="s">
        <v>17</v>
      </c>
      <c r="O635" s="101" t="s">
        <v>17</v>
      </c>
      <c r="P635" s="24" t="s">
        <v>235</v>
      </c>
      <c r="Q635" s="24" t="s">
        <v>236</v>
      </c>
      <c r="R635" s="24" t="s">
        <v>236</v>
      </c>
      <c r="S635" s="24" t="s">
        <v>236</v>
      </c>
      <c r="T635" s="24" t="s">
        <v>236</v>
      </c>
      <c r="U635" s="24" t="s">
        <v>236</v>
      </c>
      <c r="V635" s="46"/>
      <c r="W635" s="46"/>
      <c r="X635" s="46"/>
      <c r="Y635" s="46"/>
      <c r="Z635" s="46"/>
      <c r="AA635" s="46"/>
      <c r="AB635" s="49" t="s">
        <v>662</v>
      </c>
      <c r="AC635" s="46"/>
      <c r="AD635" s="46"/>
      <c r="AE635" s="46"/>
      <c r="AF635" s="49">
        <v>0.0</v>
      </c>
      <c r="AG635" s="49" t="s">
        <v>354</v>
      </c>
      <c r="AH635" s="46"/>
      <c r="AI635" s="49" t="s">
        <v>354</v>
      </c>
      <c r="AJ635" s="46"/>
      <c r="AK635" s="46"/>
      <c r="AL635" s="79" t="s">
        <v>361</v>
      </c>
      <c r="AM635" s="80" t="s">
        <v>356</v>
      </c>
      <c r="AN635" s="80" t="s">
        <v>356</v>
      </c>
    </row>
    <row r="636">
      <c r="A636" s="45" t="s">
        <v>234</v>
      </c>
      <c r="B636" s="18" t="s">
        <v>825</v>
      </c>
      <c r="C636" s="46" t="s">
        <v>233</v>
      </c>
      <c r="D636" s="47" t="s">
        <v>547</v>
      </c>
      <c r="E636" s="48" t="s">
        <v>7</v>
      </c>
      <c r="F636" s="46" t="s">
        <v>67</v>
      </c>
      <c r="G636" s="49" t="s">
        <v>354</v>
      </c>
      <c r="H636" s="49">
        <v>290.0</v>
      </c>
      <c r="I636" s="57" t="s">
        <v>826</v>
      </c>
      <c r="J636" s="46">
        <v>55.0</v>
      </c>
      <c r="K636" s="49">
        <v>1.0</v>
      </c>
      <c r="L636" s="49">
        <v>0.0</v>
      </c>
      <c r="M636" s="49" t="s">
        <v>354</v>
      </c>
      <c r="N636" s="101" t="s">
        <v>17</v>
      </c>
      <c r="O636" s="101" t="s">
        <v>17</v>
      </c>
      <c r="P636" s="24" t="s">
        <v>235</v>
      </c>
      <c r="Q636" s="24" t="s">
        <v>236</v>
      </c>
      <c r="R636" s="24" t="s">
        <v>236</v>
      </c>
      <c r="S636" s="24" t="s">
        <v>236</v>
      </c>
      <c r="T636" s="24" t="s">
        <v>236</v>
      </c>
      <c r="U636" s="24" t="s">
        <v>236</v>
      </c>
      <c r="V636" s="24" t="s">
        <v>236</v>
      </c>
      <c r="W636" s="182"/>
      <c r="X636" s="182"/>
      <c r="Y636" s="182"/>
      <c r="Z636" s="182"/>
      <c r="AA636" s="46"/>
      <c r="AB636" s="57" t="s">
        <v>354</v>
      </c>
      <c r="AC636" s="46"/>
      <c r="AD636" s="46"/>
      <c r="AE636" s="46"/>
      <c r="AF636" s="49">
        <v>0.0</v>
      </c>
      <c r="AG636" s="49" t="s">
        <v>354</v>
      </c>
      <c r="AH636" s="46"/>
      <c r="AI636" s="49" t="s">
        <v>354</v>
      </c>
      <c r="AJ636" s="46"/>
      <c r="AK636" s="46"/>
      <c r="AL636" s="80" t="s">
        <v>356</v>
      </c>
      <c r="AM636" s="80" t="s">
        <v>356</v>
      </c>
      <c r="AN636" s="80" t="s">
        <v>356</v>
      </c>
    </row>
    <row r="637">
      <c r="A637" s="45" t="s">
        <v>234</v>
      </c>
      <c r="B637" s="18" t="s">
        <v>825</v>
      </c>
      <c r="C637" s="46" t="s">
        <v>233</v>
      </c>
      <c r="D637" s="47" t="s">
        <v>547</v>
      </c>
      <c r="E637" s="48" t="s">
        <v>7</v>
      </c>
      <c r="F637" s="46" t="s">
        <v>67</v>
      </c>
      <c r="G637" s="49" t="s">
        <v>354</v>
      </c>
      <c r="H637" s="49">
        <v>205.0</v>
      </c>
      <c r="I637" s="57" t="s">
        <v>826</v>
      </c>
      <c r="J637" s="46">
        <v>55.0</v>
      </c>
      <c r="K637" s="49">
        <v>0.0</v>
      </c>
      <c r="L637" s="49">
        <v>0.0</v>
      </c>
      <c r="M637" s="49" t="s">
        <v>354</v>
      </c>
      <c r="N637" s="101" t="s">
        <v>17</v>
      </c>
      <c r="O637" s="101" t="s">
        <v>17</v>
      </c>
      <c r="P637" s="24" t="s">
        <v>235</v>
      </c>
      <c r="Q637" s="24" t="s">
        <v>236</v>
      </c>
      <c r="R637" s="24" t="s">
        <v>236</v>
      </c>
      <c r="S637" s="24" t="s">
        <v>236</v>
      </c>
      <c r="T637" s="24" t="s">
        <v>236</v>
      </c>
      <c r="U637" s="24" t="s">
        <v>236</v>
      </c>
      <c r="V637" s="24" t="s">
        <v>236</v>
      </c>
      <c r="W637" s="18" t="s">
        <v>831</v>
      </c>
      <c r="X637" s="182"/>
      <c r="Y637" s="182"/>
      <c r="Z637" s="182"/>
      <c r="AA637" s="46"/>
      <c r="AB637" s="158" t="s">
        <v>556</v>
      </c>
      <c r="AC637" s="46"/>
      <c r="AD637" s="46"/>
      <c r="AE637" s="46"/>
      <c r="AF637" s="49">
        <v>0.0</v>
      </c>
      <c r="AG637" s="49" t="s">
        <v>354</v>
      </c>
      <c r="AH637" s="46"/>
      <c r="AI637" s="49" t="s">
        <v>354</v>
      </c>
      <c r="AJ637" s="46"/>
      <c r="AK637" s="46"/>
      <c r="AL637" s="80" t="s">
        <v>356</v>
      </c>
      <c r="AM637" s="80" t="s">
        <v>356</v>
      </c>
      <c r="AN637" s="80" t="s">
        <v>356</v>
      </c>
    </row>
    <row r="638">
      <c r="A638" s="45" t="s">
        <v>234</v>
      </c>
      <c r="B638" s="18" t="s">
        <v>825</v>
      </c>
      <c r="C638" s="46" t="s">
        <v>233</v>
      </c>
      <c r="D638" s="47" t="s">
        <v>547</v>
      </c>
      <c r="E638" s="48" t="s">
        <v>7</v>
      </c>
      <c r="F638" s="46" t="s">
        <v>67</v>
      </c>
      <c r="G638" s="49" t="s">
        <v>354</v>
      </c>
      <c r="H638" s="49" t="s">
        <v>354</v>
      </c>
      <c r="I638" s="57" t="s">
        <v>826</v>
      </c>
      <c r="J638" s="46">
        <v>55.0</v>
      </c>
      <c r="K638" s="49">
        <v>0.0</v>
      </c>
      <c r="L638" s="78">
        <v>0.0</v>
      </c>
      <c r="M638" s="78" t="s">
        <v>832</v>
      </c>
      <c r="N638" s="101" t="s">
        <v>17</v>
      </c>
      <c r="O638" s="101" t="s">
        <v>17</v>
      </c>
      <c r="P638" s="24" t="s">
        <v>235</v>
      </c>
      <c r="Q638" s="24" t="s">
        <v>236</v>
      </c>
      <c r="R638" s="24" t="s">
        <v>236</v>
      </c>
      <c r="S638" s="24" t="s">
        <v>236</v>
      </c>
      <c r="T638" s="24" t="s">
        <v>236</v>
      </c>
      <c r="U638" s="24" t="s">
        <v>236</v>
      </c>
      <c r="V638" s="24" t="s">
        <v>236</v>
      </c>
      <c r="W638" s="18" t="s">
        <v>831</v>
      </c>
      <c r="X638" s="24" t="s">
        <v>236</v>
      </c>
      <c r="Y638" s="49"/>
      <c r="Z638" s="49"/>
      <c r="AA638" s="46"/>
      <c r="AB638" s="158" t="s">
        <v>556</v>
      </c>
      <c r="AC638" s="46"/>
      <c r="AD638" s="46"/>
      <c r="AE638" s="46"/>
      <c r="AF638" s="49">
        <v>0.0</v>
      </c>
      <c r="AG638" s="49" t="s">
        <v>354</v>
      </c>
      <c r="AH638" s="46"/>
      <c r="AI638" s="49" t="s">
        <v>354</v>
      </c>
      <c r="AJ638" s="46"/>
      <c r="AK638" s="46"/>
      <c r="AL638" s="79" t="s">
        <v>407</v>
      </c>
      <c r="AM638" s="80" t="s">
        <v>356</v>
      </c>
      <c r="AN638" s="80" t="s">
        <v>356</v>
      </c>
    </row>
    <row r="639">
      <c r="A639" s="45" t="s">
        <v>234</v>
      </c>
      <c r="B639" s="18" t="s">
        <v>825</v>
      </c>
      <c r="C639" s="46" t="s">
        <v>233</v>
      </c>
      <c r="D639" s="47" t="s">
        <v>547</v>
      </c>
      <c r="E639" s="48" t="s">
        <v>7</v>
      </c>
      <c r="F639" s="46" t="s">
        <v>67</v>
      </c>
      <c r="G639" s="57" t="s">
        <v>354</v>
      </c>
      <c r="H639" s="57" t="s">
        <v>354</v>
      </c>
      <c r="I639" s="57" t="s">
        <v>826</v>
      </c>
      <c r="J639" s="46">
        <v>55.0</v>
      </c>
      <c r="K639" s="49">
        <v>0.0</v>
      </c>
      <c r="L639" s="78">
        <v>0.0</v>
      </c>
      <c r="M639" s="78" t="s">
        <v>832</v>
      </c>
      <c r="N639" s="101" t="s">
        <v>17</v>
      </c>
      <c r="O639" s="101" t="s">
        <v>17</v>
      </c>
      <c r="P639" s="24" t="s">
        <v>235</v>
      </c>
      <c r="Q639" s="24" t="s">
        <v>236</v>
      </c>
      <c r="R639" s="24" t="s">
        <v>236</v>
      </c>
      <c r="S639" s="24" t="s">
        <v>236</v>
      </c>
      <c r="T639" s="24" t="s">
        <v>236</v>
      </c>
      <c r="U639" s="24" t="s">
        <v>236</v>
      </c>
      <c r="V639" s="24" t="s">
        <v>236</v>
      </c>
      <c r="W639" s="18" t="s">
        <v>831</v>
      </c>
      <c r="X639" s="24" t="s">
        <v>236</v>
      </c>
      <c r="Y639" s="83" t="s">
        <v>236</v>
      </c>
      <c r="Z639" s="49"/>
      <c r="AA639" s="46"/>
      <c r="AB639" s="158" t="s">
        <v>556</v>
      </c>
      <c r="AC639" s="46"/>
      <c r="AD639" s="46"/>
      <c r="AE639" s="46"/>
      <c r="AF639" s="49">
        <v>0.0</v>
      </c>
      <c r="AG639" s="49" t="s">
        <v>354</v>
      </c>
      <c r="AH639" s="46"/>
      <c r="AI639" s="49" t="s">
        <v>354</v>
      </c>
      <c r="AJ639" s="46"/>
      <c r="AK639" s="46"/>
      <c r="AL639" s="80" t="s">
        <v>356</v>
      </c>
      <c r="AM639" s="80" t="s">
        <v>356</v>
      </c>
      <c r="AN639" s="80" t="s">
        <v>356</v>
      </c>
    </row>
    <row r="640">
      <c r="A640" s="45" t="s">
        <v>234</v>
      </c>
      <c r="B640" s="18" t="s">
        <v>825</v>
      </c>
      <c r="C640" s="210" t="s">
        <v>233</v>
      </c>
      <c r="D640" s="211" t="s">
        <v>547</v>
      </c>
      <c r="E640" s="212" t="s">
        <v>7</v>
      </c>
      <c r="F640" s="210" t="s">
        <v>67</v>
      </c>
      <c r="G640" s="213" t="s">
        <v>354</v>
      </c>
      <c r="H640" s="213" t="s">
        <v>354</v>
      </c>
      <c r="I640" s="213" t="s">
        <v>826</v>
      </c>
      <c r="J640" s="210">
        <v>55.0</v>
      </c>
      <c r="K640" s="214">
        <v>0.0</v>
      </c>
      <c r="L640" s="78">
        <v>1.0</v>
      </c>
      <c r="M640" s="78" t="s">
        <v>832</v>
      </c>
      <c r="N640" s="215" t="s">
        <v>17</v>
      </c>
      <c r="O640" s="215" t="s">
        <v>17</v>
      </c>
      <c r="P640" s="216" t="s">
        <v>235</v>
      </c>
      <c r="Q640" s="216" t="s">
        <v>236</v>
      </c>
      <c r="R640" s="216" t="s">
        <v>236</v>
      </c>
      <c r="S640" s="216" t="s">
        <v>236</v>
      </c>
      <c r="T640" s="216" t="s">
        <v>236</v>
      </c>
      <c r="U640" s="216" t="s">
        <v>236</v>
      </c>
      <c r="V640" s="216" t="s">
        <v>236</v>
      </c>
      <c r="W640" s="217" t="s">
        <v>831</v>
      </c>
      <c r="X640" s="24" t="s">
        <v>236</v>
      </c>
      <c r="Y640" s="83" t="s">
        <v>236</v>
      </c>
      <c r="Z640" s="18" t="s">
        <v>833</v>
      </c>
      <c r="AA640" s="46"/>
      <c r="AB640" s="158" t="s">
        <v>834</v>
      </c>
      <c r="AC640" s="46"/>
      <c r="AD640" s="46"/>
      <c r="AE640" s="46"/>
      <c r="AF640" s="49">
        <v>0.0</v>
      </c>
      <c r="AG640" s="49" t="s">
        <v>356</v>
      </c>
      <c r="AH640" s="46"/>
      <c r="AI640" s="49" t="s">
        <v>356</v>
      </c>
      <c r="AJ640" s="57" t="s">
        <v>356</v>
      </c>
      <c r="AK640" s="57" t="s">
        <v>356</v>
      </c>
      <c r="AL640" s="79" t="s">
        <v>407</v>
      </c>
      <c r="AM640" s="80" t="s">
        <v>356</v>
      </c>
      <c r="AN640" s="79" t="s">
        <v>407</v>
      </c>
    </row>
    <row r="641">
      <c r="A641" s="45" t="s">
        <v>234</v>
      </c>
      <c r="B641" s="18" t="s">
        <v>825</v>
      </c>
      <c r="C641" s="210" t="s">
        <v>233</v>
      </c>
      <c r="D641" s="211" t="s">
        <v>547</v>
      </c>
      <c r="E641" s="212" t="s">
        <v>7</v>
      </c>
      <c r="F641" s="210" t="s">
        <v>67</v>
      </c>
      <c r="G641" s="213" t="s">
        <v>354</v>
      </c>
      <c r="H641" s="213" t="s">
        <v>354</v>
      </c>
      <c r="I641" s="213" t="s">
        <v>826</v>
      </c>
      <c r="J641" s="210">
        <v>55.0</v>
      </c>
      <c r="K641" s="214">
        <v>1.0</v>
      </c>
      <c r="L641" s="78">
        <v>0.0</v>
      </c>
      <c r="M641" s="78" t="s">
        <v>832</v>
      </c>
      <c r="N641" s="215" t="s">
        <v>17</v>
      </c>
      <c r="O641" s="215" t="s">
        <v>17</v>
      </c>
      <c r="P641" s="216" t="s">
        <v>235</v>
      </c>
      <c r="Q641" s="216" t="s">
        <v>236</v>
      </c>
      <c r="R641" s="216" t="s">
        <v>236</v>
      </c>
      <c r="S641" s="216" t="s">
        <v>236</v>
      </c>
      <c r="T641" s="216" t="s">
        <v>236</v>
      </c>
      <c r="U641" s="216" t="s">
        <v>236</v>
      </c>
      <c r="V641" s="216" t="s">
        <v>236</v>
      </c>
      <c r="W641" s="217" t="s">
        <v>831</v>
      </c>
      <c r="X641" s="24" t="s">
        <v>236</v>
      </c>
      <c r="Y641" s="83" t="s">
        <v>236</v>
      </c>
      <c r="Z641" s="18" t="s">
        <v>833</v>
      </c>
      <c r="AA641" s="83" t="s">
        <v>236</v>
      </c>
      <c r="AB641" s="158" t="s">
        <v>556</v>
      </c>
      <c r="AC641" s="46"/>
      <c r="AD641" s="46"/>
      <c r="AE641" s="46"/>
      <c r="AF641" s="49">
        <v>0.0</v>
      </c>
      <c r="AG641" s="49" t="s">
        <v>354</v>
      </c>
      <c r="AH641" s="46"/>
      <c r="AI641" s="49" t="s">
        <v>354</v>
      </c>
      <c r="AJ641" s="46"/>
      <c r="AK641" s="46"/>
      <c r="AL641" s="80" t="s">
        <v>356</v>
      </c>
      <c r="AM641" s="80" t="s">
        <v>356</v>
      </c>
      <c r="AN641" s="80" t="s">
        <v>356</v>
      </c>
    </row>
    <row r="642">
      <c r="A642" s="121" t="s">
        <v>835</v>
      </c>
      <c r="B642" s="18" t="s">
        <v>836</v>
      </c>
      <c r="C642" s="122" t="s">
        <v>311</v>
      </c>
      <c r="D642" s="123" t="s">
        <v>490</v>
      </c>
      <c r="E642" s="124" t="s">
        <v>491</v>
      </c>
      <c r="F642" s="122" t="s">
        <v>67</v>
      </c>
      <c r="G642" s="125" t="s">
        <v>354</v>
      </c>
      <c r="H642" s="125" t="s">
        <v>354</v>
      </c>
      <c r="I642" s="125" t="s">
        <v>826</v>
      </c>
      <c r="J642" s="122">
        <v>72.0</v>
      </c>
      <c r="K642" s="125">
        <v>0.0</v>
      </c>
      <c r="L642" s="125">
        <v>0.0</v>
      </c>
      <c r="M642" s="125" t="s">
        <v>354</v>
      </c>
      <c r="N642" s="101" t="s">
        <v>17</v>
      </c>
      <c r="O642" s="101" t="s">
        <v>17</v>
      </c>
      <c r="P642" s="101" t="s">
        <v>17</v>
      </c>
      <c r="Q642" s="101" t="s">
        <v>17</v>
      </c>
      <c r="R642" s="24" t="s">
        <v>312</v>
      </c>
      <c r="S642" s="122"/>
      <c r="T642" s="122"/>
      <c r="U642" s="122"/>
      <c r="V642" s="122"/>
      <c r="W642" s="122"/>
      <c r="X642" s="122"/>
      <c r="Y642" s="122"/>
      <c r="Z642" s="122"/>
      <c r="AA642" s="122"/>
      <c r="AB642" s="147" t="s">
        <v>354</v>
      </c>
      <c r="AC642" s="122"/>
      <c r="AD642" s="122"/>
      <c r="AE642" s="122"/>
      <c r="AF642" s="125" t="s">
        <v>354</v>
      </c>
      <c r="AG642" s="124" t="s">
        <v>356</v>
      </c>
      <c r="AH642" s="148"/>
      <c r="AI642" s="124" t="s">
        <v>356</v>
      </c>
      <c r="AJ642" s="125" t="s">
        <v>354</v>
      </c>
      <c r="AK642" s="125" t="s">
        <v>354</v>
      </c>
      <c r="AL642" s="125" t="s">
        <v>356</v>
      </c>
      <c r="AM642" s="125" t="s">
        <v>356</v>
      </c>
      <c r="AN642" s="125" t="s">
        <v>356</v>
      </c>
    </row>
    <row r="643">
      <c r="A643" s="121" t="s">
        <v>835</v>
      </c>
      <c r="B643" s="18" t="s">
        <v>836</v>
      </c>
      <c r="C643" s="122" t="s">
        <v>311</v>
      </c>
      <c r="D643" s="123" t="s">
        <v>490</v>
      </c>
      <c r="E643" s="124" t="s">
        <v>62</v>
      </c>
      <c r="F643" s="122" t="s">
        <v>67</v>
      </c>
      <c r="G643" s="125" t="s">
        <v>354</v>
      </c>
      <c r="H643" s="125">
        <v>85.0</v>
      </c>
      <c r="I643" s="125" t="s">
        <v>826</v>
      </c>
      <c r="J643" s="122">
        <v>60.0</v>
      </c>
      <c r="K643" s="125">
        <v>0.0</v>
      </c>
      <c r="L643" s="125">
        <v>0.0</v>
      </c>
      <c r="M643" s="125" t="s">
        <v>354</v>
      </c>
      <c r="N643" s="101" t="s">
        <v>17</v>
      </c>
      <c r="O643" s="101" t="s">
        <v>17</v>
      </c>
      <c r="P643" s="101" t="s">
        <v>17</v>
      </c>
      <c r="Q643" s="101" t="s">
        <v>17</v>
      </c>
      <c r="R643" s="24" t="s">
        <v>312</v>
      </c>
      <c r="S643" s="24" t="s">
        <v>313</v>
      </c>
      <c r="T643" s="122"/>
      <c r="U643" s="122"/>
      <c r="V643" s="122"/>
      <c r="W643" s="122"/>
      <c r="X643" s="122"/>
      <c r="Y643" s="122"/>
      <c r="Z643" s="122"/>
      <c r="AA643" s="122"/>
      <c r="AB643" s="125" t="s">
        <v>590</v>
      </c>
      <c r="AC643" s="122"/>
      <c r="AD643" s="122"/>
      <c r="AE643" s="122"/>
      <c r="AF643" s="129">
        <v>30.23</v>
      </c>
      <c r="AG643" s="124" t="s">
        <v>354</v>
      </c>
      <c r="AH643" s="124"/>
      <c r="AI643" s="124" t="s">
        <v>354</v>
      </c>
      <c r="AJ643" s="122"/>
      <c r="AK643" s="122"/>
      <c r="AL643" s="126" t="s">
        <v>361</v>
      </c>
      <c r="AM643" s="58" t="s">
        <v>380</v>
      </c>
      <c r="AN643" s="127" t="s">
        <v>356</v>
      </c>
    </row>
    <row r="644">
      <c r="A644" s="121" t="s">
        <v>835</v>
      </c>
      <c r="B644" s="18" t="s">
        <v>836</v>
      </c>
      <c r="C644" s="122" t="s">
        <v>311</v>
      </c>
      <c r="D644" s="123" t="s">
        <v>490</v>
      </c>
      <c r="E644" s="124" t="s">
        <v>62</v>
      </c>
      <c r="F644" s="122" t="s">
        <v>67</v>
      </c>
      <c r="G644" s="125">
        <v>101.0</v>
      </c>
      <c r="H644" s="125">
        <v>120.0</v>
      </c>
      <c r="I644" s="125" t="s">
        <v>826</v>
      </c>
      <c r="J644" s="122">
        <v>62.0</v>
      </c>
      <c r="K644" s="125">
        <v>0.0</v>
      </c>
      <c r="L644" s="125">
        <v>0.0</v>
      </c>
      <c r="M644" s="125" t="s">
        <v>354</v>
      </c>
      <c r="N644" s="101" t="s">
        <v>17</v>
      </c>
      <c r="O644" s="101" t="s">
        <v>17</v>
      </c>
      <c r="P644" s="101" t="s">
        <v>17</v>
      </c>
      <c r="Q644" s="101" t="s">
        <v>17</v>
      </c>
      <c r="R644" s="24" t="s">
        <v>312</v>
      </c>
      <c r="S644" s="24" t="s">
        <v>313</v>
      </c>
      <c r="T644" s="24" t="s">
        <v>314</v>
      </c>
      <c r="U644" s="122"/>
      <c r="V644" s="122"/>
      <c r="W644" s="122"/>
      <c r="X644" s="122"/>
      <c r="Y644" s="122"/>
      <c r="Z644" s="122"/>
      <c r="AA644" s="122"/>
      <c r="AB644" s="125" t="s">
        <v>837</v>
      </c>
      <c r="AC644" s="122"/>
      <c r="AD644" s="122"/>
      <c r="AE644" s="122"/>
      <c r="AF644" s="125">
        <v>0.0</v>
      </c>
      <c r="AG644" s="125" t="s">
        <v>354</v>
      </c>
      <c r="AH644" s="122"/>
      <c r="AI644" s="125" t="s">
        <v>354</v>
      </c>
      <c r="AJ644" s="122"/>
      <c r="AK644" s="122"/>
      <c r="AL644" s="197" t="s">
        <v>407</v>
      </c>
      <c r="AM644" s="122" t="s">
        <v>356</v>
      </c>
      <c r="AN644" s="122" t="s">
        <v>356</v>
      </c>
    </row>
    <row r="645">
      <c r="A645" s="121" t="s">
        <v>835</v>
      </c>
      <c r="B645" s="18" t="s">
        <v>836</v>
      </c>
      <c r="C645" s="122" t="s">
        <v>311</v>
      </c>
      <c r="D645" s="123" t="s">
        <v>490</v>
      </c>
      <c r="E645" s="124" t="s">
        <v>37</v>
      </c>
      <c r="F645" s="122" t="s">
        <v>67</v>
      </c>
      <c r="G645" s="125">
        <v>103.0</v>
      </c>
      <c r="H645" s="125">
        <v>135.0</v>
      </c>
      <c r="I645" s="125" t="s">
        <v>826</v>
      </c>
      <c r="J645" s="122"/>
      <c r="K645" s="125">
        <v>0.0</v>
      </c>
      <c r="L645" s="125">
        <v>0.0</v>
      </c>
      <c r="M645" s="125" t="s">
        <v>354</v>
      </c>
      <c r="N645" s="101" t="s">
        <v>17</v>
      </c>
      <c r="O645" s="101" t="s">
        <v>17</v>
      </c>
      <c r="P645" s="101" t="s">
        <v>17</v>
      </c>
      <c r="Q645" s="101" t="s">
        <v>17</v>
      </c>
      <c r="R645" s="24" t="s">
        <v>312</v>
      </c>
      <c r="S645" s="24" t="s">
        <v>313</v>
      </c>
      <c r="T645" s="24" t="s">
        <v>314</v>
      </c>
      <c r="U645" s="18" t="s">
        <v>838</v>
      </c>
      <c r="V645" s="122"/>
      <c r="W645" s="122"/>
      <c r="X645" s="122"/>
      <c r="Y645" s="122"/>
      <c r="Z645" s="122"/>
      <c r="AA645" s="122"/>
      <c r="AB645" s="125" t="s">
        <v>471</v>
      </c>
      <c r="AC645" s="122"/>
      <c r="AD645" s="122"/>
      <c r="AE645" s="122"/>
      <c r="AF645" s="125">
        <v>0.0</v>
      </c>
      <c r="AG645" s="125" t="s">
        <v>354</v>
      </c>
      <c r="AH645" s="122"/>
      <c r="AI645" s="125" t="s">
        <v>354</v>
      </c>
      <c r="AJ645" s="122"/>
      <c r="AK645" s="122"/>
      <c r="AL645" s="122" t="s">
        <v>356</v>
      </c>
      <c r="AM645" s="122" t="s">
        <v>356</v>
      </c>
      <c r="AN645" s="122" t="s">
        <v>356</v>
      </c>
    </row>
    <row r="646">
      <c r="A646" s="121" t="s">
        <v>835</v>
      </c>
      <c r="B646" s="18" t="s">
        <v>836</v>
      </c>
      <c r="C646" s="122" t="s">
        <v>311</v>
      </c>
      <c r="D646" s="123" t="s">
        <v>490</v>
      </c>
      <c r="E646" s="124" t="s">
        <v>37</v>
      </c>
      <c r="F646" s="122" t="s">
        <v>67</v>
      </c>
      <c r="G646" s="125">
        <v>112.0</v>
      </c>
      <c r="H646" s="125">
        <v>175.0</v>
      </c>
      <c r="I646" s="125" t="s">
        <v>826</v>
      </c>
      <c r="J646" s="122"/>
      <c r="K646" s="125">
        <v>0.0</v>
      </c>
      <c r="L646" s="125">
        <v>0.0</v>
      </c>
      <c r="M646" s="125" t="s">
        <v>354</v>
      </c>
      <c r="N646" s="101" t="s">
        <v>17</v>
      </c>
      <c r="O646" s="101" t="s">
        <v>17</v>
      </c>
      <c r="P646" s="101" t="s">
        <v>17</v>
      </c>
      <c r="Q646" s="101" t="s">
        <v>17</v>
      </c>
      <c r="R646" s="24" t="s">
        <v>312</v>
      </c>
      <c r="S646" s="24" t="s">
        <v>313</v>
      </c>
      <c r="T646" s="24" t="s">
        <v>314</v>
      </c>
      <c r="U646" s="18" t="s">
        <v>838</v>
      </c>
      <c r="V646" s="18" t="s">
        <v>839</v>
      </c>
      <c r="W646" s="122"/>
      <c r="X646" s="122"/>
      <c r="Y646" s="122"/>
      <c r="Z646" s="122"/>
      <c r="AA646" s="122"/>
      <c r="AB646" s="147" t="s">
        <v>354</v>
      </c>
      <c r="AC646" s="122"/>
      <c r="AD646" s="122"/>
      <c r="AE646" s="122"/>
      <c r="AF646" s="125">
        <v>0.0</v>
      </c>
      <c r="AG646" s="125" t="s">
        <v>354</v>
      </c>
      <c r="AH646" s="122"/>
      <c r="AI646" s="125" t="s">
        <v>354</v>
      </c>
      <c r="AJ646" s="122"/>
      <c r="AK646" s="122"/>
      <c r="AL646" s="122" t="s">
        <v>356</v>
      </c>
      <c r="AM646" s="122" t="s">
        <v>356</v>
      </c>
      <c r="AN646" s="122" t="s">
        <v>356</v>
      </c>
    </row>
    <row r="647">
      <c r="A647" s="121" t="s">
        <v>835</v>
      </c>
      <c r="B647" s="18" t="s">
        <v>836</v>
      </c>
      <c r="C647" s="122" t="s">
        <v>311</v>
      </c>
      <c r="D647" s="123" t="s">
        <v>490</v>
      </c>
      <c r="E647" s="124" t="s">
        <v>37</v>
      </c>
      <c r="F647" s="122" t="s">
        <v>67</v>
      </c>
      <c r="G647" s="125">
        <v>118.0</v>
      </c>
      <c r="H647" s="147" t="s">
        <v>354</v>
      </c>
      <c r="I647" s="125" t="s">
        <v>826</v>
      </c>
      <c r="J647" s="122"/>
      <c r="K647" s="125">
        <v>0.0</v>
      </c>
      <c r="L647" s="125">
        <v>0.0</v>
      </c>
      <c r="M647" s="125" t="s">
        <v>354</v>
      </c>
      <c r="N647" s="101" t="s">
        <v>17</v>
      </c>
      <c r="O647" s="101" t="s">
        <v>17</v>
      </c>
      <c r="P647" s="101" t="s">
        <v>17</v>
      </c>
      <c r="Q647" s="101" t="s">
        <v>17</v>
      </c>
      <c r="R647" s="24" t="s">
        <v>312</v>
      </c>
      <c r="S647" s="24" t="s">
        <v>313</v>
      </c>
      <c r="T647" s="24" t="s">
        <v>314</v>
      </c>
      <c r="U647" s="18" t="s">
        <v>838</v>
      </c>
      <c r="V647" s="18" t="s">
        <v>839</v>
      </c>
      <c r="W647" s="18" t="s">
        <v>840</v>
      </c>
      <c r="X647" s="122"/>
      <c r="Y647" s="122"/>
      <c r="Z647" s="122"/>
      <c r="AA647" s="122"/>
      <c r="AB647" s="158" t="s">
        <v>455</v>
      </c>
      <c r="AC647" s="122"/>
      <c r="AD647" s="122"/>
      <c r="AE647" s="122"/>
      <c r="AF647" s="125">
        <v>0.0</v>
      </c>
      <c r="AG647" s="125" t="s">
        <v>354</v>
      </c>
      <c r="AH647" s="122"/>
      <c r="AI647" s="125" t="s">
        <v>354</v>
      </c>
      <c r="AJ647" s="122"/>
      <c r="AK647" s="122"/>
      <c r="AL647" s="197" t="s">
        <v>361</v>
      </c>
      <c r="AM647" s="122" t="s">
        <v>356</v>
      </c>
      <c r="AN647" s="122" t="s">
        <v>356</v>
      </c>
    </row>
    <row r="648">
      <c r="A648" s="121" t="s">
        <v>835</v>
      </c>
      <c r="B648" s="18" t="s">
        <v>836</v>
      </c>
      <c r="C648" s="136"/>
      <c r="D648" s="123" t="s">
        <v>490</v>
      </c>
      <c r="E648" s="124" t="s">
        <v>37</v>
      </c>
      <c r="F648" s="122" t="s">
        <v>67</v>
      </c>
      <c r="G648" s="147" t="s">
        <v>354</v>
      </c>
      <c r="H648" s="147" t="s">
        <v>354</v>
      </c>
      <c r="I648" s="125" t="s">
        <v>826</v>
      </c>
      <c r="J648" s="122"/>
      <c r="K648" s="125">
        <v>0.0</v>
      </c>
      <c r="L648" s="78">
        <v>1.0</v>
      </c>
      <c r="M648" s="78" t="s">
        <v>841</v>
      </c>
      <c r="N648" s="174" t="s">
        <v>17</v>
      </c>
      <c r="O648" s="174" t="s">
        <v>17</v>
      </c>
      <c r="P648" s="174" t="s">
        <v>17</v>
      </c>
      <c r="Q648" s="174" t="s">
        <v>17</v>
      </c>
      <c r="R648" s="24" t="s">
        <v>312</v>
      </c>
      <c r="S648" s="24" t="s">
        <v>313</v>
      </c>
      <c r="T648" s="24" t="s">
        <v>314</v>
      </c>
      <c r="U648" s="18" t="s">
        <v>838</v>
      </c>
      <c r="V648" s="18" t="s">
        <v>839</v>
      </c>
      <c r="W648" s="18" t="s">
        <v>840</v>
      </c>
      <c r="X648" s="18">
        <v>3982.0</v>
      </c>
      <c r="Y648" s="122"/>
      <c r="Z648" s="122"/>
      <c r="AA648" s="122"/>
      <c r="AB648" s="158" t="s">
        <v>455</v>
      </c>
      <c r="AC648" s="183"/>
      <c r="AD648" s="183"/>
      <c r="AE648" s="183"/>
      <c r="AF648" s="125">
        <v>0.0</v>
      </c>
      <c r="AG648" s="125" t="s">
        <v>354</v>
      </c>
      <c r="AH648" s="122"/>
      <c r="AI648" s="125" t="s">
        <v>354</v>
      </c>
      <c r="AJ648" s="122"/>
      <c r="AK648" s="122"/>
      <c r="AL648" s="109" t="s">
        <v>420</v>
      </c>
      <c r="AM648" s="109" t="s">
        <v>420</v>
      </c>
      <c r="AN648" s="109" t="s">
        <v>420</v>
      </c>
    </row>
    <row r="649">
      <c r="A649" s="121" t="s">
        <v>835</v>
      </c>
      <c r="B649" s="18" t="s">
        <v>836</v>
      </c>
      <c r="C649" s="122" t="s">
        <v>311</v>
      </c>
      <c r="D649" s="123" t="s">
        <v>490</v>
      </c>
      <c r="E649" s="124" t="s">
        <v>37</v>
      </c>
      <c r="F649" s="122" t="s">
        <v>67</v>
      </c>
      <c r="G649" s="147" t="s">
        <v>354</v>
      </c>
      <c r="H649" s="147" t="s">
        <v>354</v>
      </c>
      <c r="I649" s="125" t="s">
        <v>826</v>
      </c>
      <c r="J649" s="122"/>
      <c r="K649" s="125">
        <v>0.0</v>
      </c>
      <c r="L649" s="78">
        <v>1.0</v>
      </c>
      <c r="M649" s="78" t="s">
        <v>841</v>
      </c>
      <c r="N649" s="101" t="s">
        <v>17</v>
      </c>
      <c r="O649" s="101" t="s">
        <v>17</v>
      </c>
      <c r="P649" s="101" t="s">
        <v>17</v>
      </c>
      <c r="Q649" s="101" t="s">
        <v>17</v>
      </c>
      <c r="R649" s="24" t="s">
        <v>312</v>
      </c>
      <c r="S649" s="24" t="s">
        <v>313</v>
      </c>
      <c r="T649" s="24" t="s">
        <v>314</v>
      </c>
      <c r="U649" s="18" t="s">
        <v>838</v>
      </c>
      <c r="V649" s="18" t="s">
        <v>839</v>
      </c>
      <c r="W649" s="18" t="s">
        <v>840</v>
      </c>
      <c r="X649" s="18">
        <v>3982.0</v>
      </c>
      <c r="Y649" s="18" t="s">
        <v>842</v>
      </c>
      <c r="Z649" s="125"/>
      <c r="AA649" s="122"/>
      <c r="AB649" s="158" t="s">
        <v>455</v>
      </c>
      <c r="AC649" s="122"/>
      <c r="AD649" s="122"/>
      <c r="AE649" s="122"/>
      <c r="AF649" s="218">
        <v>34.2215503792788</v>
      </c>
      <c r="AG649" s="125" t="s">
        <v>354</v>
      </c>
      <c r="AH649" s="122"/>
      <c r="AI649" s="125" t="s">
        <v>354</v>
      </c>
      <c r="AJ649" s="135"/>
      <c r="AK649" s="44" t="s">
        <v>420</v>
      </c>
      <c r="AL649" s="44" t="s">
        <v>420</v>
      </c>
      <c r="AM649" s="122" t="s">
        <v>356</v>
      </c>
      <c r="AN649" s="44" t="s">
        <v>420</v>
      </c>
    </row>
    <row r="650">
      <c r="A650" s="121" t="s">
        <v>835</v>
      </c>
      <c r="B650" s="18" t="s">
        <v>836</v>
      </c>
      <c r="C650" s="122" t="s">
        <v>311</v>
      </c>
      <c r="D650" s="123" t="s">
        <v>490</v>
      </c>
      <c r="E650" s="124" t="s">
        <v>37</v>
      </c>
      <c r="F650" s="122" t="s">
        <v>67</v>
      </c>
      <c r="G650" s="147" t="s">
        <v>354</v>
      </c>
      <c r="H650" s="147" t="s">
        <v>354</v>
      </c>
      <c r="I650" s="125" t="s">
        <v>826</v>
      </c>
      <c r="J650" s="122"/>
      <c r="K650" s="125">
        <v>0.0</v>
      </c>
      <c r="L650" s="78">
        <v>1.0</v>
      </c>
      <c r="M650" s="78" t="s">
        <v>841</v>
      </c>
      <c r="N650" s="101" t="s">
        <v>17</v>
      </c>
      <c r="O650" s="101" t="s">
        <v>17</v>
      </c>
      <c r="P650" s="101" t="s">
        <v>17</v>
      </c>
      <c r="Q650" s="101" t="s">
        <v>17</v>
      </c>
      <c r="R650" s="24" t="s">
        <v>312</v>
      </c>
      <c r="S650" s="24" t="s">
        <v>313</v>
      </c>
      <c r="T650" s="24" t="s">
        <v>314</v>
      </c>
      <c r="U650" s="18" t="s">
        <v>838</v>
      </c>
      <c r="V650" s="18" t="s">
        <v>839</v>
      </c>
      <c r="W650" s="18" t="s">
        <v>840</v>
      </c>
      <c r="X650" s="18">
        <v>3982.0</v>
      </c>
      <c r="Y650" s="18" t="s">
        <v>842</v>
      </c>
      <c r="Z650" s="18" t="s">
        <v>843</v>
      </c>
      <c r="AA650" s="122"/>
      <c r="AB650" s="158" t="s">
        <v>455</v>
      </c>
      <c r="AC650" s="122"/>
      <c r="AD650" s="122"/>
      <c r="AE650" s="122"/>
      <c r="AF650" s="134">
        <v>33.18</v>
      </c>
      <c r="AG650" s="125" t="s">
        <v>356</v>
      </c>
      <c r="AH650" s="122"/>
      <c r="AI650" s="125" t="s">
        <v>356</v>
      </c>
      <c r="AJ650" s="135" t="s">
        <v>361</v>
      </c>
      <c r="AK650" s="125" t="s">
        <v>356</v>
      </c>
      <c r="AL650" s="219" t="s">
        <v>361</v>
      </c>
      <c r="AM650" s="127" t="s">
        <v>356</v>
      </c>
      <c r="AN650" s="220" t="s">
        <v>356</v>
      </c>
    </row>
    <row r="651">
      <c r="A651" s="121" t="s">
        <v>835</v>
      </c>
      <c r="B651" s="18" t="s">
        <v>836</v>
      </c>
      <c r="C651" s="122" t="s">
        <v>311</v>
      </c>
      <c r="D651" s="123" t="s">
        <v>490</v>
      </c>
      <c r="E651" s="124" t="s">
        <v>37</v>
      </c>
      <c r="F651" s="122" t="s">
        <v>67</v>
      </c>
      <c r="G651" s="147" t="s">
        <v>354</v>
      </c>
      <c r="H651" s="147" t="s">
        <v>354</v>
      </c>
      <c r="I651" s="125" t="s">
        <v>826</v>
      </c>
      <c r="J651" s="122"/>
      <c r="K651" s="125">
        <v>1.0</v>
      </c>
      <c r="L651" s="78">
        <v>1.0</v>
      </c>
      <c r="M651" s="78" t="s">
        <v>841</v>
      </c>
      <c r="N651" s="101" t="s">
        <v>17</v>
      </c>
      <c r="O651" s="101" t="s">
        <v>17</v>
      </c>
      <c r="P651" s="101" t="s">
        <v>17</v>
      </c>
      <c r="Q651" s="101" t="s">
        <v>17</v>
      </c>
      <c r="R651" s="24" t="s">
        <v>312</v>
      </c>
      <c r="S651" s="24" t="s">
        <v>313</v>
      </c>
      <c r="T651" s="24" t="s">
        <v>314</v>
      </c>
      <c r="U651" s="18" t="s">
        <v>838</v>
      </c>
      <c r="V651" s="18" t="s">
        <v>839</v>
      </c>
      <c r="W651" s="18" t="s">
        <v>840</v>
      </c>
      <c r="X651" s="18">
        <v>3982.0</v>
      </c>
      <c r="Y651" s="18" t="s">
        <v>842</v>
      </c>
      <c r="Z651" s="18" t="s">
        <v>843</v>
      </c>
      <c r="AA651" s="18" t="s">
        <v>842</v>
      </c>
      <c r="AB651" s="158" t="s">
        <v>455</v>
      </c>
      <c r="AC651" s="122"/>
      <c r="AD651" s="122"/>
      <c r="AE651" s="122"/>
      <c r="AF651" s="134">
        <v>31.8754945809734</v>
      </c>
      <c r="AG651" s="125" t="s">
        <v>354</v>
      </c>
      <c r="AH651" s="122"/>
      <c r="AI651" s="125" t="s">
        <v>354</v>
      </c>
      <c r="AJ651" s="135"/>
      <c r="AK651" s="125"/>
      <c r="AL651" s="115" t="s">
        <v>358</v>
      </c>
      <c r="AM651" s="28" t="s">
        <v>358</v>
      </c>
      <c r="AN651" s="115" t="s">
        <v>358</v>
      </c>
    </row>
    <row r="652">
      <c r="A652" s="17" t="s">
        <v>238</v>
      </c>
      <c r="B652" s="18" t="s">
        <v>844</v>
      </c>
      <c r="C652" s="19" t="s">
        <v>237</v>
      </c>
      <c r="D652" s="20" t="s">
        <v>547</v>
      </c>
      <c r="E652" s="21" t="s">
        <v>7</v>
      </c>
      <c r="F652" s="19" t="s">
        <v>67</v>
      </c>
      <c r="G652" s="23">
        <v>128.0</v>
      </c>
      <c r="H652" s="23">
        <v>305.0</v>
      </c>
      <c r="I652" s="23" t="s">
        <v>354</v>
      </c>
      <c r="J652" s="19">
        <v>89.0</v>
      </c>
      <c r="K652" s="23">
        <v>1.0</v>
      </c>
      <c r="L652" s="23">
        <v>0.0</v>
      </c>
      <c r="M652" s="23" t="s">
        <v>354</v>
      </c>
      <c r="N652" s="101" t="s">
        <v>17</v>
      </c>
      <c r="O652" s="101" t="s">
        <v>17</v>
      </c>
      <c r="P652" s="24" t="s">
        <v>239</v>
      </c>
      <c r="Q652" s="19"/>
      <c r="R652" s="19"/>
      <c r="S652" s="19"/>
      <c r="T652" s="19"/>
      <c r="U652" s="19"/>
      <c r="V652" s="19"/>
      <c r="W652" s="19"/>
      <c r="X652" s="19"/>
      <c r="Y652" s="19"/>
      <c r="Z652" s="19"/>
      <c r="AA652" s="19"/>
      <c r="AB652" s="22" t="s">
        <v>354</v>
      </c>
      <c r="AC652" s="19">
        <v>36483.0</v>
      </c>
      <c r="AD652" s="19"/>
      <c r="AE652" s="19"/>
      <c r="AF652" s="23">
        <v>0.0</v>
      </c>
      <c r="AG652" s="23" t="s">
        <v>356</v>
      </c>
      <c r="AH652" s="19"/>
      <c r="AI652" s="23" t="s">
        <v>356</v>
      </c>
      <c r="AJ652" s="19"/>
      <c r="AK652" s="19"/>
      <c r="AL652" s="23" t="s">
        <v>356</v>
      </c>
      <c r="AM652" s="23" t="s">
        <v>356</v>
      </c>
      <c r="AN652" s="23" t="s">
        <v>356</v>
      </c>
    </row>
    <row r="653">
      <c r="A653" s="17" t="s">
        <v>238</v>
      </c>
      <c r="B653" s="18" t="s">
        <v>844</v>
      </c>
      <c r="C653" s="19" t="s">
        <v>237</v>
      </c>
      <c r="D653" s="20" t="s">
        <v>547</v>
      </c>
      <c r="E653" s="21" t="s">
        <v>7</v>
      </c>
      <c r="F653" s="19" t="s">
        <v>67</v>
      </c>
      <c r="G653" s="23" t="s">
        <v>354</v>
      </c>
      <c r="H653" s="23" t="s">
        <v>354</v>
      </c>
      <c r="I653" s="23" t="s">
        <v>354</v>
      </c>
      <c r="J653" s="19">
        <v>46.0</v>
      </c>
      <c r="K653" s="23">
        <v>1.0</v>
      </c>
      <c r="L653" s="23">
        <v>0.0</v>
      </c>
      <c r="M653" s="23" t="s">
        <v>354</v>
      </c>
      <c r="N653" s="101" t="s">
        <v>17</v>
      </c>
      <c r="O653" s="101" t="s">
        <v>17</v>
      </c>
      <c r="P653" s="24" t="s">
        <v>239</v>
      </c>
      <c r="Q653" s="24" t="s">
        <v>238</v>
      </c>
      <c r="R653" s="19"/>
      <c r="S653" s="19"/>
      <c r="T653" s="19"/>
      <c r="U653" s="19"/>
      <c r="V653" s="19"/>
      <c r="W653" s="19"/>
      <c r="X653" s="19"/>
      <c r="Y653" s="19"/>
      <c r="Z653" s="19"/>
      <c r="AA653" s="19"/>
      <c r="AB653" s="23" t="s">
        <v>845</v>
      </c>
      <c r="AC653" s="19">
        <v>36636.0</v>
      </c>
      <c r="AD653" s="19"/>
      <c r="AE653" s="19"/>
      <c r="AF653" s="23">
        <v>0.0</v>
      </c>
      <c r="AG653" s="23" t="s">
        <v>356</v>
      </c>
      <c r="AH653" s="23"/>
      <c r="AI653" s="23" t="s">
        <v>356</v>
      </c>
      <c r="AJ653" s="19"/>
      <c r="AK653" s="19"/>
      <c r="AL653" s="23" t="s">
        <v>356</v>
      </c>
      <c r="AM653" s="23" t="s">
        <v>356</v>
      </c>
      <c r="AN653" s="75" t="s">
        <v>357</v>
      </c>
    </row>
    <row r="654">
      <c r="A654" s="17" t="s">
        <v>238</v>
      </c>
      <c r="B654" s="18" t="s">
        <v>844</v>
      </c>
      <c r="C654" s="19" t="s">
        <v>237</v>
      </c>
      <c r="D654" s="20" t="s">
        <v>547</v>
      </c>
      <c r="E654" s="21" t="s">
        <v>7</v>
      </c>
      <c r="F654" s="19" t="s">
        <v>67</v>
      </c>
      <c r="G654" s="23" t="s">
        <v>354</v>
      </c>
      <c r="H654" s="23" t="s">
        <v>354</v>
      </c>
      <c r="I654" s="23" t="s">
        <v>354</v>
      </c>
      <c r="J654" s="19">
        <v>44.0</v>
      </c>
      <c r="K654" s="23">
        <v>0.0</v>
      </c>
      <c r="L654" s="23">
        <v>0.0</v>
      </c>
      <c r="M654" s="23" t="s">
        <v>354</v>
      </c>
      <c r="N654" s="101" t="s">
        <v>17</v>
      </c>
      <c r="O654" s="101" t="s">
        <v>17</v>
      </c>
      <c r="P654" s="24" t="s">
        <v>239</v>
      </c>
      <c r="Q654" s="24" t="s">
        <v>238</v>
      </c>
      <c r="R654" s="24" t="s">
        <v>238</v>
      </c>
      <c r="S654" s="19"/>
      <c r="T654" s="19"/>
      <c r="U654" s="19"/>
      <c r="V654" s="19"/>
      <c r="W654" s="19"/>
      <c r="X654" s="19"/>
      <c r="Y654" s="19"/>
      <c r="Z654" s="19"/>
      <c r="AA654" s="19"/>
      <c r="AB654" s="22" t="s">
        <v>354</v>
      </c>
      <c r="AC654" s="19"/>
      <c r="AD654" s="19"/>
      <c r="AE654" s="19"/>
      <c r="AF654" s="23">
        <v>0.0</v>
      </c>
      <c r="AG654" s="36" t="s">
        <v>365</v>
      </c>
      <c r="AH654" s="23" t="s">
        <v>379</v>
      </c>
      <c r="AI654" s="58" t="s">
        <v>380</v>
      </c>
      <c r="AJ654" s="19"/>
      <c r="AK654" s="19"/>
      <c r="AL654" s="82" t="s">
        <v>361</v>
      </c>
      <c r="AM654" s="58" t="s">
        <v>380</v>
      </c>
      <c r="AN654" s="67" t="s">
        <v>356</v>
      </c>
    </row>
    <row r="655">
      <c r="A655" s="17" t="s">
        <v>238</v>
      </c>
      <c r="B655" s="18" t="s">
        <v>844</v>
      </c>
      <c r="C655" s="19" t="s">
        <v>237</v>
      </c>
      <c r="D655" s="20" t="s">
        <v>547</v>
      </c>
      <c r="E655" s="21" t="s">
        <v>7</v>
      </c>
      <c r="F655" s="19" t="s">
        <v>67</v>
      </c>
      <c r="G655" s="22" t="s">
        <v>354</v>
      </c>
      <c r="H655" s="23">
        <v>240.0</v>
      </c>
      <c r="I655" s="22" t="s">
        <v>354</v>
      </c>
      <c r="J655" s="19">
        <v>42.0</v>
      </c>
      <c r="K655" s="23">
        <v>0.0</v>
      </c>
      <c r="L655" s="23">
        <v>0.0</v>
      </c>
      <c r="M655" s="22" t="s">
        <v>354</v>
      </c>
      <c r="N655" s="101" t="s">
        <v>17</v>
      </c>
      <c r="O655" s="101" t="s">
        <v>17</v>
      </c>
      <c r="P655" s="24" t="s">
        <v>239</v>
      </c>
      <c r="Q655" s="24" t="s">
        <v>238</v>
      </c>
      <c r="R655" s="24" t="s">
        <v>238</v>
      </c>
      <c r="S655" s="24" t="s">
        <v>238</v>
      </c>
      <c r="T655" s="19"/>
      <c r="U655" s="19"/>
      <c r="V655" s="19"/>
      <c r="W655" s="19"/>
      <c r="X655" s="19"/>
      <c r="Y655" s="19"/>
      <c r="Z655" s="19"/>
      <c r="AA655" s="19"/>
      <c r="AB655" s="23" t="s">
        <v>846</v>
      </c>
      <c r="AC655" s="19"/>
      <c r="AD655" s="19"/>
      <c r="AE655" s="19"/>
      <c r="AF655" s="23">
        <v>0.0</v>
      </c>
      <c r="AG655" s="33" t="s">
        <v>354</v>
      </c>
      <c r="AH655" s="33"/>
      <c r="AI655" s="33" t="s">
        <v>354</v>
      </c>
      <c r="AJ655" s="19"/>
      <c r="AK655" s="19"/>
      <c r="AL655" s="89" t="s">
        <v>356</v>
      </c>
      <c r="AM655" s="58" t="s">
        <v>380</v>
      </c>
      <c r="AN655" s="89" t="s">
        <v>356</v>
      </c>
    </row>
    <row r="656">
      <c r="A656" s="17" t="s">
        <v>238</v>
      </c>
      <c r="B656" s="18" t="s">
        <v>844</v>
      </c>
      <c r="C656" s="19" t="s">
        <v>237</v>
      </c>
      <c r="D656" s="20" t="s">
        <v>547</v>
      </c>
      <c r="E656" s="21" t="s">
        <v>7</v>
      </c>
      <c r="F656" s="19" t="s">
        <v>67</v>
      </c>
      <c r="G656" s="22" t="s">
        <v>354</v>
      </c>
      <c r="H656" s="23">
        <v>225.0</v>
      </c>
      <c r="I656" s="22" t="s">
        <v>354</v>
      </c>
      <c r="J656" s="19">
        <v>47.0</v>
      </c>
      <c r="K656" s="23">
        <v>0.0</v>
      </c>
      <c r="L656" s="23">
        <v>0.0</v>
      </c>
      <c r="M656" s="23" t="s">
        <v>354</v>
      </c>
      <c r="N656" s="101" t="s">
        <v>17</v>
      </c>
      <c r="O656" s="101" t="s">
        <v>17</v>
      </c>
      <c r="P656" s="24" t="s">
        <v>239</v>
      </c>
      <c r="Q656" s="24" t="s">
        <v>238</v>
      </c>
      <c r="R656" s="24" t="s">
        <v>238</v>
      </c>
      <c r="S656" s="24" t="s">
        <v>238</v>
      </c>
      <c r="T656" s="24" t="s">
        <v>238</v>
      </c>
      <c r="U656" s="19"/>
      <c r="V656" s="19"/>
      <c r="W656" s="19"/>
      <c r="X656" s="19"/>
      <c r="Y656" s="19"/>
      <c r="Z656" s="19"/>
      <c r="AA656" s="19"/>
      <c r="AB656" s="23" t="s">
        <v>847</v>
      </c>
      <c r="AC656" s="19"/>
      <c r="AD656" s="19"/>
      <c r="AE656" s="19"/>
      <c r="AF656" s="23">
        <v>0.0</v>
      </c>
      <c r="AG656" s="33" t="s">
        <v>354</v>
      </c>
      <c r="AH656" s="33"/>
      <c r="AI656" s="33" t="s">
        <v>354</v>
      </c>
      <c r="AJ656" s="19"/>
      <c r="AK656" s="19"/>
      <c r="AL656" s="82" t="s">
        <v>361</v>
      </c>
      <c r="AM656" s="89" t="s">
        <v>356</v>
      </c>
      <c r="AN656" s="89" t="s">
        <v>356</v>
      </c>
    </row>
    <row r="657">
      <c r="A657" s="17" t="s">
        <v>238</v>
      </c>
      <c r="B657" s="18" t="s">
        <v>844</v>
      </c>
      <c r="C657" s="19" t="s">
        <v>237</v>
      </c>
      <c r="D657" s="20" t="s">
        <v>547</v>
      </c>
      <c r="E657" s="21" t="s">
        <v>7</v>
      </c>
      <c r="F657" s="19" t="s">
        <v>67</v>
      </c>
      <c r="G657" s="22" t="s">
        <v>354</v>
      </c>
      <c r="H657" s="23">
        <v>260.0</v>
      </c>
      <c r="I657" s="22" t="s">
        <v>354</v>
      </c>
      <c r="J657" s="19">
        <v>45.0</v>
      </c>
      <c r="K657" s="23">
        <v>0.0</v>
      </c>
      <c r="L657" s="23">
        <v>0.0</v>
      </c>
      <c r="M657" s="23" t="s">
        <v>354</v>
      </c>
      <c r="N657" s="101" t="s">
        <v>17</v>
      </c>
      <c r="O657" s="101" t="s">
        <v>17</v>
      </c>
      <c r="P657" s="24" t="s">
        <v>239</v>
      </c>
      <c r="Q657" s="24" t="s">
        <v>238</v>
      </c>
      <c r="R657" s="24" t="s">
        <v>238</v>
      </c>
      <c r="S657" s="24" t="s">
        <v>238</v>
      </c>
      <c r="T657" s="24" t="s">
        <v>238</v>
      </c>
      <c r="U657" s="24" t="s">
        <v>238</v>
      </c>
      <c r="V657" s="19"/>
      <c r="W657" s="19"/>
      <c r="X657" s="19"/>
      <c r="Y657" s="19"/>
      <c r="Z657" s="19"/>
      <c r="AA657" s="19"/>
      <c r="AB657" s="23" t="s">
        <v>848</v>
      </c>
      <c r="AC657" s="19"/>
      <c r="AD657" s="19"/>
      <c r="AE657" s="19"/>
      <c r="AF657" s="23">
        <v>0.0</v>
      </c>
      <c r="AG657" s="33" t="s">
        <v>354</v>
      </c>
      <c r="AH657" s="33"/>
      <c r="AI657" s="33" t="s">
        <v>354</v>
      </c>
      <c r="AJ657" s="19"/>
      <c r="AK657" s="19"/>
      <c r="AL657" s="40" t="s">
        <v>357</v>
      </c>
      <c r="AM657" s="89" t="s">
        <v>356</v>
      </c>
      <c r="AN657" s="89" t="s">
        <v>356</v>
      </c>
    </row>
    <row r="658">
      <c r="A658" s="17" t="s">
        <v>238</v>
      </c>
      <c r="B658" s="18" t="s">
        <v>844</v>
      </c>
      <c r="C658" s="19" t="s">
        <v>237</v>
      </c>
      <c r="D658" s="20" t="s">
        <v>547</v>
      </c>
      <c r="E658" s="21" t="s">
        <v>7</v>
      </c>
      <c r="F658" s="19" t="s">
        <v>67</v>
      </c>
      <c r="G658" s="22" t="s">
        <v>354</v>
      </c>
      <c r="H658" s="23">
        <v>270.0</v>
      </c>
      <c r="I658" s="22" t="s">
        <v>354</v>
      </c>
      <c r="J658" s="19">
        <v>45.0</v>
      </c>
      <c r="K658" s="23">
        <v>0.0</v>
      </c>
      <c r="L658" s="23">
        <v>0.0</v>
      </c>
      <c r="M658" s="23" t="s">
        <v>354</v>
      </c>
      <c r="N658" s="101" t="s">
        <v>17</v>
      </c>
      <c r="O658" s="101" t="s">
        <v>17</v>
      </c>
      <c r="P658" s="24" t="s">
        <v>239</v>
      </c>
      <c r="Q658" s="24" t="s">
        <v>238</v>
      </c>
      <c r="R658" s="24" t="s">
        <v>238</v>
      </c>
      <c r="S658" s="24" t="s">
        <v>238</v>
      </c>
      <c r="T658" s="24" t="s">
        <v>238</v>
      </c>
      <c r="U658" s="24" t="s">
        <v>238</v>
      </c>
      <c r="V658" s="18" t="s">
        <v>238</v>
      </c>
      <c r="W658" s="19"/>
      <c r="X658" s="19"/>
      <c r="Y658" s="19"/>
      <c r="Z658" s="19"/>
      <c r="AA658" s="19"/>
      <c r="AB658" s="22" t="s">
        <v>354</v>
      </c>
      <c r="AC658" s="19"/>
      <c r="AD658" s="19"/>
      <c r="AE658" s="19"/>
      <c r="AF658" s="23">
        <v>0.0</v>
      </c>
      <c r="AG658" s="33" t="s">
        <v>354</v>
      </c>
      <c r="AH658" s="33"/>
      <c r="AI658" s="33" t="s">
        <v>354</v>
      </c>
      <c r="AJ658" s="19"/>
      <c r="AK658" s="19"/>
      <c r="AL658" s="89" t="s">
        <v>356</v>
      </c>
      <c r="AM658" s="89" t="s">
        <v>356</v>
      </c>
      <c r="AN658" s="89" t="s">
        <v>356</v>
      </c>
    </row>
    <row r="659">
      <c r="A659" s="17" t="s">
        <v>238</v>
      </c>
      <c r="B659" s="18" t="s">
        <v>844</v>
      </c>
      <c r="C659" s="19" t="s">
        <v>237</v>
      </c>
      <c r="D659" s="20" t="s">
        <v>547</v>
      </c>
      <c r="E659" s="21" t="s">
        <v>7</v>
      </c>
      <c r="F659" s="19" t="s">
        <v>67</v>
      </c>
      <c r="G659" s="22" t="s">
        <v>354</v>
      </c>
      <c r="H659" s="23">
        <v>250.0</v>
      </c>
      <c r="I659" s="22" t="s">
        <v>354</v>
      </c>
      <c r="J659" s="19">
        <v>45.0</v>
      </c>
      <c r="K659" s="23">
        <v>0.0</v>
      </c>
      <c r="L659" s="23">
        <v>0.0</v>
      </c>
      <c r="M659" s="23" t="s">
        <v>354</v>
      </c>
      <c r="N659" s="101" t="s">
        <v>17</v>
      </c>
      <c r="O659" s="101" t="s">
        <v>17</v>
      </c>
      <c r="P659" s="24" t="s">
        <v>239</v>
      </c>
      <c r="Q659" s="24" t="s">
        <v>238</v>
      </c>
      <c r="R659" s="24" t="s">
        <v>238</v>
      </c>
      <c r="S659" s="24" t="s">
        <v>238</v>
      </c>
      <c r="T659" s="24" t="s">
        <v>238</v>
      </c>
      <c r="U659" s="24" t="s">
        <v>238</v>
      </c>
      <c r="V659" s="18" t="s">
        <v>238</v>
      </c>
      <c r="W659" s="18" t="s">
        <v>849</v>
      </c>
      <c r="X659" s="23"/>
      <c r="Y659" s="23"/>
      <c r="Z659" s="23"/>
      <c r="AA659" s="19"/>
      <c r="AB659" s="158" t="s">
        <v>600</v>
      </c>
      <c r="AC659" s="19"/>
      <c r="AD659" s="19"/>
      <c r="AE659" s="19"/>
      <c r="AF659" s="23">
        <v>0.0</v>
      </c>
      <c r="AG659" s="33" t="s">
        <v>354</v>
      </c>
      <c r="AH659" s="33"/>
      <c r="AI659" s="33" t="s">
        <v>354</v>
      </c>
      <c r="AJ659" s="19"/>
      <c r="AK659" s="19"/>
      <c r="AL659" s="89" t="s">
        <v>356</v>
      </c>
      <c r="AM659" s="89" t="s">
        <v>356</v>
      </c>
      <c r="AN659" s="89" t="s">
        <v>356</v>
      </c>
    </row>
    <row r="660">
      <c r="A660" s="17" t="s">
        <v>238</v>
      </c>
      <c r="B660" s="18" t="s">
        <v>844</v>
      </c>
      <c r="C660" s="19" t="s">
        <v>237</v>
      </c>
      <c r="D660" s="20" t="s">
        <v>547</v>
      </c>
      <c r="E660" s="21" t="s">
        <v>7</v>
      </c>
      <c r="F660" s="19" t="s">
        <v>67</v>
      </c>
      <c r="G660" s="22" t="s">
        <v>354</v>
      </c>
      <c r="H660" s="22" t="s">
        <v>354</v>
      </c>
      <c r="I660" s="22" t="s">
        <v>354</v>
      </c>
      <c r="J660" s="19">
        <v>45.0</v>
      </c>
      <c r="K660" s="23">
        <v>1.0</v>
      </c>
      <c r="L660" s="78">
        <v>1.0</v>
      </c>
      <c r="M660" s="78" t="s">
        <v>850</v>
      </c>
      <c r="N660" s="101" t="s">
        <v>17</v>
      </c>
      <c r="O660" s="101" t="s">
        <v>17</v>
      </c>
      <c r="P660" s="24" t="s">
        <v>239</v>
      </c>
      <c r="Q660" s="24" t="s">
        <v>238</v>
      </c>
      <c r="R660" s="24" t="s">
        <v>238</v>
      </c>
      <c r="S660" s="24" t="s">
        <v>238</v>
      </c>
      <c r="T660" s="24" t="s">
        <v>238</v>
      </c>
      <c r="U660" s="24" t="s">
        <v>238</v>
      </c>
      <c r="V660" s="18" t="s">
        <v>238</v>
      </c>
      <c r="W660" s="18" t="s">
        <v>849</v>
      </c>
      <c r="X660" s="18" t="s">
        <v>238</v>
      </c>
      <c r="Y660" s="23"/>
      <c r="Z660" s="23"/>
      <c r="AA660" s="19"/>
      <c r="AB660" s="158" t="s">
        <v>600</v>
      </c>
      <c r="AC660" s="19"/>
      <c r="AD660" s="19"/>
      <c r="AE660" s="19"/>
      <c r="AF660" s="23">
        <v>0.0</v>
      </c>
      <c r="AG660" s="33" t="s">
        <v>354</v>
      </c>
      <c r="AH660" s="33"/>
      <c r="AI660" s="33" t="s">
        <v>354</v>
      </c>
      <c r="AJ660" s="19"/>
      <c r="AK660" s="19"/>
      <c r="AL660" s="89" t="s">
        <v>356</v>
      </c>
      <c r="AM660" s="89" t="s">
        <v>356</v>
      </c>
      <c r="AN660" s="89" t="s">
        <v>356</v>
      </c>
    </row>
    <row r="661">
      <c r="A661" s="17" t="s">
        <v>238</v>
      </c>
      <c r="B661" s="18" t="s">
        <v>844</v>
      </c>
      <c r="C661" s="19" t="s">
        <v>237</v>
      </c>
      <c r="D661" s="20" t="s">
        <v>547</v>
      </c>
      <c r="E661" s="21" t="s">
        <v>7</v>
      </c>
      <c r="F661" s="19" t="s">
        <v>67</v>
      </c>
      <c r="G661" s="22" t="s">
        <v>354</v>
      </c>
      <c r="H661" s="22" t="s">
        <v>354</v>
      </c>
      <c r="I661" s="22" t="s">
        <v>354</v>
      </c>
      <c r="J661" s="19">
        <v>45.0</v>
      </c>
      <c r="K661" s="23">
        <v>1.0</v>
      </c>
      <c r="L661" s="78">
        <v>1.0</v>
      </c>
      <c r="M661" s="78" t="s">
        <v>850</v>
      </c>
      <c r="N661" s="101" t="s">
        <v>17</v>
      </c>
      <c r="O661" s="101" t="s">
        <v>17</v>
      </c>
      <c r="P661" s="24" t="s">
        <v>239</v>
      </c>
      <c r="Q661" s="24" t="s">
        <v>238</v>
      </c>
      <c r="R661" s="24" t="s">
        <v>238</v>
      </c>
      <c r="S661" s="24" t="s">
        <v>238</v>
      </c>
      <c r="T661" s="24" t="s">
        <v>238</v>
      </c>
      <c r="U661" s="24" t="s">
        <v>238</v>
      </c>
      <c r="V661" s="18" t="s">
        <v>238</v>
      </c>
      <c r="W661" s="18" t="s">
        <v>849</v>
      </c>
      <c r="X661" s="18" t="s">
        <v>238</v>
      </c>
      <c r="Y661" s="18" t="s">
        <v>238</v>
      </c>
      <c r="Z661" s="23"/>
      <c r="AA661" s="19"/>
      <c r="AB661" s="158" t="s">
        <v>851</v>
      </c>
      <c r="AC661" s="19"/>
      <c r="AD661" s="19"/>
      <c r="AE661" s="19"/>
      <c r="AF661" s="23">
        <v>0.0</v>
      </c>
      <c r="AG661" s="33" t="s">
        <v>354</v>
      </c>
      <c r="AH661" s="33"/>
      <c r="AI661" s="33" t="s">
        <v>354</v>
      </c>
      <c r="AJ661" s="19"/>
      <c r="AK661" s="19"/>
      <c r="AL661" s="89" t="s">
        <v>356</v>
      </c>
      <c r="AM661" s="89" t="s">
        <v>356</v>
      </c>
      <c r="AN661" s="89" t="s">
        <v>356</v>
      </c>
    </row>
    <row r="662">
      <c r="A662" s="17" t="s">
        <v>238</v>
      </c>
      <c r="B662" s="18" t="s">
        <v>844</v>
      </c>
      <c r="C662" s="19" t="s">
        <v>237</v>
      </c>
      <c r="D662" s="20" t="s">
        <v>547</v>
      </c>
      <c r="E662" s="21" t="s">
        <v>7</v>
      </c>
      <c r="F662" s="19" t="s">
        <v>67</v>
      </c>
      <c r="G662" s="22" t="s">
        <v>354</v>
      </c>
      <c r="H662" s="22" t="s">
        <v>354</v>
      </c>
      <c r="I662" s="22" t="s">
        <v>354</v>
      </c>
      <c r="J662" s="19">
        <v>45.0</v>
      </c>
      <c r="K662" s="23">
        <v>1.0</v>
      </c>
      <c r="L662" s="78">
        <v>1.0</v>
      </c>
      <c r="M662" s="78" t="s">
        <v>850</v>
      </c>
      <c r="N662" s="101" t="s">
        <v>17</v>
      </c>
      <c r="O662" s="101" t="s">
        <v>17</v>
      </c>
      <c r="P662" s="24" t="s">
        <v>239</v>
      </c>
      <c r="Q662" s="24" t="s">
        <v>238</v>
      </c>
      <c r="R662" s="24" t="s">
        <v>238</v>
      </c>
      <c r="S662" s="24" t="s">
        <v>238</v>
      </c>
      <c r="T662" s="24" t="s">
        <v>238</v>
      </c>
      <c r="U662" s="24" t="s">
        <v>238</v>
      </c>
      <c r="V662" s="18" t="s">
        <v>238</v>
      </c>
      <c r="W662" s="18" t="s">
        <v>849</v>
      </c>
      <c r="X662" s="18" t="s">
        <v>238</v>
      </c>
      <c r="Y662" s="18" t="s">
        <v>238</v>
      </c>
      <c r="Z662" s="18" t="s">
        <v>852</v>
      </c>
      <c r="AA662" s="19"/>
      <c r="AB662" s="158" t="s">
        <v>600</v>
      </c>
      <c r="AC662" s="19"/>
      <c r="AD662" s="19"/>
      <c r="AE662" s="19"/>
      <c r="AF662" s="23">
        <v>0.0</v>
      </c>
      <c r="AG662" s="33" t="s">
        <v>354</v>
      </c>
      <c r="AH662" s="33"/>
      <c r="AI662" s="33" t="s">
        <v>354</v>
      </c>
      <c r="AJ662" s="19"/>
      <c r="AK662" s="19"/>
      <c r="AL662" s="89" t="s">
        <v>356</v>
      </c>
      <c r="AM662" s="89" t="s">
        <v>356</v>
      </c>
      <c r="AN662" s="89" t="s">
        <v>356</v>
      </c>
    </row>
    <row r="663">
      <c r="A663" s="17" t="s">
        <v>238</v>
      </c>
      <c r="B663" s="18" t="s">
        <v>844</v>
      </c>
      <c r="C663" s="19" t="s">
        <v>237</v>
      </c>
      <c r="D663" s="20" t="s">
        <v>547</v>
      </c>
      <c r="E663" s="21" t="s">
        <v>7</v>
      </c>
      <c r="F663" s="19" t="s">
        <v>67</v>
      </c>
      <c r="G663" s="22" t="s">
        <v>354</v>
      </c>
      <c r="H663" s="22" t="s">
        <v>354</v>
      </c>
      <c r="I663" s="22" t="s">
        <v>354</v>
      </c>
      <c r="J663" s="19">
        <v>45.0</v>
      </c>
      <c r="K663" s="23">
        <v>1.0</v>
      </c>
      <c r="L663" s="78">
        <v>1.0</v>
      </c>
      <c r="M663" s="78" t="s">
        <v>850</v>
      </c>
      <c r="N663" s="101" t="s">
        <v>17</v>
      </c>
      <c r="O663" s="101" t="s">
        <v>17</v>
      </c>
      <c r="P663" s="24" t="s">
        <v>239</v>
      </c>
      <c r="Q663" s="24" t="s">
        <v>238</v>
      </c>
      <c r="R663" s="24" t="s">
        <v>238</v>
      </c>
      <c r="S663" s="24" t="s">
        <v>238</v>
      </c>
      <c r="T663" s="24" t="s">
        <v>238</v>
      </c>
      <c r="U663" s="24" t="s">
        <v>238</v>
      </c>
      <c r="V663" s="18" t="s">
        <v>238</v>
      </c>
      <c r="W663" s="18" t="s">
        <v>849</v>
      </c>
      <c r="X663" s="18" t="s">
        <v>238</v>
      </c>
      <c r="Y663" s="18" t="s">
        <v>238</v>
      </c>
      <c r="Z663" s="18" t="s">
        <v>852</v>
      </c>
      <c r="AA663" s="18" t="s">
        <v>238</v>
      </c>
      <c r="AB663" s="158" t="s">
        <v>600</v>
      </c>
      <c r="AC663" s="19"/>
      <c r="AD663" s="19"/>
      <c r="AE663" s="19"/>
      <c r="AF663" s="23">
        <v>0.0</v>
      </c>
      <c r="AG663" s="33" t="s">
        <v>354</v>
      </c>
      <c r="AH663" s="33"/>
      <c r="AI663" s="33" t="s">
        <v>354</v>
      </c>
      <c r="AJ663" s="19"/>
      <c r="AK663" s="19"/>
      <c r="AL663" s="89" t="s">
        <v>356</v>
      </c>
      <c r="AM663" s="89" t="s">
        <v>356</v>
      </c>
      <c r="AN663" s="89" t="s">
        <v>356</v>
      </c>
    </row>
    <row r="664">
      <c r="A664" s="45" t="s">
        <v>241</v>
      </c>
      <c r="B664" s="98" t="s">
        <v>853</v>
      </c>
      <c r="C664" s="46" t="s">
        <v>240</v>
      </c>
      <c r="D664" s="47" t="s">
        <v>547</v>
      </c>
      <c r="E664" s="48" t="s">
        <v>7</v>
      </c>
      <c r="F664" s="46" t="s">
        <v>67</v>
      </c>
      <c r="G664" s="49" t="s">
        <v>354</v>
      </c>
      <c r="H664" s="49">
        <v>295.0</v>
      </c>
      <c r="I664" s="49" t="s">
        <v>354</v>
      </c>
      <c r="J664" s="46">
        <v>91.0</v>
      </c>
      <c r="K664" s="49">
        <v>1.0</v>
      </c>
      <c r="L664" s="49">
        <v>0.0</v>
      </c>
      <c r="M664" s="49" t="s">
        <v>354</v>
      </c>
      <c r="N664" s="101" t="s">
        <v>17</v>
      </c>
      <c r="O664" s="101" t="s">
        <v>17</v>
      </c>
      <c r="P664" s="24" t="s">
        <v>242</v>
      </c>
      <c r="Q664" s="46"/>
      <c r="R664" s="46"/>
      <c r="S664" s="46"/>
      <c r="T664" s="46"/>
      <c r="U664" s="46"/>
      <c r="V664" s="46"/>
      <c r="W664" s="46"/>
      <c r="X664" s="46"/>
      <c r="Y664" s="46"/>
      <c r="Z664" s="46"/>
      <c r="AA664" s="46"/>
      <c r="AB664" s="57" t="s">
        <v>354</v>
      </c>
      <c r="AC664" s="46">
        <v>36485.0</v>
      </c>
      <c r="AD664" s="46"/>
      <c r="AE664" s="46"/>
      <c r="AF664" s="49">
        <v>0.0</v>
      </c>
      <c r="AG664" s="49" t="s">
        <v>356</v>
      </c>
      <c r="AH664" s="46"/>
      <c r="AI664" s="49" t="s">
        <v>356</v>
      </c>
      <c r="AJ664" s="46"/>
      <c r="AK664" s="46"/>
      <c r="AL664" s="38" t="s">
        <v>357</v>
      </c>
      <c r="AM664" s="38" t="s">
        <v>357</v>
      </c>
      <c r="AN664" s="38" t="s">
        <v>357</v>
      </c>
    </row>
    <row r="665">
      <c r="A665" s="45" t="s">
        <v>241</v>
      </c>
      <c r="B665" s="98" t="s">
        <v>853</v>
      </c>
      <c r="C665" s="46" t="s">
        <v>240</v>
      </c>
      <c r="D665" s="47" t="s">
        <v>547</v>
      </c>
      <c r="E665" s="48" t="s">
        <v>7</v>
      </c>
      <c r="F665" s="46" t="s">
        <v>67</v>
      </c>
      <c r="G665" s="49">
        <v>124.0</v>
      </c>
      <c r="H665" s="49">
        <v>225.0</v>
      </c>
      <c r="I665" s="49" t="s">
        <v>354</v>
      </c>
      <c r="J665" s="46">
        <v>47.0</v>
      </c>
      <c r="K665" s="49">
        <v>1.0</v>
      </c>
      <c r="L665" s="49">
        <v>1.0</v>
      </c>
      <c r="M665" s="49" t="s">
        <v>354</v>
      </c>
      <c r="N665" s="101" t="s">
        <v>17</v>
      </c>
      <c r="O665" s="101" t="s">
        <v>17</v>
      </c>
      <c r="P665" s="24" t="s">
        <v>242</v>
      </c>
      <c r="Q665" s="24" t="s">
        <v>241</v>
      </c>
      <c r="R665" s="46"/>
      <c r="S665" s="46"/>
      <c r="T665" s="46"/>
      <c r="U665" s="46"/>
      <c r="V665" s="46"/>
      <c r="W665" s="46"/>
      <c r="X665" s="46"/>
      <c r="Y665" s="46"/>
      <c r="Z665" s="46"/>
      <c r="AA665" s="46"/>
      <c r="AB665" s="49" t="s">
        <v>854</v>
      </c>
      <c r="AC665" s="46">
        <v>36637.0</v>
      </c>
      <c r="AD665" s="46"/>
      <c r="AE665" s="46"/>
      <c r="AF665" s="55">
        <v>26.92</v>
      </c>
      <c r="AG665" s="56" t="s">
        <v>365</v>
      </c>
      <c r="AH665" s="49" t="s">
        <v>366</v>
      </c>
      <c r="AI665" s="26" t="s">
        <v>357</v>
      </c>
      <c r="AJ665" s="46"/>
      <c r="AK665" s="46"/>
      <c r="AL665" s="59" t="s">
        <v>357</v>
      </c>
      <c r="AM665" s="38" t="s">
        <v>357</v>
      </c>
      <c r="AN665" s="75" t="s">
        <v>357</v>
      </c>
    </row>
    <row r="666">
      <c r="A666" s="45" t="s">
        <v>241</v>
      </c>
      <c r="B666" s="98" t="s">
        <v>853</v>
      </c>
      <c r="C666" s="46" t="s">
        <v>240</v>
      </c>
      <c r="D666" s="47" t="s">
        <v>547</v>
      </c>
      <c r="E666" s="48" t="s">
        <v>7</v>
      </c>
      <c r="F666" s="46" t="s">
        <v>67</v>
      </c>
      <c r="G666" s="49" t="s">
        <v>354</v>
      </c>
      <c r="H666" s="49">
        <v>205.0</v>
      </c>
      <c r="I666" s="49" t="s">
        <v>354</v>
      </c>
      <c r="J666" s="46">
        <v>45.0</v>
      </c>
      <c r="K666" s="49">
        <v>0.0</v>
      </c>
      <c r="L666" s="49">
        <v>0.0</v>
      </c>
      <c r="M666" s="49" t="s">
        <v>354</v>
      </c>
      <c r="N666" s="101" t="s">
        <v>17</v>
      </c>
      <c r="O666" s="101" t="s">
        <v>17</v>
      </c>
      <c r="P666" s="24" t="s">
        <v>242</v>
      </c>
      <c r="Q666" s="24" t="s">
        <v>241</v>
      </c>
      <c r="R666" s="24" t="s">
        <v>241</v>
      </c>
      <c r="S666" s="46"/>
      <c r="T666" s="46"/>
      <c r="U666" s="46"/>
      <c r="V666" s="46"/>
      <c r="W666" s="46"/>
      <c r="X666" s="46"/>
      <c r="Y666" s="46"/>
      <c r="Z666" s="46"/>
      <c r="AA666" s="46"/>
      <c r="AB666" s="49" t="s">
        <v>714</v>
      </c>
      <c r="AC666" s="46"/>
      <c r="AD666" s="46"/>
      <c r="AE666" s="46"/>
      <c r="AF666" s="55">
        <v>35.6</v>
      </c>
      <c r="AG666" s="56" t="s">
        <v>365</v>
      </c>
      <c r="AH666" s="49" t="s">
        <v>366</v>
      </c>
      <c r="AI666" s="26" t="s">
        <v>357</v>
      </c>
      <c r="AJ666" s="46"/>
      <c r="AK666" s="46"/>
      <c r="AL666" s="26" t="s">
        <v>357</v>
      </c>
      <c r="AM666" s="26" t="s">
        <v>357</v>
      </c>
      <c r="AN666" s="26" t="s">
        <v>357</v>
      </c>
    </row>
    <row r="667">
      <c r="A667" s="45" t="s">
        <v>241</v>
      </c>
      <c r="B667" s="98" t="s">
        <v>853</v>
      </c>
      <c r="C667" s="46" t="s">
        <v>240</v>
      </c>
      <c r="D667" s="47" t="s">
        <v>547</v>
      </c>
      <c r="E667" s="48" t="s">
        <v>7</v>
      </c>
      <c r="F667" s="46" t="s">
        <v>67</v>
      </c>
      <c r="G667" s="49" t="s">
        <v>354</v>
      </c>
      <c r="H667" s="49">
        <v>210.0</v>
      </c>
      <c r="I667" s="49" t="s">
        <v>354</v>
      </c>
      <c r="J667" s="46">
        <v>43.0</v>
      </c>
      <c r="K667" s="49">
        <v>0.0</v>
      </c>
      <c r="L667" s="49">
        <v>0.0</v>
      </c>
      <c r="M667" s="49" t="s">
        <v>354</v>
      </c>
      <c r="N667" s="101" t="s">
        <v>17</v>
      </c>
      <c r="O667" s="101" t="s">
        <v>17</v>
      </c>
      <c r="P667" s="24" t="s">
        <v>242</v>
      </c>
      <c r="Q667" s="24" t="s">
        <v>241</v>
      </c>
      <c r="R667" s="24" t="s">
        <v>241</v>
      </c>
      <c r="S667" s="24" t="s">
        <v>241</v>
      </c>
      <c r="T667" s="46"/>
      <c r="U667" s="46"/>
      <c r="V667" s="46"/>
      <c r="W667" s="46"/>
      <c r="X667" s="46"/>
      <c r="Y667" s="46"/>
      <c r="Z667" s="46"/>
      <c r="AA667" s="46"/>
      <c r="AB667" s="57" t="s">
        <v>354</v>
      </c>
      <c r="AC667" s="46"/>
      <c r="AD667" s="46"/>
      <c r="AE667" s="185"/>
      <c r="AF667" s="221">
        <v>32.07</v>
      </c>
      <c r="AG667" s="63" t="s">
        <v>354</v>
      </c>
      <c r="AH667" s="63"/>
      <c r="AI667" s="63" t="s">
        <v>354</v>
      </c>
      <c r="AJ667" s="46"/>
      <c r="AK667" s="46"/>
      <c r="AL667" s="40" t="s">
        <v>357</v>
      </c>
      <c r="AM667" s="40" t="s">
        <v>357</v>
      </c>
      <c r="AN667" s="40" t="s">
        <v>357</v>
      </c>
    </row>
    <row r="668">
      <c r="A668" s="45" t="s">
        <v>241</v>
      </c>
      <c r="B668" s="98" t="s">
        <v>853</v>
      </c>
      <c r="C668" s="46" t="s">
        <v>240</v>
      </c>
      <c r="D668" s="47" t="s">
        <v>547</v>
      </c>
      <c r="E668" s="48" t="s">
        <v>7</v>
      </c>
      <c r="F668" s="46" t="s">
        <v>67</v>
      </c>
      <c r="G668" s="49" t="s">
        <v>354</v>
      </c>
      <c r="H668" s="49">
        <v>225.0</v>
      </c>
      <c r="I668" s="49" t="s">
        <v>354</v>
      </c>
      <c r="J668" s="46">
        <v>48.0</v>
      </c>
      <c r="K668" s="49">
        <v>0.0</v>
      </c>
      <c r="L668" s="49">
        <v>0.0</v>
      </c>
      <c r="M668" s="49" t="s">
        <v>354</v>
      </c>
      <c r="N668" s="101" t="s">
        <v>17</v>
      </c>
      <c r="O668" s="101" t="s">
        <v>17</v>
      </c>
      <c r="P668" s="24" t="s">
        <v>242</v>
      </c>
      <c r="Q668" s="24" t="s">
        <v>241</v>
      </c>
      <c r="R668" s="24" t="s">
        <v>241</v>
      </c>
      <c r="S668" s="24" t="s">
        <v>241</v>
      </c>
      <c r="T668" s="24" t="s">
        <v>241</v>
      </c>
      <c r="U668" s="62" t="s">
        <v>381</v>
      </c>
      <c r="V668" s="62" t="s">
        <v>381</v>
      </c>
      <c r="W668" s="62" t="s">
        <v>381</v>
      </c>
      <c r="X668" s="62" t="s">
        <v>381</v>
      </c>
      <c r="Y668" s="62" t="s">
        <v>381</v>
      </c>
      <c r="Z668" s="62" t="s">
        <v>381</v>
      </c>
      <c r="AA668" s="62" t="s">
        <v>381</v>
      </c>
      <c r="AB668" s="222" t="s">
        <v>855</v>
      </c>
      <c r="AC668" s="46"/>
      <c r="AD668" s="46"/>
      <c r="AE668" s="46"/>
      <c r="AF668" s="49">
        <v>0.0</v>
      </c>
      <c r="AG668" s="63" t="s">
        <v>354</v>
      </c>
      <c r="AH668" s="63"/>
      <c r="AI668" s="63" t="s">
        <v>354</v>
      </c>
      <c r="AJ668" s="46"/>
      <c r="AK668" s="46"/>
      <c r="AL668" s="80" t="s">
        <v>356</v>
      </c>
      <c r="AM668" s="59" t="s">
        <v>357</v>
      </c>
      <c r="AN668" s="59" t="s">
        <v>357</v>
      </c>
    </row>
    <row r="669">
      <c r="A669" s="17" t="s">
        <v>244</v>
      </c>
      <c r="B669" s="18" t="s">
        <v>856</v>
      </c>
      <c r="C669" s="19" t="s">
        <v>243</v>
      </c>
      <c r="D669" s="20" t="s">
        <v>547</v>
      </c>
      <c r="E669" s="21" t="s">
        <v>7</v>
      </c>
      <c r="F669" s="19" t="s">
        <v>67</v>
      </c>
      <c r="G669" s="23" t="s">
        <v>354</v>
      </c>
      <c r="H669" s="23">
        <v>285.0</v>
      </c>
      <c r="I669" s="23" t="s">
        <v>857</v>
      </c>
      <c r="J669" s="19">
        <v>94.0</v>
      </c>
      <c r="K669" s="23">
        <v>1.0</v>
      </c>
      <c r="L669" s="23">
        <v>0.0</v>
      </c>
      <c r="M669" s="23" t="s">
        <v>354</v>
      </c>
      <c r="N669" s="101" t="s">
        <v>17</v>
      </c>
      <c r="O669" s="101" t="s">
        <v>17</v>
      </c>
      <c r="P669" s="24" t="s">
        <v>245</v>
      </c>
      <c r="Q669" s="19"/>
      <c r="R669" s="19"/>
      <c r="S669" s="19"/>
      <c r="T669" s="19"/>
      <c r="U669" s="19"/>
      <c r="V669" s="19"/>
      <c r="W669" s="19"/>
      <c r="X669" s="19"/>
      <c r="Y669" s="19"/>
      <c r="Z669" s="19"/>
      <c r="AA669" s="19"/>
      <c r="AB669" s="22" t="s">
        <v>354</v>
      </c>
      <c r="AC669" s="19">
        <v>36488.0</v>
      </c>
      <c r="AD669" s="19"/>
      <c r="AE669" s="19"/>
      <c r="AF669" s="30">
        <v>40.0</v>
      </c>
      <c r="AG669" s="36" t="s">
        <v>365</v>
      </c>
      <c r="AH669" s="19"/>
      <c r="AI669" s="36" t="s">
        <v>365</v>
      </c>
      <c r="AJ669" s="19"/>
      <c r="AK669" s="19"/>
      <c r="AL669" s="73" t="s">
        <v>357</v>
      </c>
      <c r="AM669" s="73" t="s">
        <v>357</v>
      </c>
      <c r="AN669" s="35" t="s">
        <v>363</v>
      </c>
    </row>
    <row r="670">
      <c r="A670" s="17" t="s">
        <v>244</v>
      </c>
      <c r="B670" s="18" t="s">
        <v>856</v>
      </c>
      <c r="C670" s="19" t="s">
        <v>243</v>
      </c>
      <c r="D670" s="20" t="s">
        <v>547</v>
      </c>
      <c r="E670" s="21" t="s">
        <v>7</v>
      </c>
      <c r="F670" s="19" t="s">
        <v>67</v>
      </c>
      <c r="G670" s="23">
        <v>120.0</v>
      </c>
      <c r="H670" s="23">
        <v>275.0</v>
      </c>
      <c r="I670" s="22" t="s">
        <v>857</v>
      </c>
      <c r="J670" s="19">
        <v>48.0</v>
      </c>
      <c r="K670" s="23">
        <v>1.0</v>
      </c>
      <c r="L670" s="23">
        <v>1.0</v>
      </c>
      <c r="M670" s="23" t="s">
        <v>354</v>
      </c>
      <c r="N670" s="101" t="s">
        <v>17</v>
      </c>
      <c r="O670" s="101" t="s">
        <v>17</v>
      </c>
      <c r="P670" s="24" t="s">
        <v>245</v>
      </c>
      <c r="Q670" s="24" t="s">
        <v>244</v>
      </c>
      <c r="R670" s="19"/>
      <c r="S670" s="19"/>
      <c r="T670" s="19"/>
      <c r="U670" s="19"/>
      <c r="V670" s="19"/>
      <c r="W670" s="19"/>
      <c r="X670" s="19"/>
      <c r="Y670" s="19"/>
      <c r="Z670" s="19"/>
      <c r="AA670" s="19"/>
      <c r="AB670" s="23" t="s">
        <v>858</v>
      </c>
      <c r="AC670" s="19">
        <v>36638.0</v>
      </c>
      <c r="AD670" s="19"/>
      <c r="AE670" s="19"/>
      <c r="AF670" s="66">
        <v>30.23</v>
      </c>
      <c r="AG670" s="36" t="s">
        <v>365</v>
      </c>
      <c r="AH670" s="23" t="s">
        <v>366</v>
      </c>
      <c r="AI670" s="26" t="s">
        <v>357</v>
      </c>
      <c r="AJ670" s="19"/>
      <c r="AK670" s="19"/>
      <c r="AL670" s="119" t="s">
        <v>413</v>
      </c>
      <c r="AM670" s="38" t="s">
        <v>357</v>
      </c>
      <c r="AN670" s="59" t="s">
        <v>357</v>
      </c>
    </row>
    <row r="671">
      <c r="A671" s="17" t="s">
        <v>244</v>
      </c>
      <c r="B671" s="18" t="s">
        <v>856</v>
      </c>
      <c r="C671" s="19" t="s">
        <v>243</v>
      </c>
      <c r="D671" s="20" t="s">
        <v>547</v>
      </c>
      <c r="E671" s="21" t="s">
        <v>7</v>
      </c>
      <c r="F671" s="19" t="s">
        <v>67</v>
      </c>
      <c r="G671" s="23" t="s">
        <v>354</v>
      </c>
      <c r="H671" s="23">
        <v>260.0</v>
      </c>
      <c r="I671" s="22" t="s">
        <v>857</v>
      </c>
      <c r="J671" s="19">
        <v>46.0</v>
      </c>
      <c r="K671" s="23">
        <v>0.0</v>
      </c>
      <c r="L671" s="23">
        <v>0.0</v>
      </c>
      <c r="M671" s="23" t="s">
        <v>354</v>
      </c>
      <c r="N671" s="101" t="s">
        <v>17</v>
      </c>
      <c r="O671" s="101" t="s">
        <v>17</v>
      </c>
      <c r="P671" s="24" t="s">
        <v>245</v>
      </c>
      <c r="Q671" s="24" t="s">
        <v>244</v>
      </c>
      <c r="R671" s="24" t="s">
        <v>244</v>
      </c>
      <c r="S671" s="19"/>
      <c r="T671" s="19"/>
      <c r="U671" s="19"/>
      <c r="V671" s="19"/>
      <c r="W671" s="19"/>
      <c r="X671" s="19"/>
      <c r="Y671" s="19"/>
      <c r="Z671" s="19"/>
      <c r="AA671" s="19"/>
      <c r="AB671" s="23" t="s">
        <v>859</v>
      </c>
      <c r="AC671" s="19"/>
      <c r="AD671" s="19"/>
      <c r="AE671" s="19"/>
      <c r="AF671" s="66">
        <v>29.77</v>
      </c>
      <c r="AG671" s="36" t="s">
        <v>365</v>
      </c>
      <c r="AH671" s="23" t="s">
        <v>366</v>
      </c>
      <c r="AI671" s="73" t="s">
        <v>357</v>
      </c>
      <c r="AJ671" s="19"/>
      <c r="AK671" s="19"/>
      <c r="AL671" s="23" t="s">
        <v>356</v>
      </c>
      <c r="AM671" s="23" t="s">
        <v>356</v>
      </c>
      <c r="AN671" s="26" t="s">
        <v>357</v>
      </c>
    </row>
    <row r="672">
      <c r="A672" s="17" t="s">
        <v>244</v>
      </c>
      <c r="B672" s="18" t="s">
        <v>856</v>
      </c>
      <c r="C672" s="19" t="s">
        <v>243</v>
      </c>
      <c r="D672" s="20" t="s">
        <v>547</v>
      </c>
      <c r="E672" s="21" t="s">
        <v>7</v>
      </c>
      <c r="F672" s="19" t="s">
        <v>67</v>
      </c>
      <c r="G672" s="23" t="s">
        <v>354</v>
      </c>
      <c r="H672" s="23">
        <v>205.0</v>
      </c>
      <c r="I672" s="22" t="s">
        <v>857</v>
      </c>
      <c r="J672" s="19">
        <v>44.0</v>
      </c>
      <c r="K672" s="23">
        <v>0.0</v>
      </c>
      <c r="L672" s="23">
        <v>0.0</v>
      </c>
      <c r="M672" s="23" t="s">
        <v>354</v>
      </c>
      <c r="N672" s="101" t="s">
        <v>17</v>
      </c>
      <c r="O672" s="101" t="s">
        <v>17</v>
      </c>
      <c r="P672" s="24" t="s">
        <v>245</v>
      </c>
      <c r="Q672" s="24" t="s">
        <v>244</v>
      </c>
      <c r="R672" s="24" t="s">
        <v>244</v>
      </c>
      <c r="S672" s="24" t="s">
        <v>244</v>
      </c>
      <c r="T672" s="19"/>
      <c r="U672" s="19"/>
      <c r="V672" s="19"/>
      <c r="W672" s="19"/>
      <c r="X672" s="19"/>
      <c r="Y672" s="19"/>
      <c r="Z672" s="19"/>
      <c r="AA672" s="19"/>
      <c r="AB672" s="23" t="s">
        <v>757</v>
      </c>
      <c r="AC672" s="19"/>
      <c r="AD672" s="19"/>
      <c r="AE672" s="19"/>
      <c r="AF672" s="33">
        <v>0.0</v>
      </c>
      <c r="AG672" s="33" t="s">
        <v>354</v>
      </c>
      <c r="AH672" s="33"/>
      <c r="AI672" s="33" t="s">
        <v>354</v>
      </c>
      <c r="AJ672" s="19"/>
      <c r="AK672" s="19"/>
      <c r="AL672" s="40" t="s">
        <v>357</v>
      </c>
      <c r="AM672" s="40" t="s">
        <v>357</v>
      </c>
      <c r="AN672" s="40" t="s">
        <v>357</v>
      </c>
    </row>
    <row r="673">
      <c r="A673" s="17" t="s">
        <v>244</v>
      </c>
      <c r="B673" s="18" t="s">
        <v>856</v>
      </c>
      <c r="C673" s="19" t="s">
        <v>243</v>
      </c>
      <c r="D673" s="20" t="s">
        <v>547</v>
      </c>
      <c r="E673" s="21" t="s">
        <v>7</v>
      </c>
      <c r="F673" s="19" t="s">
        <v>67</v>
      </c>
      <c r="G673" s="23" t="s">
        <v>354</v>
      </c>
      <c r="H673" s="23">
        <v>215.0</v>
      </c>
      <c r="I673" s="22" t="s">
        <v>857</v>
      </c>
      <c r="J673" s="19">
        <v>49.0</v>
      </c>
      <c r="K673" s="23">
        <v>0.0</v>
      </c>
      <c r="L673" s="23">
        <v>0.0</v>
      </c>
      <c r="M673" s="23" t="s">
        <v>354</v>
      </c>
      <c r="N673" s="101" t="s">
        <v>17</v>
      </c>
      <c r="O673" s="101" t="s">
        <v>17</v>
      </c>
      <c r="P673" s="24" t="s">
        <v>245</v>
      </c>
      <c r="Q673" s="24" t="s">
        <v>244</v>
      </c>
      <c r="R673" s="24" t="s">
        <v>244</v>
      </c>
      <c r="S673" s="24" t="s">
        <v>244</v>
      </c>
      <c r="T673" s="24" t="s">
        <v>244</v>
      </c>
      <c r="U673" s="19"/>
      <c r="V673" s="19"/>
      <c r="W673" s="19"/>
      <c r="X673" s="19"/>
      <c r="Y673" s="19"/>
      <c r="Z673" s="19"/>
      <c r="AA673" s="19"/>
      <c r="AB673" s="22" t="s">
        <v>354</v>
      </c>
      <c r="AC673" s="19"/>
      <c r="AD673" s="19"/>
      <c r="AE673" s="19"/>
      <c r="AF673" s="33">
        <v>0.0</v>
      </c>
      <c r="AG673" s="33" t="s">
        <v>354</v>
      </c>
      <c r="AH673" s="33"/>
      <c r="AI673" s="33" t="s">
        <v>354</v>
      </c>
      <c r="AJ673" s="19"/>
      <c r="AK673" s="19"/>
      <c r="AL673" s="89" t="s">
        <v>356</v>
      </c>
      <c r="AM673" s="59" t="s">
        <v>357</v>
      </c>
      <c r="AN673" s="89" t="s">
        <v>356</v>
      </c>
    </row>
    <row r="674">
      <c r="A674" s="17" t="s">
        <v>244</v>
      </c>
      <c r="B674" s="18" t="s">
        <v>856</v>
      </c>
      <c r="C674" s="19" t="s">
        <v>243</v>
      </c>
      <c r="D674" s="20" t="s">
        <v>547</v>
      </c>
      <c r="E674" s="21" t="s">
        <v>7</v>
      </c>
      <c r="F674" s="19" t="s">
        <v>67</v>
      </c>
      <c r="G674" s="23" t="s">
        <v>354</v>
      </c>
      <c r="H674" s="23">
        <v>210.0</v>
      </c>
      <c r="I674" s="22" t="s">
        <v>857</v>
      </c>
      <c r="J674" s="19">
        <v>46.0</v>
      </c>
      <c r="K674" s="23">
        <v>1.0</v>
      </c>
      <c r="L674" s="23">
        <v>0.0</v>
      </c>
      <c r="M674" s="23" t="s">
        <v>354</v>
      </c>
      <c r="N674" s="101" t="s">
        <v>17</v>
      </c>
      <c r="O674" s="101" t="s">
        <v>17</v>
      </c>
      <c r="P674" s="24" t="s">
        <v>245</v>
      </c>
      <c r="Q674" s="24" t="s">
        <v>244</v>
      </c>
      <c r="R674" s="24" t="s">
        <v>244</v>
      </c>
      <c r="S674" s="24" t="s">
        <v>244</v>
      </c>
      <c r="T674" s="24" t="s">
        <v>244</v>
      </c>
      <c r="U674" s="24" t="s">
        <v>244</v>
      </c>
      <c r="V674" s="44" t="s">
        <v>373</v>
      </c>
      <c r="W674" s="19"/>
      <c r="X674" s="19"/>
      <c r="Y674" s="19"/>
      <c r="Z674" s="19"/>
      <c r="AA674" s="19"/>
      <c r="AB674" s="23" t="s">
        <v>860</v>
      </c>
      <c r="AC674" s="19"/>
      <c r="AD674" s="19"/>
      <c r="AE674" s="19"/>
      <c r="AF674" s="33">
        <v>0.0</v>
      </c>
      <c r="AG674" s="33" t="s">
        <v>354</v>
      </c>
      <c r="AH674" s="33"/>
      <c r="AI674" s="33" t="s">
        <v>354</v>
      </c>
      <c r="AJ674" s="19"/>
      <c r="AK674" s="19"/>
      <c r="AL674" s="59" t="s">
        <v>357</v>
      </c>
      <c r="AM674" s="89" t="s">
        <v>356</v>
      </c>
      <c r="AN674" s="89" t="s">
        <v>356</v>
      </c>
    </row>
    <row r="675">
      <c r="A675" s="17" t="s">
        <v>244</v>
      </c>
      <c r="B675" s="18" t="s">
        <v>856</v>
      </c>
      <c r="C675" s="19" t="s">
        <v>243</v>
      </c>
      <c r="D675" s="20" t="s">
        <v>547</v>
      </c>
      <c r="E675" s="21" t="s">
        <v>7</v>
      </c>
      <c r="F675" s="19" t="s">
        <v>67</v>
      </c>
      <c r="G675" s="23">
        <v>120.0</v>
      </c>
      <c r="H675" s="23">
        <v>175.0</v>
      </c>
      <c r="I675" s="22" t="s">
        <v>857</v>
      </c>
      <c r="J675" s="19">
        <v>46.0</v>
      </c>
      <c r="K675" s="23">
        <v>0.0</v>
      </c>
      <c r="L675" s="23">
        <v>0.0</v>
      </c>
      <c r="M675" s="23" t="s">
        <v>354</v>
      </c>
      <c r="N675" s="101" t="s">
        <v>17</v>
      </c>
      <c r="O675" s="101" t="s">
        <v>17</v>
      </c>
      <c r="P675" s="24" t="s">
        <v>245</v>
      </c>
      <c r="Q675" s="24" t="s">
        <v>244</v>
      </c>
      <c r="R675" s="24" t="s">
        <v>244</v>
      </c>
      <c r="S675" s="24" t="s">
        <v>244</v>
      </c>
      <c r="T675" s="24" t="s">
        <v>244</v>
      </c>
      <c r="U675" s="24" t="s">
        <v>244</v>
      </c>
      <c r="V675" s="44" t="s">
        <v>373</v>
      </c>
      <c r="W675" s="18" t="s">
        <v>861</v>
      </c>
      <c r="X675" s="19"/>
      <c r="Y675" s="19"/>
      <c r="Z675" s="19"/>
      <c r="AA675" s="19"/>
      <c r="AB675" s="158" t="s">
        <v>600</v>
      </c>
      <c r="AC675" s="19"/>
      <c r="AD675" s="19"/>
      <c r="AE675" s="19"/>
      <c r="AF675" s="33">
        <v>0.0</v>
      </c>
      <c r="AG675" s="33" t="s">
        <v>354</v>
      </c>
      <c r="AH675" s="33"/>
      <c r="AI675" s="33" t="s">
        <v>354</v>
      </c>
      <c r="AJ675" s="19"/>
      <c r="AK675" s="19"/>
      <c r="AL675" s="89" t="s">
        <v>356</v>
      </c>
      <c r="AM675" s="89" t="s">
        <v>356</v>
      </c>
      <c r="AN675" s="89" t="s">
        <v>356</v>
      </c>
    </row>
    <row r="676">
      <c r="A676" s="17" t="s">
        <v>244</v>
      </c>
      <c r="B676" s="18" t="s">
        <v>856</v>
      </c>
      <c r="C676" s="19" t="s">
        <v>243</v>
      </c>
      <c r="D676" s="20" t="s">
        <v>547</v>
      </c>
      <c r="E676" s="21" t="s">
        <v>7</v>
      </c>
      <c r="F676" s="19" t="s">
        <v>67</v>
      </c>
      <c r="G676" s="22" t="s">
        <v>354</v>
      </c>
      <c r="H676" s="22" t="s">
        <v>354</v>
      </c>
      <c r="I676" s="22" t="s">
        <v>857</v>
      </c>
      <c r="J676" s="19">
        <v>46.0</v>
      </c>
      <c r="K676" s="23">
        <v>1.0</v>
      </c>
      <c r="L676" s="78">
        <v>1.0</v>
      </c>
      <c r="M676" s="78" t="s">
        <v>862</v>
      </c>
      <c r="N676" s="101" t="s">
        <v>17</v>
      </c>
      <c r="O676" s="101" t="s">
        <v>17</v>
      </c>
      <c r="P676" s="24" t="s">
        <v>245</v>
      </c>
      <c r="Q676" s="24" t="s">
        <v>244</v>
      </c>
      <c r="R676" s="24" t="s">
        <v>244</v>
      </c>
      <c r="S676" s="24" t="s">
        <v>244</v>
      </c>
      <c r="T676" s="24" t="s">
        <v>244</v>
      </c>
      <c r="U676" s="24" t="s">
        <v>244</v>
      </c>
      <c r="V676" s="44" t="s">
        <v>373</v>
      </c>
      <c r="W676" s="18" t="s">
        <v>861</v>
      </c>
      <c r="X676" s="24" t="s">
        <v>244</v>
      </c>
      <c r="Y676" s="44" t="s">
        <v>373</v>
      </c>
      <c r="Z676" s="19"/>
      <c r="AA676" s="19"/>
      <c r="AB676" s="158" t="s">
        <v>600</v>
      </c>
      <c r="AC676" s="19"/>
      <c r="AD676" s="19"/>
      <c r="AE676" s="19"/>
      <c r="AF676" s="33">
        <v>0.0</v>
      </c>
      <c r="AG676" s="33" t="s">
        <v>354</v>
      </c>
      <c r="AH676" s="33"/>
      <c r="AI676" s="33" t="s">
        <v>354</v>
      </c>
      <c r="AJ676" s="19"/>
      <c r="AK676" s="19"/>
      <c r="AL676" s="89" t="s">
        <v>356</v>
      </c>
      <c r="AM676" s="89" t="s">
        <v>356</v>
      </c>
      <c r="AN676" s="89" t="s">
        <v>356</v>
      </c>
    </row>
    <row r="677">
      <c r="A677" s="17" t="s">
        <v>244</v>
      </c>
      <c r="B677" s="18" t="s">
        <v>856</v>
      </c>
      <c r="C677" s="19" t="s">
        <v>243</v>
      </c>
      <c r="D677" s="20" t="s">
        <v>547</v>
      </c>
      <c r="E677" s="21" t="s">
        <v>7</v>
      </c>
      <c r="F677" s="19" t="s">
        <v>67</v>
      </c>
      <c r="G677" s="22" t="s">
        <v>354</v>
      </c>
      <c r="H677" s="22" t="s">
        <v>354</v>
      </c>
      <c r="I677" s="22" t="s">
        <v>857</v>
      </c>
      <c r="J677" s="19">
        <v>46.0</v>
      </c>
      <c r="K677" s="23">
        <v>1.0</v>
      </c>
      <c r="L677" s="78">
        <v>1.0</v>
      </c>
      <c r="M677" s="78" t="s">
        <v>862</v>
      </c>
      <c r="N677" s="101" t="s">
        <v>17</v>
      </c>
      <c r="O677" s="101" t="s">
        <v>17</v>
      </c>
      <c r="P677" s="24" t="s">
        <v>245</v>
      </c>
      <c r="Q677" s="24" t="s">
        <v>244</v>
      </c>
      <c r="R677" s="24" t="s">
        <v>244</v>
      </c>
      <c r="S677" s="24" t="s">
        <v>244</v>
      </c>
      <c r="T677" s="24" t="s">
        <v>244</v>
      </c>
      <c r="U677" s="24" t="s">
        <v>244</v>
      </c>
      <c r="V677" s="44" t="s">
        <v>373</v>
      </c>
      <c r="W677" s="18" t="s">
        <v>861</v>
      </c>
      <c r="X677" s="24" t="s">
        <v>244</v>
      </c>
      <c r="Y677" s="44" t="s">
        <v>373</v>
      </c>
      <c r="Z677" s="24" t="s">
        <v>244</v>
      </c>
      <c r="AA677" s="19"/>
      <c r="AB677" s="158" t="s">
        <v>672</v>
      </c>
      <c r="AC677" s="19"/>
      <c r="AD677" s="19"/>
      <c r="AE677" s="19"/>
      <c r="AF677" s="66">
        <v>31.0760563276998</v>
      </c>
      <c r="AG677" s="36" t="s">
        <v>365</v>
      </c>
      <c r="AH677" s="19"/>
      <c r="AI677" s="58" t="s">
        <v>380</v>
      </c>
      <c r="AJ677" s="23" t="s">
        <v>356</v>
      </c>
      <c r="AK677" s="23" t="s">
        <v>356</v>
      </c>
      <c r="AL677" s="89" t="s">
        <v>356</v>
      </c>
      <c r="AM677" s="82" t="s">
        <v>361</v>
      </c>
      <c r="AN677" s="35" t="s">
        <v>363</v>
      </c>
    </row>
    <row r="678">
      <c r="A678" s="17" t="s">
        <v>244</v>
      </c>
      <c r="B678" s="18" t="s">
        <v>856</v>
      </c>
      <c r="C678" s="19" t="s">
        <v>243</v>
      </c>
      <c r="D678" s="20" t="s">
        <v>547</v>
      </c>
      <c r="E678" s="21" t="s">
        <v>7</v>
      </c>
      <c r="F678" s="19" t="s">
        <v>67</v>
      </c>
      <c r="G678" s="22" t="s">
        <v>354</v>
      </c>
      <c r="H678" s="22" t="s">
        <v>354</v>
      </c>
      <c r="I678" s="22" t="s">
        <v>857</v>
      </c>
      <c r="J678" s="19">
        <v>46.0</v>
      </c>
      <c r="K678" s="23">
        <v>1.0</v>
      </c>
      <c r="L678" s="78">
        <v>1.0</v>
      </c>
      <c r="M678" s="78" t="s">
        <v>862</v>
      </c>
      <c r="N678" s="101" t="s">
        <v>17</v>
      </c>
      <c r="O678" s="101" t="s">
        <v>17</v>
      </c>
      <c r="P678" s="24" t="s">
        <v>245</v>
      </c>
      <c r="Q678" s="24" t="s">
        <v>244</v>
      </c>
      <c r="R678" s="24" t="s">
        <v>244</v>
      </c>
      <c r="S678" s="24" t="s">
        <v>244</v>
      </c>
      <c r="T678" s="24" t="s">
        <v>244</v>
      </c>
      <c r="U678" s="24" t="s">
        <v>244</v>
      </c>
      <c r="V678" s="44" t="s">
        <v>373</v>
      </c>
      <c r="W678" s="18" t="s">
        <v>861</v>
      </c>
      <c r="X678" s="24" t="s">
        <v>244</v>
      </c>
      <c r="Y678" s="44" t="s">
        <v>373</v>
      </c>
      <c r="Z678" s="24" t="s">
        <v>244</v>
      </c>
      <c r="AA678" s="24" t="s">
        <v>244</v>
      </c>
      <c r="AB678" s="158" t="s">
        <v>600</v>
      </c>
      <c r="AC678" s="19"/>
      <c r="AD678" s="19"/>
      <c r="AE678" s="19"/>
      <c r="AF678" s="33">
        <v>0.0</v>
      </c>
      <c r="AG678" s="33" t="s">
        <v>354</v>
      </c>
      <c r="AH678" s="33"/>
      <c r="AI678" s="33" t="s">
        <v>354</v>
      </c>
      <c r="AJ678" s="19"/>
      <c r="AK678" s="19"/>
      <c r="AL678" s="89" t="s">
        <v>356</v>
      </c>
      <c r="AM678" s="89" t="s">
        <v>356</v>
      </c>
      <c r="AN678" s="89" t="s">
        <v>356</v>
      </c>
    </row>
    <row r="679">
      <c r="A679" s="121" t="s">
        <v>863</v>
      </c>
      <c r="B679" s="18" t="s">
        <v>864</v>
      </c>
      <c r="C679" s="19" t="s">
        <v>315</v>
      </c>
      <c r="D679" s="123" t="s">
        <v>490</v>
      </c>
      <c r="E679" s="223" t="s">
        <v>491</v>
      </c>
      <c r="F679" s="122" t="s">
        <v>8</v>
      </c>
      <c r="G679" s="125" t="s">
        <v>354</v>
      </c>
      <c r="H679" s="125" t="s">
        <v>354</v>
      </c>
      <c r="I679" s="125" t="s">
        <v>857</v>
      </c>
      <c r="J679" s="122">
        <v>71.0</v>
      </c>
      <c r="K679" s="125" t="s">
        <v>354</v>
      </c>
      <c r="L679" s="125">
        <v>0.0</v>
      </c>
      <c r="M679" s="125" t="s">
        <v>354</v>
      </c>
      <c r="N679" s="101" t="s">
        <v>17</v>
      </c>
      <c r="O679" s="101" t="s">
        <v>17</v>
      </c>
      <c r="P679" s="101" t="s">
        <v>17</v>
      </c>
      <c r="Q679" s="101" t="s">
        <v>17</v>
      </c>
      <c r="R679" s="24" t="s">
        <v>316</v>
      </c>
      <c r="S679" s="122"/>
      <c r="T679" s="122"/>
      <c r="U679" s="122"/>
      <c r="V679" s="122"/>
      <c r="W679" s="122"/>
      <c r="X679" s="122"/>
      <c r="Y679" s="122"/>
      <c r="Z679" s="122"/>
      <c r="AA679" s="122"/>
      <c r="AB679" s="125" t="s">
        <v>865</v>
      </c>
      <c r="AC679" s="122"/>
      <c r="AD679" s="122"/>
      <c r="AE679" s="122"/>
      <c r="AF679" s="125">
        <v>0.0</v>
      </c>
      <c r="AG679" s="125" t="s">
        <v>356</v>
      </c>
      <c r="AH679" s="122"/>
      <c r="AI679" s="125" t="s">
        <v>356</v>
      </c>
      <c r="AJ679" s="122"/>
      <c r="AK679" s="122"/>
      <c r="AL679" s="125" t="s">
        <v>356</v>
      </c>
      <c r="AM679" s="125" t="s">
        <v>356</v>
      </c>
      <c r="AN679" s="125" t="s">
        <v>356</v>
      </c>
    </row>
    <row r="680">
      <c r="A680" s="121" t="s">
        <v>863</v>
      </c>
      <c r="B680" s="18" t="s">
        <v>864</v>
      </c>
      <c r="C680" s="19" t="s">
        <v>315</v>
      </c>
      <c r="D680" s="123" t="s">
        <v>490</v>
      </c>
      <c r="E680" s="124" t="s">
        <v>62</v>
      </c>
      <c r="F680" s="122" t="s">
        <v>8</v>
      </c>
      <c r="G680" s="125">
        <v>91.0</v>
      </c>
      <c r="H680" s="125">
        <v>85.0</v>
      </c>
      <c r="I680" s="125" t="s">
        <v>857</v>
      </c>
      <c r="J680" s="122">
        <v>58.0</v>
      </c>
      <c r="K680" s="125" t="s">
        <v>354</v>
      </c>
      <c r="L680" s="125">
        <v>0.0</v>
      </c>
      <c r="M680" s="125" t="s">
        <v>354</v>
      </c>
      <c r="N680" s="101" t="s">
        <v>17</v>
      </c>
      <c r="O680" s="101" t="s">
        <v>17</v>
      </c>
      <c r="P680" s="101" t="s">
        <v>17</v>
      </c>
      <c r="Q680" s="101" t="s">
        <v>17</v>
      </c>
      <c r="R680" s="24" t="s">
        <v>316</v>
      </c>
      <c r="S680" s="24" t="s">
        <v>317</v>
      </c>
      <c r="T680" s="122"/>
      <c r="U680" s="122"/>
      <c r="V680" s="122"/>
      <c r="W680" s="122"/>
      <c r="X680" s="122"/>
      <c r="Y680" s="122"/>
      <c r="Z680" s="122"/>
      <c r="AA680" s="122"/>
      <c r="AB680" s="125" t="s">
        <v>590</v>
      </c>
      <c r="AC680" s="122"/>
      <c r="AD680" s="122"/>
      <c r="AE680" s="122"/>
      <c r="AF680" s="125">
        <v>0.0</v>
      </c>
      <c r="AG680" s="125" t="s">
        <v>354</v>
      </c>
      <c r="AH680" s="122"/>
      <c r="AI680" s="125" t="s">
        <v>354</v>
      </c>
      <c r="AJ680" s="122"/>
      <c r="AK680" s="122"/>
      <c r="AL680" s="125" t="s">
        <v>356</v>
      </c>
      <c r="AM680" s="125" t="s">
        <v>356</v>
      </c>
      <c r="AN680" s="125" t="s">
        <v>356</v>
      </c>
    </row>
    <row r="681">
      <c r="A681" s="121" t="s">
        <v>863</v>
      </c>
      <c r="B681" s="18" t="s">
        <v>864</v>
      </c>
      <c r="C681" s="19" t="s">
        <v>315</v>
      </c>
      <c r="D681" s="123" t="s">
        <v>490</v>
      </c>
      <c r="E681" s="124" t="s">
        <v>62</v>
      </c>
      <c r="F681" s="122" t="s">
        <v>8</v>
      </c>
      <c r="G681" s="125">
        <v>99.0</v>
      </c>
      <c r="H681" s="125">
        <v>105.0</v>
      </c>
      <c r="I681" s="125" t="s">
        <v>857</v>
      </c>
      <c r="J681" s="122">
        <v>63.0</v>
      </c>
      <c r="K681" s="125" t="s">
        <v>354</v>
      </c>
      <c r="L681" s="125">
        <v>0.0</v>
      </c>
      <c r="M681" s="125" t="s">
        <v>354</v>
      </c>
      <c r="N681" s="101" t="s">
        <v>17</v>
      </c>
      <c r="O681" s="101" t="s">
        <v>17</v>
      </c>
      <c r="P681" s="101" t="s">
        <v>17</v>
      </c>
      <c r="Q681" s="101" t="s">
        <v>17</v>
      </c>
      <c r="R681" s="24" t="s">
        <v>316</v>
      </c>
      <c r="S681" s="24" t="s">
        <v>317</v>
      </c>
      <c r="T681" s="24" t="s">
        <v>318</v>
      </c>
      <c r="U681" s="122"/>
      <c r="V681" s="122"/>
      <c r="W681" s="122"/>
      <c r="X681" s="122"/>
      <c r="Y681" s="122"/>
      <c r="Z681" s="122"/>
      <c r="AA681" s="122"/>
      <c r="AB681" s="125" t="s">
        <v>590</v>
      </c>
      <c r="AC681" s="122"/>
      <c r="AD681" s="122"/>
      <c r="AE681" s="122"/>
      <c r="AF681" s="125">
        <v>0.0</v>
      </c>
      <c r="AG681" s="125" t="s">
        <v>354</v>
      </c>
      <c r="AH681" s="122"/>
      <c r="AI681" s="125" t="s">
        <v>354</v>
      </c>
      <c r="AJ681" s="122"/>
      <c r="AK681" s="122"/>
      <c r="AL681" s="125" t="s">
        <v>356</v>
      </c>
      <c r="AM681" s="125" t="s">
        <v>356</v>
      </c>
      <c r="AN681" s="125" t="s">
        <v>356</v>
      </c>
    </row>
    <row r="682">
      <c r="A682" s="121" t="s">
        <v>863</v>
      </c>
      <c r="B682" s="18" t="s">
        <v>864</v>
      </c>
      <c r="C682" s="19" t="s">
        <v>315</v>
      </c>
      <c r="D682" s="123" t="s">
        <v>490</v>
      </c>
      <c r="E682" s="124" t="s">
        <v>62</v>
      </c>
      <c r="F682" s="122" t="s">
        <v>8</v>
      </c>
      <c r="G682" s="125">
        <v>103.0</v>
      </c>
      <c r="H682" s="125">
        <v>150.0</v>
      </c>
      <c r="I682" s="125" t="s">
        <v>857</v>
      </c>
      <c r="J682" s="122"/>
      <c r="K682" s="125" t="s">
        <v>354</v>
      </c>
      <c r="L682" s="125">
        <v>0.0</v>
      </c>
      <c r="M682" s="125" t="s">
        <v>354</v>
      </c>
      <c r="N682" s="101" t="s">
        <v>17</v>
      </c>
      <c r="O682" s="101" t="s">
        <v>17</v>
      </c>
      <c r="P682" s="101" t="s">
        <v>17</v>
      </c>
      <c r="Q682" s="101" t="s">
        <v>17</v>
      </c>
      <c r="R682" s="24" t="s">
        <v>316</v>
      </c>
      <c r="S682" s="24" t="s">
        <v>317</v>
      </c>
      <c r="T682" s="24" t="s">
        <v>318</v>
      </c>
      <c r="U682" s="18" t="s">
        <v>866</v>
      </c>
      <c r="V682" s="122"/>
      <c r="W682" s="122"/>
      <c r="X682" s="122"/>
      <c r="Y682" s="122"/>
      <c r="Z682" s="122"/>
      <c r="AA682" s="122"/>
      <c r="AB682" s="125" t="s">
        <v>592</v>
      </c>
      <c r="AC682" s="122"/>
      <c r="AD682" s="122"/>
      <c r="AE682" s="122"/>
      <c r="AF682" s="125">
        <v>0.0</v>
      </c>
      <c r="AG682" s="125" t="s">
        <v>354</v>
      </c>
      <c r="AH682" s="122"/>
      <c r="AI682" s="125" t="s">
        <v>354</v>
      </c>
      <c r="AJ682" s="122"/>
      <c r="AK682" s="122"/>
      <c r="AL682" s="125" t="s">
        <v>356</v>
      </c>
      <c r="AM682" s="125" t="s">
        <v>356</v>
      </c>
      <c r="AN682" s="125" t="s">
        <v>356</v>
      </c>
    </row>
    <row r="683">
      <c r="A683" s="121" t="s">
        <v>863</v>
      </c>
      <c r="B683" s="18" t="s">
        <v>864</v>
      </c>
      <c r="C683" s="19" t="s">
        <v>315</v>
      </c>
      <c r="D683" s="123" t="s">
        <v>490</v>
      </c>
      <c r="E683" s="124" t="s">
        <v>37</v>
      </c>
      <c r="F683" s="122" t="s">
        <v>8</v>
      </c>
      <c r="G683" s="125">
        <v>115.0</v>
      </c>
      <c r="H683" s="125">
        <v>190.0</v>
      </c>
      <c r="I683" s="125" t="s">
        <v>857</v>
      </c>
      <c r="J683" s="122"/>
      <c r="K683" s="125" t="s">
        <v>354</v>
      </c>
      <c r="L683" s="125">
        <v>0.0</v>
      </c>
      <c r="M683" s="125" t="s">
        <v>354</v>
      </c>
      <c r="N683" s="101" t="s">
        <v>17</v>
      </c>
      <c r="O683" s="101" t="s">
        <v>17</v>
      </c>
      <c r="P683" s="101" t="s">
        <v>17</v>
      </c>
      <c r="Q683" s="101" t="s">
        <v>17</v>
      </c>
      <c r="R683" s="24" t="s">
        <v>316</v>
      </c>
      <c r="S683" s="24" t="s">
        <v>317</v>
      </c>
      <c r="T683" s="24" t="s">
        <v>318</v>
      </c>
      <c r="U683" s="18" t="s">
        <v>866</v>
      </c>
      <c r="V683" s="18" t="s">
        <v>867</v>
      </c>
      <c r="W683" s="44" t="s">
        <v>373</v>
      </c>
      <c r="X683" s="122"/>
      <c r="Y683" s="122"/>
      <c r="Z683" s="122"/>
      <c r="AA683" s="122"/>
      <c r="AB683" s="125" t="s">
        <v>354</v>
      </c>
      <c r="AC683" s="122"/>
      <c r="AD683" s="122"/>
      <c r="AE683" s="122"/>
      <c r="AF683" s="125">
        <v>0.0</v>
      </c>
      <c r="AG683" s="125" t="s">
        <v>354</v>
      </c>
      <c r="AH683" s="122"/>
      <c r="AI683" s="125" t="s">
        <v>354</v>
      </c>
      <c r="AJ683" s="122"/>
      <c r="AK683" s="122"/>
      <c r="AL683" s="125" t="s">
        <v>356</v>
      </c>
      <c r="AM683" s="58" t="s">
        <v>380</v>
      </c>
      <c r="AN683" s="125" t="s">
        <v>356</v>
      </c>
    </row>
    <row r="684">
      <c r="A684" s="121" t="s">
        <v>863</v>
      </c>
      <c r="B684" s="18" t="s">
        <v>864</v>
      </c>
      <c r="C684" s="19" t="s">
        <v>315</v>
      </c>
      <c r="D684" s="123" t="s">
        <v>490</v>
      </c>
      <c r="E684" s="124" t="s">
        <v>37</v>
      </c>
      <c r="F684" s="122" t="s">
        <v>8</v>
      </c>
      <c r="G684" s="147" t="s">
        <v>354</v>
      </c>
      <c r="H684" s="147" t="s">
        <v>354</v>
      </c>
      <c r="I684" s="125" t="s">
        <v>857</v>
      </c>
      <c r="J684" s="122"/>
      <c r="K684" s="147" t="s">
        <v>354</v>
      </c>
      <c r="L684" s="78">
        <v>1.0</v>
      </c>
      <c r="M684" s="78" t="s">
        <v>868</v>
      </c>
      <c r="N684" s="101" t="s">
        <v>17</v>
      </c>
      <c r="O684" s="101" t="s">
        <v>17</v>
      </c>
      <c r="P684" s="101" t="s">
        <v>17</v>
      </c>
      <c r="Q684" s="101" t="s">
        <v>17</v>
      </c>
      <c r="R684" s="24" t="s">
        <v>316</v>
      </c>
      <c r="S684" s="24" t="s">
        <v>317</v>
      </c>
      <c r="T684" s="24" t="s">
        <v>318</v>
      </c>
      <c r="U684" s="18" t="s">
        <v>866</v>
      </c>
      <c r="V684" s="18" t="s">
        <v>867</v>
      </c>
      <c r="W684" s="44" t="s">
        <v>373</v>
      </c>
      <c r="X684" s="18" t="s">
        <v>867</v>
      </c>
      <c r="Y684" s="125"/>
      <c r="Z684" s="125"/>
      <c r="AA684" s="122"/>
      <c r="AB684" s="158" t="s">
        <v>600</v>
      </c>
      <c r="AC684" s="122"/>
      <c r="AD684" s="122"/>
      <c r="AE684" s="122"/>
      <c r="AF684" s="125">
        <v>0.0</v>
      </c>
      <c r="AG684" s="125" t="s">
        <v>354</v>
      </c>
      <c r="AH684" s="122"/>
      <c r="AI684" s="125" t="s">
        <v>354</v>
      </c>
      <c r="AJ684" s="122"/>
      <c r="AK684" s="122"/>
      <c r="AL684" s="104" t="s">
        <v>389</v>
      </c>
      <c r="AM684" s="119" t="s">
        <v>413</v>
      </c>
      <c r="AN684" s="104" t="s">
        <v>389</v>
      </c>
    </row>
    <row r="685">
      <c r="A685" s="121" t="s">
        <v>863</v>
      </c>
      <c r="B685" s="18" t="s">
        <v>864</v>
      </c>
      <c r="C685" s="19" t="s">
        <v>315</v>
      </c>
      <c r="D685" s="123" t="s">
        <v>490</v>
      </c>
      <c r="E685" s="124" t="s">
        <v>37</v>
      </c>
      <c r="F685" s="122" t="s">
        <v>8</v>
      </c>
      <c r="G685" s="147" t="s">
        <v>354</v>
      </c>
      <c r="H685" s="147" t="s">
        <v>354</v>
      </c>
      <c r="I685" s="125" t="s">
        <v>857</v>
      </c>
      <c r="J685" s="122"/>
      <c r="K685" s="147" t="s">
        <v>354</v>
      </c>
      <c r="L685" s="78">
        <v>1.0</v>
      </c>
      <c r="M685" s="78" t="s">
        <v>868</v>
      </c>
      <c r="N685" s="101" t="s">
        <v>17</v>
      </c>
      <c r="O685" s="101" t="s">
        <v>17</v>
      </c>
      <c r="P685" s="101" t="s">
        <v>17</v>
      </c>
      <c r="Q685" s="101" t="s">
        <v>17</v>
      </c>
      <c r="R685" s="24" t="s">
        <v>316</v>
      </c>
      <c r="S685" s="24" t="s">
        <v>317</v>
      </c>
      <c r="T685" s="24" t="s">
        <v>318</v>
      </c>
      <c r="U685" s="18" t="s">
        <v>866</v>
      </c>
      <c r="V685" s="18" t="s">
        <v>867</v>
      </c>
      <c r="W685" s="44" t="s">
        <v>373</v>
      </c>
      <c r="X685" s="18" t="s">
        <v>867</v>
      </c>
      <c r="Y685" s="18" t="s">
        <v>867</v>
      </c>
      <c r="Z685" s="125"/>
      <c r="AA685" s="122"/>
      <c r="AB685" s="158" t="s">
        <v>600</v>
      </c>
      <c r="AC685" s="122"/>
      <c r="AD685" s="122"/>
      <c r="AE685" s="122"/>
      <c r="AF685" s="125">
        <v>0.0</v>
      </c>
      <c r="AG685" s="125" t="s">
        <v>354</v>
      </c>
      <c r="AH685" s="122"/>
      <c r="AI685" s="125" t="s">
        <v>354</v>
      </c>
      <c r="AJ685" s="122"/>
      <c r="AK685" s="122"/>
      <c r="AL685" s="125" t="s">
        <v>356</v>
      </c>
      <c r="AM685" s="103" t="s">
        <v>389</v>
      </c>
      <c r="AN685" s="104" t="s">
        <v>389</v>
      </c>
    </row>
    <row r="686">
      <c r="A686" s="121" t="s">
        <v>863</v>
      </c>
      <c r="B686" s="18" t="s">
        <v>864</v>
      </c>
      <c r="C686" s="122" t="s">
        <v>315</v>
      </c>
      <c r="D686" s="123" t="s">
        <v>490</v>
      </c>
      <c r="E686" s="124" t="s">
        <v>37</v>
      </c>
      <c r="F686" s="122" t="s">
        <v>8</v>
      </c>
      <c r="G686" s="147" t="s">
        <v>354</v>
      </c>
      <c r="H686" s="147" t="s">
        <v>354</v>
      </c>
      <c r="I686" s="125" t="s">
        <v>857</v>
      </c>
      <c r="J686" s="122"/>
      <c r="K686" s="147" t="s">
        <v>354</v>
      </c>
      <c r="L686" s="78">
        <v>1.0</v>
      </c>
      <c r="M686" s="78" t="s">
        <v>868</v>
      </c>
      <c r="N686" s="101" t="s">
        <v>17</v>
      </c>
      <c r="O686" s="101" t="s">
        <v>17</v>
      </c>
      <c r="P686" s="101" t="s">
        <v>17</v>
      </c>
      <c r="Q686" s="101" t="s">
        <v>17</v>
      </c>
      <c r="R686" s="24" t="s">
        <v>316</v>
      </c>
      <c r="S686" s="24" t="s">
        <v>317</v>
      </c>
      <c r="T686" s="24" t="s">
        <v>318</v>
      </c>
      <c r="U686" s="18" t="s">
        <v>866</v>
      </c>
      <c r="V686" s="18" t="s">
        <v>867</v>
      </c>
      <c r="W686" s="44" t="s">
        <v>373</v>
      </c>
      <c r="X686" s="18" t="s">
        <v>867</v>
      </c>
      <c r="Y686" s="18" t="s">
        <v>867</v>
      </c>
      <c r="Z686" s="18" t="s">
        <v>867</v>
      </c>
      <c r="AA686" s="122"/>
      <c r="AB686" s="158" t="s">
        <v>600</v>
      </c>
      <c r="AC686" s="122"/>
      <c r="AD686" s="122"/>
      <c r="AE686" s="122"/>
      <c r="AF686" s="134">
        <v>34.8031535167802</v>
      </c>
      <c r="AG686" s="125" t="s">
        <v>356</v>
      </c>
      <c r="AH686" s="122"/>
      <c r="AI686" s="125" t="s">
        <v>356</v>
      </c>
      <c r="AJ686" s="125" t="s">
        <v>356</v>
      </c>
      <c r="AK686" s="164" t="s">
        <v>413</v>
      </c>
      <c r="AL686" s="125" t="s">
        <v>356</v>
      </c>
      <c r="AM686" s="119" t="s">
        <v>413</v>
      </c>
      <c r="AN686" s="119" t="s">
        <v>413</v>
      </c>
    </row>
    <row r="687">
      <c r="A687" s="121" t="s">
        <v>863</v>
      </c>
      <c r="B687" s="18" t="s">
        <v>864</v>
      </c>
      <c r="C687" s="122" t="s">
        <v>315</v>
      </c>
      <c r="D687" s="123" t="s">
        <v>490</v>
      </c>
      <c r="E687" s="124" t="s">
        <v>37</v>
      </c>
      <c r="F687" s="122" t="s">
        <v>8</v>
      </c>
      <c r="G687" s="147" t="s">
        <v>354</v>
      </c>
      <c r="H687" s="147" t="s">
        <v>354</v>
      </c>
      <c r="I687" s="125" t="s">
        <v>857</v>
      </c>
      <c r="J687" s="122"/>
      <c r="K687" s="147" t="s">
        <v>354</v>
      </c>
      <c r="L687" s="78">
        <v>1.0</v>
      </c>
      <c r="M687" s="78" t="s">
        <v>868</v>
      </c>
      <c r="N687" s="101" t="s">
        <v>17</v>
      </c>
      <c r="O687" s="101" t="s">
        <v>17</v>
      </c>
      <c r="P687" s="101" t="s">
        <v>17</v>
      </c>
      <c r="Q687" s="101" t="s">
        <v>17</v>
      </c>
      <c r="R687" s="24" t="s">
        <v>316</v>
      </c>
      <c r="S687" s="24" t="s">
        <v>317</v>
      </c>
      <c r="T687" s="24" t="s">
        <v>318</v>
      </c>
      <c r="U687" s="18" t="s">
        <v>866</v>
      </c>
      <c r="V687" s="18" t="s">
        <v>867</v>
      </c>
      <c r="W687" s="44" t="s">
        <v>373</v>
      </c>
      <c r="X687" s="18" t="s">
        <v>867</v>
      </c>
      <c r="Y687" s="18" t="s">
        <v>867</v>
      </c>
      <c r="Z687" s="18" t="s">
        <v>867</v>
      </c>
      <c r="AA687" s="18" t="s">
        <v>867</v>
      </c>
      <c r="AB687" s="158" t="s">
        <v>600</v>
      </c>
      <c r="AC687" s="122"/>
      <c r="AD687" s="122"/>
      <c r="AE687" s="122"/>
      <c r="AF687" s="131">
        <v>31.5584082187623</v>
      </c>
      <c r="AG687" s="125" t="s">
        <v>354</v>
      </c>
      <c r="AH687" s="122"/>
      <c r="AI687" s="125" t="s">
        <v>354</v>
      </c>
      <c r="AJ687" s="122"/>
      <c r="AK687" s="122"/>
      <c r="AL687" s="91" t="s">
        <v>413</v>
      </c>
      <c r="AM687" s="119" t="s">
        <v>413</v>
      </c>
      <c r="AN687" s="28" t="s">
        <v>358</v>
      </c>
    </row>
    <row r="688">
      <c r="A688" s="85" t="s">
        <v>869</v>
      </c>
      <c r="B688" s="98" t="s">
        <v>870</v>
      </c>
      <c r="C688" s="46" t="s">
        <v>246</v>
      </c>
      <c r="D688" s="47" t="s">
        <v>547</v>
      </c>
      <c r="E688" s="48" t="s">
        <v>7</v>
      </c>
      <c r="F688" s="46" t="s">
        <v>67</v>
      </c>
      <c r="G688" s="49" t="s">
        <v>354</v>
      </c>
      <c r="H688" s="49">
        <v>295.0</v>
      </c>
      <c r="I688" s="57" t="s">
        <v>354</v>
      </c>
      <c r="J688" s="46">
        <v>95.0</v>
      </c>
      <c r="K688" s="49">
        <v>1.0</v>
      </c>
      <c r="L688" s="157">
        <v>0.0</v>
      </c>
      <c r="M688" s="49" t="s">
        <v>354</v>
      </c>
      <c r="N688" s="101" t="s">
        <v>17</v>
      </c>
      <c r="O688" s="101" t="s">
        <v>17</v>
      </c>
      <c r="P688" s="24" t="s">
        <v>248</v>
      </c>
      <c r="Q688" s="46"/>
      <c r="R688" s="46"/>
      <c r="S688" s="46"/>
      <c r="T688" s="46"/>
      <c r="U688" s="46"/>
      <c r="V688" s="46"/>
      <c r="W688" s="46"/>
      <c r="X688" s="46"/>
      <c r="Y688" s="46"/>
      <c r="Z688" s="46"/>
      <c r="AA688" s="46"/>
      <c r="AB688" s="57" t="s">
        <v>354</v>
      </c>
      <c r="AC688" s="46">
        <v>36489.0</v>
      </c>
      <c r="AD688" s="46"/>
      <c r="AE688" s="46"/>
      <c r="AF688" s="63">
        <v>0.0</v>
      </c>
      <c r="AG688" s="49" t="s">
        <v>356</v>
      </c>
      <c r="AH688" s="46"/>
      <c r="AI688" s="49" t="s">
        <v>356</v>
      </c>
      <c r="AJ688" s="46"/>
      <c r="AK688" s="46"/>
      <c r="AL688" s="53" t="s">
        <v>361</v>
      </c>
      <c r="AM688" s="54" t="s">
        <v>356</v>
      </c>
      <c r="AN688" s="54" t="s">
        <v>356</v>
      </c>
    </row>
    <row r="689">
      <c r="A689" s="85" t="s">
        <v>869</v>
      </c>
      <c r="B689" s="98" t="s">
        <v>870</v>
      </c>
      <c r="C689" s="46" t="s">
        <v>246</v>
      </c>
      <c r="D689" s="47" t="s">
        <v>547</v>
      </c>
      <c r="E689" s="48" t="s">
        <v>7</v>
      </c>
      <c r="F689" s="46" t="s">
        <v>67</v>
      </c>
      <c r="G689" s="49">
        <v>123.0</v>
      </c>
      <c r="H689" s="49">
        <v>225.0</v>
      </c>
      <c r="I689" s="57" t="s">
        <v>354</v>
      </c>
      <c r="J689" s="46">
        <v>49.0</v>
      </c>
      <c r="K689" s="49">
        <v>0.0</v>
      </c>
      <c r="L689" s="157">
        <v>1.0</v>
      </c>
      <c r="M689" s="49" t="s">
        <v>354</v>
      </c>
      <c r="N689" s="101" t="s">
        <v>17</v>
      </c>
      <c r="O689" s="101" t="s">
        <v>17</v>
      </c>
      <c r="P689" s="24" t="s">
        <v>248</v>
      </c>
      <c r="Q689" s="24" t="s">
        <v>247</v>
      </c>
      <c r="R689" s="46"/>
      <c r="S689" s="46"/>
      <c r="T689" s="46"/>
      <c r="U689" s="46"/>
      <c r="V689" s="46"/>
      <c r="W689" s="46"/>
      <c r="X689" s="46"/>
      <c r="Y689" s="46"/>
      <c r="Z689" s="46"/>
      <c r="AA689" s="46"/>
      <c r="AB689" s="49" t="s">
        <v>354</v>
      </c>
      <c r="AC689" s="46">
        <v>36639.0</v>
      </c>
      <c r="AD689" s="46"/>
      <c r="AE689" s="46"/>
      <c r="AF689" s="63">
        <v>0.0</v>
      </c>
      <c r="AG689" s="54" t="s">
        <v>356</v>
      </c>
      <c r="AH689" s="46"/>
      <c r="AI689" s="54" t="s">
        <v>356</v>
      </c>
      <c r="AJ689" s="46"/>
      <c r="AK689" s="46"/>
      <c r="AL689" s="54" t="s">
        <v>356</v>
      </c>
      <c r="AM689" s="54" t="s">
        <v>356</v>
      </c>
      <c r="AN689" s="54" t="s">
        <v>356</v>
      </c>
    </row>
    <row r="690">
      <c r="A690" s="85" t="s">
        <v>869</v>
      </c>
      <c r="B690" s="98" t="s">
        <v>870</v>
      </c>
      <c r="C690" s="46" t="s">
        <v>246</v>
      </c>
      <c r="D690" s="47" t="s">
        <v>547</v>
      </c>
      <c r="E690" s="48" t="s">
        <v>7</v>
      </c>
      <c r="F690" s="46" t="s">
        <v>67</v>
      </c>
      <c r="G690" s="49" t="s">
        <v>354</v>
      </c>
      <c r="H690" s="49">
        <v>210.0</v>
      </c>
      <c r="I690" s="57" t="s">
        <v>354</v>
      </c>
      <c r="J690" s="46">
        <v>47.0</v>
      </c>
      <c r="K690" s="49">
        <v>0.0</v>
      </c>
      <c r="L690" s="157">
        <v>0.0</v>
      </c>
      <c r="M690" s="49" t="s">
        <v>354</v>
      </c>
      <c r="N690" s="101" t="s">
        <v>17</v>
      </c>
      <c r="O690" s="101" t="s">
        <v>17</v>
      </c>
      <c r="P690" s="24" t="s">
        <v>248</v>
      </c>
      <c r="Q690" s="24" t="s">
        <v>247</v>
      </c>
      <c r="R690" s="24" t="s">
        <v>247</v>
      </c>
      <c r="S690" s="46"/>
      <c r="T690" s="46"/>
      <c r="U690" s="46"/>
      <c r="V690" s="46"/>
      <c r="W690" s="46"/>
      <c r="X690" s="46"/>
      <c r="Y690" s="46"/>
      <c r="Z690" s="46"/>
      <c r="AA690" s="46"/>
      <c r="AB690" s="57" t="s">
        <v>354</v>
      </c>
      <c r="AC690" s="46"/>
      <c r="AD690" s="46"/>
      <c r="AE690" s="46"/>
      <c r="AF690" s="55">
        <v>21.19</v>
      </c>
      <c r="AG690" s="49" t="s">
        <v>356</v>
      </c>
      <c r="AH690" s="46"/>
      <c r="AI690" s="54" t="s">
        <v>356</v>
      </c>
      <c r="AJ690" s="46"/>
      <c r="AK690" s="46"/>
      <c r="AL690" s="54" t="s">
        <v>356</v>
      </c>
      <c r="AM690" s="54" t="s">
        <v>356</v>
      </c>
      <c r="AN690" s="54" t="s">
        <v>356</v>
      </c>
    </row>
    <row r="691">
      <c r="A691" s="85" t="s">
        <v>869</v>
      </c>
      <c r="B691" s="98" t="s">
        <v>870</v>
      </c>
      <c r="C691" s="46" t="s">
        <v>246</v>
      </c>
      <c r="D691" s="47" t="s">
        <v>547</v>
      </c>
      <c r="E691" s="48" t="s">
        <v>7</v>
      </c>
      <c r="F691" s="46" t="s">
        <v>67</v>
      </c>
      <c r="G691" s="49" t="s">
        <v>354</v>
      </c>
      <c r="H691" s="49">
        <v>230.0</v>
      </c>
      <c r="I691" s="57" t="s">
        <v>354</v>
      </c>
      <c r="J691" s="46">
        <v>45.0</v>
      </c>
      <c r="K691" s="49">
        <v>0.0</v>
      </c>
      <c r="L691" s="157">
        <v>0.0</v>
      </c>
      <c r="M691" s="49" t="s">
        <v>354</v>
      </c>
      <c r="N691" s="101" t="s">
        <v>17</v>
      </c>
      <c r="O691" s="101" t="s">
        <v>17</v>
      </c>
      <c r="P691" s="24" t="s">
        <v>248</v>
      </c>
      <c r="Q691" s="24" t="s">
        <v>247</v>
      </c>
      <c r="R691" s="24" t="s">
        <v>247</v>
      </c>
      <c r="S691" s="24" t="s">
        <v>247</v>
      </c>
      <c r="T691" s="44" t="s">
        <v>373</v>
      </c>
      <c r="U691" s="61" t="s">
        <v>373</v>
      </c>
      <c r="V691" s="49"/>
      <c r="W691" s="49"/>
      <c r="X691" s="49"/>
      <c r="Y691" s="49"/>
      <c r="Z691" s="49"/>
      <c r="AA691" s="46"/>
      <c r="AB691" s="57" t="s">
        <v>354</v>
      </c>
      <c r="AC691" s="46"/>
      <c r="AD691" s="46"/>
      <c r="AE691" s="46"/>
      <c r="AF691" s="56">
        <v>30.07</v>
      </c>
      <c r="AG691" s="49" t="s">
        <v>354</v>
      </c>
      <c r="AH691" s="46"/>
      <c r="AI691" s="49" t="s">
        <v>354</v>
      </c>
      <c r="AJ691" s="46"/>
      <c r="AK691" s="46"/>
      <c r="AL691" s="54" t="s">
        <v>356</v>
      </c>
      <c r="AM691" s="54" t="s">
        <v>356</v>
      </c>
      <c r="AN691" s="54" t="s">
        <v>356</v>
      </c>
    </row>
    <row r="692">
      <c r="A692" s="85" t="s">
        <v>869</v>
      </c>
      <c r="B692" s="98" t="s">
        <v>870</v>
      </c>
      <c r="C692" s="210" t="s">
        <v>246</v>
      </c>
      <c r="D692" s="211" t="s">
        <v>547</v>
      </c>
      <c r="E692" s="212" t="s">
        <v>7</v>
      </c>
      <c r="F692" s="210" t="s">
        <v>67</v>
      </c>
      <c r="G692" s="224" t="s">
        <v>354</v>
      </c>
      <c r="H692" s="224">
        <v>280.0</v>
      </c>
      <c r="I692" s="213" t="s">
        <v>354</v>
      </c>
      <c r="J692" s="210">
        <v>45.0</v>
      </c>
      <c r="K692" s="214">
        <v>1.0</v>
      </c>
      <c r="L692" s="214">
        <v>0.0</v>
      </c>
      <c r="M692" s="214" t="s">
        <v>354</v>
      </c>
      <c r="N692" s="215" t="s">
        <v>17</v>
      </c>
      <c r="O692" s="215" t="s">
        <v>17</v>
      </c>
      <c r="P692" s="216" t="s">
        <v>248</v>
      </c>
      <c r="Q692" s="216" t="s">
        <v>247</v>
      </c>
      <c r="R692" s="216" t="s">
        <v>247</v>
      </c>
      <c r="S692" s="216" t="s">
        <v>247</v>
      </c>
      <c r="T692" s="225" t="s">
        <v>373</v>
      </c>
      <c r="U692" s="226" t="s">
        <v>373</v>
      </c>
      <c r="V692" s="217" t="s">
        <v>247</v>
      </c>
      <c r="W692" s="214"/>
      <c r="X692" s="49"/>
      <c r="Y692" s="49"/>
      <c r="Z692" s="49"/>
      <c r="AA692" s="46"/>
      <c r="AB692" s="57" t="s">
        <v>354</v>
      </c>
      <c r="AC692" s="46"/>
      <c r="AD692" s="46"/>
      <c r="AE692" s="46"/>
      <c r="AF692" s="63">
        <v>0.0</v>
      </c>
      <c r="AG692" s="49" t="s">
        <v>354</v>
      </c>
      <c r="AH692" s="46"/>
      <c r="AI692" s="49" t="s">
        <v>354</v>
      </c>
      <c r="AJ692" s="46"/>
      <c r="AK692" s="46"/>
      <c r="AL692" s="54" t="s">
        <v>356</v>
      </c>
      <c r="AM692" s="54" t="s">
        <v>356</v>
      </c>
      <c r="AN692" s="54" t="s">
        <v>356</v>
      </c>
    </row>
    <row r="693">
      <c r="A693" s="85" t="s">
        <v>869</v>
      </c>
      <c r="B693" s="98" t="s">
        <v>870</v>
      </c>
      <c r="C693" s="210" t="s">
        <v>246</v>
      </c>
      <c r="D693" s="211" t="s">
        <v>547</v>
      </c>
      <c r="E693" s="212" t="s">
        <v>7</v>
      </c>
      <c r="F693" s="210" t="s">
        <v>67</v>
      </c>
      <c r="G693" s="224">
        <v>124.0</v>
      </c>
      <c r="H693" s="224">
        <v>195.0</v>
      </c>
      <c r="I693" s="213" t="s">
        <v>354</v>
      </c>
      <c r="J693" s="210">
        <v>45.0</v>
      </c>
      <c r="K693" s="214">
        <v>0.0</v>
      </c>
      <c r="L693" s="214">
        <v>0.0</v>
      </c>
      <c r="M693" s="214" t="s">
        <v>354</v>
      </c>
      <c r="N693" s="215" t="s">
        <v>17</v>
      </c>
      <c r="O693" s="215" t="s">
        <v>17</v>
      </c>
      <c r="P693" s="216" t="s">
        <v>248</v>
      </c>
      <c r="Q693" s="216" t="s">
        <v>247</v>
      </c>
      <c r="R693" s="216" t="s">
        <v>247</v>
      </c>
      <c r="S693" s="216" t="s">
        <v>247</v>
      </c>
      <c r="T693" s="225" t="s">
        <v>373</v>
      </c>
      <c r="U693" s="226" t="s">
        <v>373</v>
      </c>
      <c r="V693" s="217" t="s">
        <v>247</v>
      </c>
      <c r="W693" s="191" t="s">
        <v>871</v>
      </c>
      <c r="X693" s="49"/>
      <c r="Y693" s="49"/>
      <c r="Z693" s="49"/>
      <c r="AA693" s="46"/>
      <c r="AB693" s="184" t="s">
        <v>371</v>
      </c>
      <c r="AC693" s="46"/>
      <c r="AD693" s="46"/>
      <c r="AE693" s="46"/>
      <c r="AF693" s="63">
        <v>0.0</v>
      </c>
      <c r="AG693" s="49" t="s">
        <v>354</v>
      </c>
      <c r="AH693" s="46"/>
      <c r="AI693" s="49" t="s">
        <v>354</v>
      </c>
      <c r="AJ693" s="46"/>
      <c r="AK693" s="46"/>
      <c r="AL693" s="54" t="s">
        <v>356</v>
      </c>
      <c r="AM693" s="54" t="s">
        <v>356</v>
      </c>
      <c r="AN693" s="54" t="s">
        <v>356</v>
      </c>
    </row>
    <row r="694">
      <c r="A694" s="85" t="s">
        <v>869</v>
      </c>
      <c r="B694" s="98" t="s">
        <v>870</v>
      </c>
      <c r="C694" s="210" t="s">
        <v>246</v>
      </c>
      <c r="D694" s="211" t="s">
        <v>547</v>
      </c>
      <c r="E694" s="212" t="s">
        <v>7</v>
      </c>
      <c r="F694" s="210" t="s">
        <v>67</v>
      </c>
      <c r="G694" s="213" t="s">
        <v>354</v>
      </c>
      <c r="H694" s="213" t="s">
        <v>354</v>
      </c>
      <c r="I694" s="213" t="s">
        <v>354</v>
      </c>
      <c r="J694" s="210">
        <v>45.0</v>
      </c>
      <c r="K694" s="214">
        <v>1.0</v>
      </c>
      <c r="L694" s="227">
        <v>0.0</v>
      </c>
      <c r="M694" s="227" t="s">
        <v>354</v>
      </c>
      <c r="N694" s="215" t="s">
        <v>17</v>
      </c>
      <c r="O694" s="215" t="s">
        <v>17</v>
      </c>
      <c r="P694" s="216" t="s">
        <v>248</v>
      </c>
      <c r="Q694" s="216" t="s">
        <v>247</v>
      </c>
      <c r="R694" s="216" t="s">
        <v>247</v>
      </c>
      <c r="S694" s="216" t="s">
        <v>247</v>
      </c>
      <c r="T694" s="225" t="s">
        <v>373</v>
      </c>
      <c r="U694" s="226" t="s">
        <v>373</v>
      </c>
      <c r="V694" s="217" t="s">
        <v>247</v>
      </c>
      <c r="W694" s="191" t="s">
        <v>871</v>
      </c>
      <c r="X694" s="18">
        <v>9846.0</v>
      </c>
      <c r="Y694" s="49"/>
      <c r="Z694" s="49"/>
      <c r="AA694" s="46"/>
      <c r="AB694" s="184" t="s">
        <v>371</v>
      </c>
      <c r="AC694" s="46"/>
      <c r="AD694" s="46"/>
      <c r="AE694" s="46"/>
      <c r="AF694" s="63">
        <v>0.0</v>
      </c>
      <c r="AG694" s="49" t="s">
        <v>354</v>
      </c>
      <c r="AH694" s="46"/>
      <c r="AI694" s="49" t="s">
        <v>354</v>
      </c>
      <c r="AJ694" s="46"/>
      <c r="AK694" s="46"/>
      <c r="AL694" s="54" t="s">
        <v>356</v>
      </c>
      <c r="AM694" s="54" t="s">
        <v>356</v>
      </c>
      <c r="AN694" s="54" t="s">
        <v>356</v>
      </c>
    </row>
    <row r="695">
      <c r="A695" s="85" t="s">
        <v>869</v>
      </c>
      <c r="B695" s="98" t="s">
        <v>870</v>
      </c>
      <c r="C695" s="210" t="s">
        <v>246</v>
      </c>
      <c r="D695" s="211" t="s">
        <v>547</v>
      </c>
      <c r="E695" s="212" t="s">
        <v>7</v>
      </c>
      <c r="F695" s="210" t="s">
        <v>67</v>
      </c>
      <c r="G695" s="213" t="s">
        <v>354</v>
      </c>
      <c r="H695" s="213" t="s">
        <v>354</v>
      </c>
      <c r="I695" s="213" t="s">
        <v>354</v>
      </c>
      <c r="J695" s="210">
        <v>45.0</v>
      </c>
      <c r="K695" s="214">
        <v>1.0</v>
      </c>
      <c r="L695" s="227">
        <v>0.0</v>
      </c>
      <c r="M695" s="227" t="s">
        <v>354</v>
      </c>
      <c r="N695" s="215" t="s">
        <v>17</v>
      </c>
      <c r="O695" s="215" t="s">
        <v>17</v>
      </c>
      <c r="P695" s="216" t="s">
        <v>248</v>
      </c>
      <c r="Q695" s="216" t="s">
        <v>247</v>
      </c>
      <c r="R695" s="216" t="s">
        <v>247</v>
      </c>
      <c r="S695" s="216" t="s">
        <v>247</v>
      </c>
      <c r="T695" s="225" t="s">
        <v>373</v>
      </c>
      <c r="U695" s="226" t="s">
        <v>373</v>
      </c>
      <c r="V695" s="217" t="s">
        <v>247</v>
      </c>
      <c r="W695" s="191" t="s">
        <v>871</v>
      </c>
      <c r="X695" s="18">
        <v>9846.0</v>
      </c>
      <c r="Y695" s="18" t="s">
        <v>872</v>
      </c>
      <c r="Z695" s="49"/>
      <c r="AA695" s="46"/>
      <c r="AB695" s="184" t="s">
        <v>371</v>
      </c>
      <c r="AC695" s="46"/>
      <c r="AD695" s="46"/>
      <c r="AE695" s="46"/>
      <c r="AF695" s="63">
        <v>0.0</v>
      </c>
      <c r="AG695" s="49" t="s">
        <v>354</v>
      </c>
      <c r="AH695" s="46"/>
      <c r="AI695" s="49" t="s">
        <v>354</v>
      </c>
      <c r="AJ695" s="46"/>
      <c r="AK695" s="46"/>
      <c r="AL695" s="54" t="s">
        <v>356</v>
      </c>
      <c r="AM695" s="54" t="s">
        <v>356</v>
      </c>
      <c r="AN695" s="54" t="s">
        <v>356</v>
      </c>
    </row>
    <row r="696">
      <c r="A696" s="85" t="s">
        <v>869</v>
      </c>
      <c r="B696" s="98" t="s">
        <v>870</v>
      </c>
      <c r="C696" s="210" t="s">
        <v>246</v>
      </c>
      <c r="D696" s="211" t="s">
        <v>547</v>
      </c>
      <c r="E696" s="212" t="s">
        <v>7</v>
      </c>
      <c r="F696" s="210" t="s">
        <v>67</v>
      </c>
      <c r="G696" s="213" t="s">
        <v>354</v>
      </c>
      <c r="H696" s="213" t="s">
        <v>354</v>
      </c>
      <c r="I696" s="213" t="s">
        <v>354</v>
      </c>
      <c r="J696" s="210">
        <v>45.0</v>
      </c>
      <c r="K696" s="214">
        <v>1.0</v>
      </c>
      <c r="L696" s="227">
        <v>0.0</v>
      </c>
      <c r="M696" s="227" t="s">
        <v>354</v>
      </c>
      <c r="N696" s="215" t="s">
        <v>17</v>
      </c>
      <c r="O696" s="215" t="s">
        <v>17</v>
      </c>
      <c r="P696" s="216" t="s">
        <v>248</v>
      </c>
      <c r="Q696" s="216" t="s">
        <v>247</v>
      </c>
      <c r="R696" s="216" t="s">
        <v>247</v>
      </c>
      <c r="S696" s="216" t="s">
        <v>247</v>
      </c>
      <c r="T696" s="225" t="s">
        <v>373</v>
      </c>
      <c r="U696" s="226" t="s">
        <v>373</v>
      </c>
      <c r="V696" s="217" t="s">
        <v>247</v>
      </c>
      <c r="W696" s="191" t="s">
        <v>871</v>
      </c>
      <c r="X696" s="18">
        <v>9846.0</v>
      </c>
      <c r="Y696" s="18" t="s">
        <v>872</v>
      </c>
      <c r="Z696" s="18" t="s">
        <v>872</v>
      </c>
      <c r="AA696" s="46"/>
      <c r="AB696" s="184" t="s">
        <v>371</v>
      </c>
      <c r="AC696" s="46"/>
      <c r="AD696" s="46"/>
      <c r="AE696" s="46"/>
      <c r="AF696" s="63">
        <v>0.0</v>
      </c>
      <c r="AG696" s="49" t="s">
        <v>354</v>
      </c>
      <c r="AH696" s="46"/>
      <c r="AI696" s="49" t="s">
        <v>354</v>
      </c>
      <c r="AJ696" s="46"/>
      <c r="AK696" s="46"/>
      <c r="AL696" s="54" t="s">
        <v>356</v>
      </c>
      <c r="AM696" s="54" t="s">
        <v>356</v>
      </c>
      <c r="AN696" s="54" t="s">
        <v>356</v>
      </c>
    </row>
    <row r="697">
      <c r="A697" s="85" t="s">
        <v>869</v>
      </c>
      <c r="B697" s="98" t="s">
        <v>870</v>
      </c>
      <c r="C697" s="210" t="s">
        <v>246</v>
      </c>
      <c r="D697" s="211" t="s">
        <v>547</v>
      </c>
      <c r="E697" s="212" t="s">
        <v>7</v>
      </c>
      <c r="F697" s="210" t="s">
        <v>67</v>
      </c>
      <c r="G697" s="213" t="s">
        <v>354</v>
      </c>
      <c r="H697" s="213" t="s">
        <v>354</v>
      </c>
      <c r="I697" s="213" t="s">
        <v>354</v>
      </c>
      <c r="J697" s="210">
        <v>45.0</v>
      </c>
      <c r="K697" s="214">
        <v>1.0</v>
      </c>
      <c r="L697" s="227">
        <v>0.0</v>
      </c>
      <c r="M697" s="227" t="s">
        <v>354</v>
      </c>
      <c r="N697" s="215" t="s">
        <v>17</v>
      </c>
      <c r="O697" s="215" t="s">
        <v>17</v>
      </c>
      <c r="P697" s="216" t="s">
        <v>248</v>
      </c>
      <c r="Q697" s="216" t="s">
        <v>247</v>
      </c>
      <c r="R697" s="216" t="s">
        <v>247</v>
      </c>
      <c r="S697" s="216" t="s">
        <v>247</v>
      </c>
      <c r="T697" s="225" t="s">
        <v>373</v>
      </c>
      <c r="U697" s="226" t="s">
        <v>373</v>
      </c>
      <c r="V697" s="217" t="s">
        <v>247</v>
      </c>
      <c r="W697" s="191" t="s">
        <v>871</v>
      </c>
      <c r="X697" s="18">
        <v>9846.0</v>
      </c>
      <c r="Y697" s="18" t="s">
        <v>872</v>
      </c>
      <c r="Z697" s="18" t="s">
        <v>872</v>
      </c>
      <c r="AA697" s="18" t="s">
        <v>872</v>
      </c>
      <c r="AB697" s="184" t="s">
        <v>873</v>
      </c>
      <c r="AC697" s="46"/>
      <c r="AD697" s="46"/>
      <c r="AE697" s="46"/>
      <c r="AF697" s="63">
        <v>0.0</v>
      </c>
      <c r="AG697" s="49" t="s">
        <v>354</v>
      </c>
      <c r="AH697" s="46"/>
      <c r="AI697" s="49" t="s">
        <v>354</v>
      </c>
      <c r="AJ697" s="46"/>
      <c r="AK697" s="46"/>
      <c r="AL697" s="54" t="s">
        <v>356</v>
      </c>
      <c r="AM697" s="54" t="s">
        <v>356</v>
      </c>
      <c r="AN697" s="54" t="s">
        <v>356</v>
      </c>
    </row>
    <row r="698">
      <c r="A698" s="17" t="s">
        <v>250</v>
      </c>
      <c r="B698" s="18" t="s">
        <v>874</v>
      </c>
      <c r="C698" s="19" t="s">
        <v>249</v>
      </c>
      <c r="D698" s="20" t="s">
        <v>547</v>
      </c>
      <c r="E698" s="21" t="s">
        <v>7</v>
      </c>
      <c r="F698" s="19" t="s">
        <v>67</v>
      </c>
      <c r="G698" s="23" t="s">
        <v>354</v>
      </c>
      <c r="H698" s="23">
        <v>265.0</v>
      </c>
      <c r="I698" s="23" t="s">
        <v>354</v>
      </c>
      <c r="J698" s="19">
        <v>97.0</v>
      </c>
      <c r="K698" s="23">
        <v>0.0</v>
      </c>
      <c r="L698" s="23">
        <v>0.0</v>
      </c>
      <c r="M698" s="23" t="s">
        <v>354</v>
      </c>
      <c r="N698" s="101" t="s">
        <v>17</v>
      </c>
      <c r="O698" s="101" t="s">
        <v>17</v>
      </c>
      <c r="P698" s="24" t="s">
        <v>251</v>
      </c>
      <c r="Q698" s="44" t="s">
        <v>373</v>
      </c>
      <c r="R698" s="19"/>
      <c r="S698" s="19"/>
      <c r="T698" s="19"/>
      <c r="U698" s="19"/>
      <c r="V698" s="19"/>
      <c r="W698" s="19"/>
      <c r="X698" s="19"/>
      <c r="Y698" s="19"/>
      <c r="Z698" s="19"/>
      <c r="AA698" s="19"/>
      <c r="AB698" s="23" t="s">
        <v>875</v>
      </c>
      <c r="AC698" s="19">
        <v>36491.0</v>
      </c>
      <c r="AD698" s="19"/>
      <c r="AE698" s="19"/>
      <c r="AF698" s="23">
        <v>0.0</v>
      </c>
      <c r="AG698" s="36" t="s">
        <v>365</v>
      </c>
      <c r="AH698" s="19"/>
      <c r="AI698" s="36" t="s">
        <v>365</v>
      </c>
      <c r="AJ698" s="19"/>
      <c r="AK698" s="19"/>
      <c r="AL698" s="73" t="s">
        <v>357</v>
      </c>
      <c r="AM698" s="161" t="s">
        <v>389</v>
      </c>
      <c r="AN698" s="88" t="s">
        <v>358</v>
      </c>
    </row>
    <row r="699">
      <c r="A699" s="17" t="s">
        <v>250</v>
      </c>
      <c r="B699" s="18" t="s">
        <v>874</v>
      </c>
      <c r="C699" s="19" t="s">
        <v>249</v>
      </c>
      <c r="D699" s="20" t="s">
        <v>547</v>
      </c>
      <c r="E699" s="21" t="s">
        <v>7</v>
      </c>
      <c r="F699" s="19" t="s">
        <v>67</v>
      </c>
      <c r="G699" s="23" t="s">
        <v>354</v>
      </c>
      <c r="H699" s="23">
        <v>255.0</v>
      </c>
      <c r="I699" s="23" t="s">
        <v>354</v>
      </c>
      <c r="J699" s="19">
        <v>48.0</v>
      </c>
      <c r="K699" s="23">
        <v>0.0</v>
      </c>
      <c r="L699" s="23">
        <v>0.0</v>
      </c>
      <c r="M699" s="23" t="s">
        <v>354</v>
      </c>
      <c r="N699" s="101" t="s">
        <v>17</v>
      </c>
      <c r="O699" s="101" t="s">
        <v>17</v>
      </c>
      <c r="P699" s="24" t="s">
        <v>251</v>
      </c>
      <c r="Q699" s="44" t="s">
        <v>373</v>
      </c>
      <c r="R699" s="24" t="s">
        <v>250</v>
      </c>
      <c r="S699" s="19"/>
      <c r="T699" s="19"/>
      <c r="U699" s="19"/>
      <c r="V699" s="19"/>
      <c r="W699" s="19"/>
      <c r="X699" s="19"/>
      <c r="Y699" s="19"/>
      <c r="Z699" s="19"/>
      <c r="AA699" s="19"/>
      <c r="AB699" s="23" t="s">
        <v>876</v>
      </c>
      <c r="AC699" s="19"/>
      <c r="AD699" s="19"/>
      <c r="AE699" s="19"/>
      <c r="AF699" s="23">
        <v>0.0</v>
      </c>
      <c r="AG699" s="23" t="s">
        <v>356</v>
      </c>
      <c r="AH699" s="19"/>
      <c r="AI699" s="23" t="s">
        <v>356</v>
      </c>
      <c r="AJ699" s="19"/>
      <c r="AK699" s="19"/>
      <c r="AL699" s="23" t="s">
        <v>356</v>
      </c>
      <c r="AM699" s="23" t="s">
        <v>356</v>
      </c>
      <c r="AN699" s="23" t="s">
        <v>356</v>
      </c>
    </row>
    <row r="700">
      <c r="A700" s="17" t="s">
        <v>250</v>
      </c>
      <c r="B700" s="18" t="s">
        <v>874</v>
      </c>
      <c r="C700" s="19" t="s">
        <v>249</v>
      </c>
      <c r="D700" s="20" t="s">
        <v>547</v>
      </c>
      <c r="E700" s="21" t="s">
        <v>7</v>
      </c>
      <c r="F700" s="19" t="s">
        <v>67</v>
      </c>
      <c r="G700" s="23">
        <v>123.0</v>
      </c>
      <c r="H700" s="23">
        <v>275.0</v>
      </c>
      <c r="I700" s="23" t="s">
        <v>354</v>
      </c>
      <c r="J700" s="19">
        <v>46.0</v>
      </c>
      <c r="K700" s="23">
        <v>0.0</v>
      </c>
      <c r="L700" s="23">
        <v>0.0</v>
      </c>
      <c r="M700" s="23" t="s">
        <v>354</v>
      </c>
      <c r="N700" s="101" t="s">
        <v>17</v>
      </c>
      <c r="O700" s="101" t="s">
        <v>17</v>
      </c>
      <c r="P700" s="24" t="s">
        <v>251</v>
      </c>
      <c r="Q700" s="44" t="s">
        <v>373</v>
      </c>
      <c r="R700" s="24" t="s">
        <v>250</v>
      </c>
      <c r="S700" s="24" t="s">
        <v>250</v>
      </c>
      <c r="T700" s="19"/>
      <c r="U700" s="19"/>
      <c r="V700" s="19"/>
      <c r="W700" s="19"/>
      <c r="X700" s="19"/>
      <c r="Y700" s="19"/>
      <c r="Z700" s="19"/>
      <c r="AA700" s="19"/>
      <c r="AB700" s="23" t="s">
        <v>876</v>
      </c>
      <c r="AC700" s="19"/>
      <c r="AD700" s="19"/>
      <c r="AE700" s="19"/>
      <c r="AF700" s="23">
        <v>0.0</v>
      </c>
      <c r="AG700" s="23" t="s">
        <v>354</v>
      </c>
      <c r="AH700" s="19"/>
      <c r="AI700" s="23" t="s">
        <v>354</v>
      </c>
      <c r="AJ700" s="19"/>
      <c r="AK700" s="19"/>
      <c r="AL700" s="23" t="s">
        <v>356</v>
      </c>
      <c r="AM700" s="23" t="s">
        <v>356</v>
      </c>
      <c r="AN700" s="23" t="s">
        <v>356</v>
      </c>
    </row>
    <row r="701">
      <c r="A701" s="17" t="s">
        <v>250</v>
      </c>
      <c r="B701" s="18" t="s">
        <v>874</v>
      </c>
      <c r="C701" s="19" t="s">
        <v>249</v>
      </c>
      <c r="D701" s="20" t="s">
        <v>547</v>
      </c>
      <c r="E701" s="21" t="s">
        <v>7</v>
      </c>
      <c r="F701" s="19" t="s">
        <v>67</v>
      </c>
      <c r="G701" s="23" t="s">
        <v>354</v>
      </c>
      <c r="H701" s="23">
        <v>255.0</v>
      </c>
      <c r="I701" s="23" t="s">
        <v>354</v>
      </c>
      <c r="J701" s="19">
        <v>50.0</v>
      </c>
      <c r="K701" s="23">
        <v>0.0</v>
      </c>
      <c r="L701" s="23">
        <v>0.0</v>
      </c>
      <c r="M701" s="23" t="s">
        <v>354</v>
      </c>
      <c r="N701" s="101" t="s">
        <v>17</v>
      </c>
      <c r="O701" s="101" t="s">
        <v>17</v>
      </c>
      <c r="P701" s="24" t="s">
        <v>251</v>
      </c>
      <c r="Q701" s="44" t="s">
        <v>373</v>
      </c>
      <c r="R701" s="24" t="s">
        <v>250</v>
      </c>
      <c r="S701" s="24" t="s">
        <v>250</v>
      </c>
      <c r="T701" s="24" t="s">
        <v>250</v>
      </c>
      <c r="U701" s="19"/>
      <c r="V701" s="19"/>
      <c r="W701" s="19"/>
      <c r="X701" s="19"/>
      <c r="Y701" s="19"/>
      <c r="Z701" s="19"/>
      <c r="AA701" s="19"/>
      <c r="AB701" s="23" t="s">
        <v>876</v>
      </c>
      <c r="AC701" s="19"/>
      <c r="AD701" s="19"/>
      <c r="AE701" s="19"/>
      <c r="AF701" s="23">
        <v>0.0</v>
      </c>
      <c r="AG701" s="23" t="s">
        <v>354</v>
      </c>
      <c r="AH701" s="19"/>
      <c r="AI701" s="23" t="s">
        <v>354</v>
      </c>
      <c r="AJ701" s="19"/>
      <c r="AK701" s="19"/>
      <c r="AL701" s="23" t="s">
        <v>356</v>
      </c>
      <c r="AM701" s="23" t="s">
        <v>356</v>
      </c>
      <c r="AN701" s="23" t="s">
        <v>356</v>
      </c>
    </row>
    <row r="702">
      <c r="A702" s="17" t="s">
        <v>250</v>
      </c>
      <c r="B702" s="18" t="s">
        <v>874</v>
      </c>
      <c r="C702" s="19" t="s">
        <v>249</v>
      </c>
      <c r="D702" s="20" t="s">
        <v>547</v>
      </c>
      <c r="E702" s="21" t="s">
        <v>7</v>
      </c>
      <c r="F702" s="19" t="s">
        <v>67</v>
      </c>
      <c r="G702" s="23" t="s">
        <v>354</v>
      </c>
      <c r="H702" s="23">
        <v>245.0</v>
      </c>
      <c r="I702" s="23" t="s">
        <v>354</v>
      </c>
      <c r="J702" s="19">
        <v>47.0</v>
      </c>
      <c r="K702" s="23">
        <v>0.0</v>
      </c>
      <c r="L702" s="23">
        <v>0.0</v>
      </c>
      <c r="M702" s="23" t="s">
        <v>354</v>
      </c>
      <c r="N702" s="101" t="s">
        <v>17</v>
      </c>
      <c r="O702" s="101" t="s">
        <v>17</v>
      </c>
      <c r="P702" s="24" t="s">
        <v>251</v>
      </c>
      <c r="Q702" s="44" t="s">
        <v>373</v>
      </c>
      <c r="R702" s="24" t="s">
        <v>250</v>
      </c>
      <c r="S702" s="24" t="s">
        <v>250</v>
      </c>
      <c r="T702" s="24" t="s">
        <v>250</v>
      </c>
      <c r="U702" s="24" t="s">
        <v>250</v>
      </c>
      <c r="V702" s="19"/>
      <c r="W702" s="19"/>
      <c r="X702" s="19"/>
      <c r="Y702" s="19"/>
      <c r="Z702" s="19"/>
      <c r="AA702" s="19"/>
      <c r="AB702" s="22" t="s">
        <v>354</v>
      </c>
      <c r="AC702" s="19"/>
      <c r="AD702" s="19"/>
      <c r="AE702" s="19"/>
      <c r="AF702" s="23">
        <v>0.0</v>
      </c>
      <c r="AG702" s="23" t="s">
        <v>354</v>
      </c>
      <c r="AH702" s="19"/>
      <c r="AI702" s="23" t="s">
        <v>354</v>
      </c>
      <c r="AJ702" s="19"/>
      <c r="AK702" s="19"/>
      <c r="AL702" s="59" t="s">
        <v>357</v>
      </c>
      <c r="AM702" s="23" t="s">
        <v>356</v>
      </c>
      <c r="AN702" s="59" t="s">
        <v>357</v>
      </c>
    </row>
    <row r="703">
      <c r="A703" s="17" t="s">
        <v>250</v>
      </c>
      <c r="B703" s="18" t="s">
        <v>874</v>
      </c>
      <c r="C703" s="19" t="s">
        <v>249</v>
      </c>
      <c r="D703" s="20" t="s">
        <v>547</v>
      </c>
      <c r="E703" s="21" t="s">
        <v>7</v>
      </c>
      <c r="F703" s="19" t="s">
        <v>67</v>
      </c>
      <c r="G703" s="23" t="s">
        <v>354</v>
      </c>
      <c r="H703" s="23">
        <v>290.0</v>
      </c>
      <c r="I703" s="23" t="s">
        <v>354</v>
      </c>
      <c r="J703" s="19">
        <v>47.0</v>
      </c>
      <c r="K703" s="23">
        <v>0.0</v>
      </c>
      <c r="L703" s="23">
        <v>0.0</v>
      </c>
      <c r="M703" s="23" t="s">
        <v>354</v>
      </c>
      <c r="N703" s="101" t="s">
        <v>17</v>
      </c>
      <c r="O703" s="101" t="s">
        <v>17</v>
      </c>
      <c r="P703" s="24" t="s">
        <v>251</v>
      </c>
      <c r="Q703" s="44" t="s">
        <v>373</v>
      </c>
      <c r="R703" s="24" t="s">
        <v>250</v>
      </c>
      <c r="S703" s="24" t="s">
        <v>250</v>
      </c>
      <c r="T703" s="24" t="s">
        <v>250</v>
      </c>
      <c r="U703" s="24" t="s">
        <v>250</v>
      </c>
      <c r="V703" s="24" t="s">
        <v>250</v>
      </c>
      <c r="W703" s="19"/>
      <c r="X703" s="19"/>
      <c r="Y703" s="19"/>
      <c r="Z703" s="19"/>
      <c r="AA703" s="19"/>
      <c r="AB703" s="22" t="s">
        <v>354</v>
      </c>
      <c r="AC703" s="19"/>
      <c r="AD703" s="19"/>
      <c r="AE703" s="19"/>
      <c r="AF703" s="23">
        <v>0.0</v>
      </c>
      <c r="AG703" s="23" t="s">
        <v>354</v>
      </c>
      <c r="AH703" s="19"/>
      <c r="AI703" s="23" t="s">
        <v>354</v>
      </c>
      <c r="AJ703" s="19"/>
      <c r="AK703" s="19"/>
      <c r="AL703" s="23" t="s">
        <v>356</v>
      </c>
      <c r="AM703" s="23" t="s">
        <v>356</v>
      </c>
      <c r="AN703" s="23" t="s">
        <v>356</v>
      </c>
    </row>
    <row r="704">
      <c r="A704" s="17" t="s">
        <v>250</v>
      </c>
      <c r="B704" s="18" t="s">
        <v>874</v>
      </c>
      <c r="C704" s="19" t="s">
        <v>249</v>
      </c>
      <c r="D704" s="20" t="s">
        <v>547</v>
      </c>
      <c r="E704" s="21" t="s">
        <v>7</v>
      </c>
      <c r="F704" s="19" t="s">
        <v>67</v>
      </c>
      <c r="G704" s="23" t="s">
        <v>354</v>
      </c>
      <c r="H704" s="23">
        <v>230.0</v>
      </c>
      <c r="I704" s="23" t="s">
        <v>354</v>
      </c>
      <c r="J704" s="19">
        <v>47.0</v>
      </c>
      <c r="K704" s="23">
        <v>0.0</v>
      </c>
      <c r="L704" s="23">
        <v>0.0</v>
      </c>
      <c r="M704" s="23" t="s">
        <v>354</v>
      </c>
      <c r="N704" s="101" t="s">
        <v>17</v>
      </c>
      <c r="O704" s="101" t="s">
        <v>17</v>
      </c>
      <c r="P704" s="24" t="s">
        <v>251</v>
      </c>
      <c r="Q704" s="44" t="s">
        <v>373</v>
      </c>
      <c r="R704" s="24" t="s">
        <v>250</v>
      </c>
      <c r="S704" s="24" t="s">
        <v>250</v>
      </c>
      <c r="T704" s="24" t="s">
        <v>250</v>
      </c>
      <c r="U704" s="24" t="s">
        <v>250</v>
      </c>
      <c r="V704" s="24" t="s">
        <v>250</v>
      </c>
      <c r="W704" s="18" t="s">
        <v>877</v>
      </c>
      <c r="X704" s="19"/>
      <c r="Y704" s="19"/>
      <c r="Z704" s="19"/>
      <c r="AA704" s="19"/>
      <c r="AB704" s="158" t="s">
        <v>455</v>
      </c>
      <c r="AC704" s="19"/>
      <c r="AD704" s="19"/>
      <c r="AE704" s="19"/>
      <c r="AF704" s="145">
        <v>26.5687961040689</v>
      </c>
      <c r="AG704" s="23" t="s">
        <v>354</v>
      </c>
      <c r="AH704" s="19"/>
      <c r="AI704" s="23" t="s">
        <v>354</v>
      </c>
      <c r="AJ704" s="19"/>
      <c r="AK704" s="19"/>
      <c r="AL704" s="103" t="s">
        <v>389</v>
      </c>
      <c r="AM704" s="23" t="s">
        <v>356</v>
      </c>
      <c r="AN704" s="103" t="s">
        <v>389</v>
      </c>
    </row>
    <row r="705">
      <c r="A705" s="17" t="s">
        <v>250</v>
      </c>
      <c r="B705" s="18" t="s">
        <v>874</v>
      </c>
      <c r="C705" s="19" t="s">
        <v>249</v>
      </c>
      <c r="D705" s="20" t="s">
        <v>547</v>
      </c>
      <c r="E705" s="21" t="s">
        <v>7</v>
      </c>
      <c r="F705" s="19" t="s">
        <v>67</v>
      </c>
      <c r="G705" s="23" t="s">
        <v>354</v>
      </c>
      <c r="H705" s="23" t="s">
        <v>354</v>
      </c>
      <c r="I705" s="23" t="s">
        <v>354</v>
      </c>
      <c r="J705" s="19">
        <v>47.0</v>
      </c>
      <c r="K705" s="23">
        <v>0.0</v>
      </c>
      <c r="L705" s="78">
        <v>1.0</v>
      </c>
      <c r="M705" s="78" t="s">
        <v>878</v>
      </c>
      <c r="N705" s="101" t="s">
        <v>17</v>
      </c>
      <c r="O705" s="101" t="s">
        <v>17</v>
      </c>
      <c r="P705" s="24" t="s">
        <v>251</v>
      </c>
      <c r="Q705" s="44" t="s">
        <v>373</v>
      </c>
      <c r="R705" s="24" t="s">
        <v>250</v>
      </c>
      <c r="S705" s="24" t="s">
        <v>250</v>
      </c>
      <c r="T705" s="24" t="s">
        <v>250</v>
      </c>
      <c r="U705" s="24" t="s">
        <v>250</v>
      </c>
      <c r="V705" s="24" t="s">
        <v>250</v>
      </c>
      <c r="W705" s="18" t="s">
        <v>877</v>
      </c>
      <c r="X705" s="24" t="s">
        <v>250</v>
      </c>
      <c r="Y705" s="44" t="s">
        <v>373</v>
      </c>
      <c r="Z705" s="19"/>
      <c r="AA705" s="19"/>
      <c r="AB705" s="158" t="s">
        <v>455</v>
      </c>
      <c r="AC705" s="19"/>
      <c r="AD705" s="19"/>
      <c r="AE705" s="19"/>
      <c r="AF705" s="23">
        <v>0.0</v>
      </c>
      <c r="AG705" s="23" t="s">
        <v>354</v>
      </c>
      <c r="AH705" s="19"/>
      <c r="AI705" s="23" t="s">
        <v>354</v>
      </c>
      <c r="AJ705" s="19"/>
      <c r="AK705" s="19"/>
      <c r="AL705" s="23" t="s">
        <v>356</v>
      </c>
      <c r="AM705" s="23" t="s">
        <v>356</v>
      </c>
      <c r="AN705" s="23" t="s">
        <v>356</v>
      </c>
    </row>
    <row r="706">
      <c r="A706" s="17" t="s">
        <v>250</v>
      </c>
      <c r="B706" s="18" t="s">
        <v>874</v>
      </c>
      <c r="C706" s="19" t="s">
        <v>249</v>
      </c>
      <c r="D706" s="20" t="s">
        <v>547</v>
      </c>
      <c r="E706" s="21" t="s">
        <v>7</v>
      </c>
      <c r="F706" s="19" t="s">
        <v>67</v>
      </c>
      <c r="G706" s="22" t="s">
        <v>354</v>
      </c>
      <c r="H706" s="22" t="s">
        <v>354</v>
      </c>
      <c r="I706" s="22" t="s">
        <v>354</v>
      </c>
      <c r="J706" s="19">
        <v>47.0</v>
      </c>
      <c r="K706" s="23">
        <v>0.0</v>
      </c>
      <c r="L706" s="78">
        <v>1.0</v>
      </c>
      <c r="M706" s="78" t="s">
        <v>878</v>
      </c>
      <c r="N706" s="101" t="s">
        <v>17</v>
      </c>
      <c r="O706" s="101" t="s">
        <v>17</v>
      </c>
      <c r="P706" s="24" t="s">
        <v>251</v>
      </c>
      <c r="Q706" s="44" t="s">
        <v>373</v>
      </c>
      <c r="R706" s="24" t="s">
        <v>250</v>
      </c>
      <c r="S706" s="24" t="s">
        <v>250</v>
      </c>
      <c r="T706" s="24" t="s">
        <v>250</v>
      </c>
      <c r="U706" s="24" t="s">
        <v>250</v>
      </c>
      <c r="V706" s="24" t="s">
        <v>250</v>
      </c>
      <c r="W706" s="18" t="s">
        <v>877</v>
      </c>
      <c r="X706" s="24" t="s">
        <v>250</v>
      </c>
      <c r="Y706" s="44" t="s">
        <v>373</v>
      </c>
      <c r="Z706" s="24" t="s">
        <v>250</v>
      </c>
      <c r="AA706" s="19"/>
      <c r="AB706" s="158" t="s">
        <v>879</v>
      </c>
      <c r="AC706" s="19"/>
      <c r="AD706" s="19"/>
      <c r="AE706" s="19"/>
      <c r="AF706" s="23">
        <v>0.0</v>
      </c>
      <c r="AG706" s="23" t="s">
        <v>356</v>
      </c>
      <c r="AH706" s="19"/>
      <c r="AI706" s="23" t="s">
        <v>356</v>
      </c>
      <c r="AJ706" s="23" t="s">
        <v>356</v>
      </c>
      <c r="AK706" s="23" t="s">
        <v>356</v>
      </c>
      <c r="AL706" s="23" t="s">
        <v>356</v>
      </c>
      <c r="AM706" s="82" t="s">
        <v>361</v>
      </c>
      <c r="AN706" s="62" t="s">
        <v>389</v>
      </c>
    </row>
    <row r="707">
      <c r="A707" s="17" t="s">
        <v>250</v>
      </c>
      <c r="B707" s="18" t="s">
        <v>874</v>
      </c>
      <c r="C707" s="19" t="s">
        <v>249</v>
      </c>
      <c r="D707" s="20" t="s">
        <v>547</v>
      </c>
      <c r="E707" s="21" t="s">
        <v>7</v>
      </c>
      <c r="F707" s="19" t="s">
        <v>67</v>
      </c>
      <c r="G707" s="22" t="s">
        <v>354</v>
      </c>
      <c r="H707" s="22" t="s">
        <v>354</v>
      </c>
      <c r="I707" s="22" t="s">
        <v>354</v>
      </c>
      <c r="J707" s="19">
        <v>47.0</v>
      </c>
      <c r="K707" s="23">
        <v>0.0</v>
      </c>
      <c r="L707" s="78">
        <v>1.0</v>
      </c>
      <c r="M707" s="78" t="s">
        <v>878</v>
      </c>
      <c r="N707" s="101" t="s">
        <v>17</v>
      </c>
      <c r="O707" s="101" t="s">
        <v>17</v>
      </c>
      <c r="P707" s="24" t="s">
        <v>251</v>
      </c>
      <c r="Q707" s="44" t="s">
        <v>373</v>
      </c>
      <c r="R707" s="24" t="s">
        <v>250</v>
      </c>
      <c r="S707" s="24" t="s">
        <v>250</v>
      </c>
      <c r="T707" s="24" t="s">
        <v>250</v>
      </c>
      <c r="U707" s="24" t="s">
        <v>250</v>
      </c>
      <c r="V707" s="24" t="s">
        <v>250</v>
      </c>
      <c r="W707" s="18" t="s">
        <v>877</v>
      </c>
      <c r="X707" s="24" t="s">
        <v>250</v>
      </c>
      <c r="Y707" s="44" t="s">
        <v>373</v>
      </c>
      <c r="Z707" s="24" t="s">
        <v>250</v>
      </c>
      <c r="AA707" s="24" t="s">
        <v>250</v>
      </c>
      <c r="AB707" s="158" t="s">
        <v>880</v>
      </c>
      <c r="AC707" s="19"/>
      <c r="AD707" s="19"/>
      <c r="AE707" s="19"/>
      <c r="AF707" s="23">
        <v>0.0</v>
      </c>
      <c r="AG707" s="23" t="s">
        <v>354</v>
      </c>
      <c r="AH707" s="19"/>
      <c r="AI707" s="23" t="s">
        <v>354</v>
      </c>
      <c r="AJ707" s="23"/>
      <c r="AK707" s="23"/>
      <c r="AL707" s="23" t="s">
        <v>356</v>
      </c>
      <c r="AM707" s="23" t="s">
        <v>356</v>
      </c>
      <c r="AN707" s="75" t="s">
        <v>357</v>
      </c>
    </row>
    <row r="708">
      <c r="A708" s="85" t="s">
        <v>881</v>
      </c>
      <c r="B708" s="18" t="s">
        <v>882</v>
      </c>
      <c r="C708" s="46" t="s">
        <v>252</v>
      </c>
      <c r="D708" s="47" t="s">
        <v>547</v>
      </c>
      <c r="E708" s="48" t="s">
        <v>7</v>
      </c>
      <c r="F708" s="46" t="s">
        <v>67</v>
      </c>
      <c r="G708" s="49" t="s">
        <v>354</v>
      </c>
      <c r="H708" s="49">
        <v>310.0</v>
      </c>
      <c r="I708" s="49" t="s">
        <v>354</v>
      </c>
      <c r="J708" s="46">
        <v>98.0</v>
      </c>
      <c r="K708" s="49">
        <v>1.0</v>
      </c>
      <c r="L708" s="49">
        <v>0.0</v>
      </c>
      <c r="M708" s="49" t="s">
        <v>354</v>
      </c>
      <c r="N708" s="101" t="s">
        <v>17</v>
      </c>
      <c r="O708" s="101" t="s">
        <v>17</v>
      </c>
      <c r="P708" s="24" t="s">
        <v>254</v>
      </c>
      <c r="Q708" s="46"/>
      <c r="R708" s="46"/>
      <c r="S708" s="46"/>
      <c r="T708" s="46"/>
      <c r="U708" s="46"/>
      <c r="V708" s="46"/>
      <c r="W708" s="46"/>
      <c r="X708" s="46"/>
      <c r="Y708" s="46"/>
      <c r="Z708" s="46"/>
      <c r="AA708" s="46"/>
      <c r="AB708" s="57" t="s">
        <v>354</v>
      </c>
      <c r="AC708" s="46">
        <v>36492.0</v>
      </c>
      <c r="AD708" s="46"/>
      <c r="AE708" s="46"/>
      <c r="AF708" s="49">
        <v>0.0</v>
      </c>
      <c r="AG708" s="49" t="s">
        <v>356</v>
      </c>
      <c r="AH708" s="46"/>
      <c r="AI708" s="49" t="s">
        <v>356</v>
      </c>
      <c r="AJ708" s="46"/>
      <c r="AK708" s="46"/>
      <c r="AL708" s="49" t="s">
        <v>356</v>
      </c>
      <c r="AM708" s="49" t="s">
        <v>356</v>
      </c>
      <c r="AN708" s="49" t="s">
        <v>356</v>
      </c>
    </row>
    <row r="709">
      <c r="A709" s="85" t="s">
        <v>881</v>
      </c>
      <c r="B709" s="18" t="s">
        <v>882</v>
      </c>
      <c r="C709" s="46" t="s">
        <v>252</v>
      </c>
      <c r="D709" s="47" t="s">
        <v>547</v>
      </c>
      <c r="E709" s="48" t="s">
        <v>7</v>
      </c>
      <c r="F709" s="46" t="s">
        <v>67</v>
      </c>
      <c r="G709" s="49" t="s">
        <v>354</v>
      </c>
      <c r="H709" s="49">
        <v>275.0</v>
      </c>
      <c r="I709" s="49" t="s">
        <v>354</v>
      </c>
      <c r="J709" s="46">
        <v>49.0</v>
      </c>
      <c r="K709" s="49">
        <v>1.0</v>
      </c>
      <c r="L709" s="49">
        <v>0.0</v>
      </c>
      <c r="M709" s="49" t="s">
        <v>354</v>
      </c>
      <c r="N709" s="101" t="s">
        <v>17</v>
      </c>
      <c r="O709" s="101" t="s">
        <v>17</v>
      </c>
      <c r="P709" s="24" t="s">
        <v>254</v>
      </c>
      <c r="Q709" s="18" t="s">
        <v>255</v>
      </c>
      <c r="R709" s="46"/>
      <c r="S709" s="46"/>
      <c r="T709" s="46"/>
      <c r="U709" s="46"/>
      <c r="V709" s="46"/>
      <c r="W709" s="46"/>
      <c r="X709" s="46"/>
      <c r="Y709" s="46"/>
      <c r="Z709" s="46"/>
      <c r="AA709" s="46"/>
      <c r="AB709" s="49" t="s">
        <v>883</v>
      </c>
      <c r="AC709" s="46"/>
      <c r="AD709" s="46"/>
      <c r="AE709" s="46"/>
      <c r="AF709" s="55">
        <v>24.68</v>
      </c>
      <c r="AG709" s="63" t="s">
        <v>356</v>
      </c>
      <c r="AH709" s="46"/>
      <c r="AI709" s="49" t="s">
        <v>356</v>
      </c>
      <c r="AJ709" s="46"/>
      <c r="AK709" s="46"/>
      <c r="AL709" s="79" t="s">
        <v>361</v>
      </c>
      <c r="AM709" s="112" t="s">
        <v>363</v>
      </c>
      <c r="AN709" s="115" t="s">
        <v>358</v>
      </c>
    </row>
    <row r="710">
      <c r="A710" s="85" t="s">
        <v>881</v>
      </c>
      <c r="B710" s="18" t="s">
        <v>882</v>
      </c>
      <c r="C710" s="46" t="s">
        <v>252</v>
      </c>
      <c r="D710" s="47" t="s">
        <v>547</v>
      </c>
      <c r="E710" s="48" t="s">
        <v>7</v>
      </c>
      <c r="F710" s="46" t="s">
        <v>67</v>
      </c>
      <c r="G710" s="49" t="s">
        <v>354</v>
      </c>
      <c r="H710" s="49" t="s">
        <v>354</v>
      </c>
      <c r="I710" s="49" t="s">
        <v>354</v>
      </c>
      <c r="J710" s="46">
        <v>49.0</v>
      </c>
      <c r="K710" s="49">
        <v>0.0</v>
      </c>
      <c r="L710" s="49">
        <v>0.0</v>
      </c>
      <c r="M710" s="49" t="s">
        <v>354</v>
      </c>
      <c r="N710" s="101" t="s">
        <v>17</v>
      </c>
      <c r="O710" s="101" t="s">
        <v>17</v>
      </c>
      <c r="P710" s="24" t="s">
        <v>254</v>
      </c>
      <c r="Q710" s="18" t="s">
        <v>255</v>
      </c>
      <c r="R710" s="24" t="s">
        <v>253</v>
      </c>
      <c r="S710" s="44" t="s">
        <v>373</v>
      </c>
      <c r="T710" s="46"/>
      <c r="U710" s="46"/>
      <c r="V710" s="46"/>
      <c r="W710" s="46"/>
      <c r="X710" s="46"/>
      <c r="Y710" s="46"/>
      <c r="Z710" s="46"/>
      <c r="AA710" s="46"/>
      <c r="AB710" s="49" t="s">
        <v>884</v>
      </c>
      <c r="AC710" s="46"/>
      <c r="AD710" s="46"/>
      <c r="AE710" s="46"/>
      <c r="AF710" s="55">
        <v>32.83</v>
      </c>
      <c r="AG710" s="56" t="s">
        <v>365</v>
      </c>
      <c r="AH710" s="46"/>
      <c r="AI710" s="49" t="s">
        <v>356</v>
      </c>
      <c r="AJ710" s="46"/>
      <c r="AK710" s="46"/>
      <c r="AL710" s="49" t="s">
        <v>356</v>
      </c>
      <c r="AM710" s="49" t="s">
        <v>356</v>
      </c>
      <c r="AN710" s="49" t="s">
        <v>356</v>
      </c>
    </row>
    <row r="711">
      <c r="A711" s="85" t="s">
        <v>881</v>
      </c>
      <c r="B711" s="18" t="s">
        <v>882</v>
      </c>
      <c r="C711" s="46" t="s">
        <v>252</v>
      </c>
      <c r="D711" s="47" t="s">
        <v>547</v>
      </c>
      <c r="E711" s="48" t="s">
        <v>7</v>
      </c>
      <c r="F711" s="46" t="s">
        <v>67</v>
      </c>
      <c r="G711" s="49" t="s">
        <v>354</v>
      </c>
      <c r="H711" s="49">
        <v>240.0</v>
      </c>
      <c r="I711" s="49" t="s">
        <v>354</v>
      </c>
      <c r="J711" s="46">
        <v>51.0</v>
      </c>
      <c r="K711" s="49">
        <v>0.0</v>
      </c>
      <c r="L711" s="49">
        <v>0.0</v>
      </c>
      <c r="M711" s="49" t="s">
        <v>354</v>
      </c>
      <c r="N711" s="101" t="s">
        <v>17</v>
      </c>
      <c r="O711" s="101" t="s">
        <v>17</v>
      </c>
      <c r="P711" s="24" t="s">
        <v>254</v>
      </c>
      <c r="Q711" s="18" t="s">
        <v>255</v>
      </c>
      <c r="R711" s="24" t="s">
        <v>253</v>
      </c>
      <c r="S711" s="44" t="s">
        <v>373</v>
      </c>
      <c r="T711" s="24" t="s">
        <v>253</v>
      </c>
      <c r="U711" s="46"/>
      <c r="V711" s="46"/>
      <c r="W711" s="46"/>
      <c r="X711" s="46"/>
      <c r="Y711" s="46"/>
      <c r="Z711" s="46"/>
      <c r="AA711" s="46"/>
      <c r="AB711" s="57" t="s">
        <v>354</v>
      </c>
      <c r="AC711" s="46"/>
      <c r="AD711" s="46"/>
      <c r="AE711" s="46"/>
      <c r="AF711" s="152">
        <v>41.05</v>
      </c>
      <c r="AG711" s="49" t="s">
        <v>354</v>
      </c>
      <c r="AH711" s="46"/>
      <c r="AI711" s="49" t="s">
        <v>354</v>
      </c>
      <c r="AJ711" s="46"/>
      <c r="AK711" s="46"/>
      <c r="AL711" s="90" t="s">
        <v>413</v>
      </c>
      <c r="AM711" s="90" t="s">
        <v>413</v>
      </c>
      <c r="AN711" s="90" t="s">
        <v>413</v>
      </c>
    </row>
    <row r="712">
      <c r="A712" s="85" t="s">
        <v>881</v>
      </c>
      <c r="B712" s="18" t="s">
        <v>882</v>
      </c>
      <c r="C712" s="46" t="s">
        <v>252</v>
      </c>
      <c r="D712" s="47" t="s">
        <v>547</v>
      </c>
      <c r="E712" s="48" t="s">
        <v>7</v>
      </c>
      <c r="F712" s="46" t="s">
        <v>67</v>
      </c>
      <c r="G712" s="49" t="s">
        <v>354</v>
      </c>
      <c r="H712" s="49">
        <v>240.0</v>
      </c>
      <c r="I712" s="49" t="s">
        <v>354</v>
      </c>
      <c r="J712" s="46">
        <v>48.0</v>
      </c>
      <c r="K712" s="49">
        <v>0.0</v>
      </c>
      <c r="L712" s="49">
        <v>0.0</v>
      </c>
      <c r="M712" s="49" t="s">
        <v>354</v>
      </c>
      <c r="N712" s="101" t="s">
        <v>17</v>
      </c>
      <c r="O712" s="101" t="s">
        <v>17</v>
      </c>
      <c r="P712" s="24" t="s">
        <v>254</v>
      </c>
      <c r="Q712" s="18" t="s">
        <v>255</v>
      </c>
      <c r="R712" s="24" t="s">
        <v>253</v>
      </c>
      <c r="S712" s="44" t="s">
        <v>373</v>
      </c>
      <c r="T712" s="24" t="s">
        <v>253</v>
      </c>
      <c r="U712" s="24" t="s">
        <v>253</v>
      </c>
      <c r="V712" s="46"/>
      <c r="W712" s="46"/>
      <c r="X712" s="46"/>
      <c r="Y712" s="46"/>
      <c r="Z712" s="46"/>
      <c r="AA712" s="46"/>
      <c r="AB712" s="49" t="s">
        <v>885</v>
      </c>
      <c r="AC712" s="46"/>
      <c r="AD712" s="46"/>
      <c r="AE712" s="46"/>
      <c r="AF712" s="49">
        <v>0.0</v>
      </c>
      <c r="AG712" s="49" t="s">
        <v>354</v>
      </c>
      <c r="AH712" s="46"/>
      <c r="AI712" s="49" t="s">
        <v>354</v>
      </c>
      <c r="AJ712" s="46"/>
      <c r="AK712" s="46"/>
      <c r="AL712" s="59" t="s">
        <v>357</v>
      </c>
      <c r="AM712" s="49" t="s">
        <v>356</v>
      </c>
      <c r="AN712" s="49" t="s">
        <v>356</v>
      </c>
    </row>
    <row r="713">
      <c r="A713" s="85" t="s">
        <v>881</v>
      </c>
      <c r="B713" s="18" t="s">
        <v>882</v>
      </c>
      <c r="C713" s="46" t="s">
        <v>252</v>
      </c>
      <c r="D713" s="47" t="s">
        <v>547</v>
      </c>
      <c r="E713" s="48" t="s">
        <v>7</v>
      </c>
      <c r="F713" s="46" t="s">
        <v>67</v>
      </c>
      <c r="G713" s="49" t="s">
        <v>354</v>
      </c>
      <c r="H713" s="49">
        <v>275.0</v>
      </c>
      <c r="I713" s="49" t="s">
        <v>354</v>
      </c>
      <c r="J713" s="46">
        <v>48.0</v>
      </c>
      <c r="K713" s="49">
        <v>0.0</v>
      </c>
      <c r="L713" s="49">
        <v>0.0</v>
      </c>
      <c r="M713" s="49" t="s">
        <v>354</v>
      </c>
      <c r="N713" s="101" t="s">
        <v>17</v>
      </c>
      <c r="O713" s="101" t="s">
        <v>17</v>
      </c>
      <c r="P713" s="24" t="s">
        <v>254</v>
      </c>
      <c r="Q713" s="18" t="s">
        <v>255</v>
      </c>
      <c r="R713" s="24" t="s">
        <v>253</v>
      </c>
      <c r="S713" s="44" t="s">
        <v>373</v>
      </c>
      <c r="T713" s="24" t="s">
        <v>253</v>
      </c>
      <c r="U713" s="24" t="s">
        <v>253</v>
      </c>
      <c r="V713" s="18" t="s">
        <v>253</v>
      </c>
      <c r="W713" s="46"/>
      <c r="X713" s="49"/>
      <c r="Y713" s="49"/>
      <c r="Z713" s="49"/>
      <c r="AA713" s="46"/>
      <c r="AB713" s="57" t="s">
        <v>354</v>
      </c>
      <c r="AC713" s="46"/>
      <c r="AD713" s="46"/>
      <c r="AE713" s="46"/>
      <c r="AF713" s="49">
        <v>0.0</v>
      </c>
      <c r="AG713" s="49" t="s">
        <v>354</v>
      </c>
      <c r="AH713" s="46"/>
      <c r="AI713" s="49" t="s">
        <v>354</v>
      </c>
      <c r="AJ713" s="46"/>
      <c r="AK713" s="46"/>
      <c r="AL713" s="49" t="s">
        <v>356</v>
      </c>
      <c r="AM713" s="49" t="s">
        <v>356</v>
      </c>
      <c r="AN713" s="49" t="s">
        <v>356</v>
      </c>
    </row>
    <row r="714">
      <c r="A714" s="85" t="s">
        <v>881</v>
      </c>
      <c r="B714" s="18" t="s">
        <v>882</v>
      </c>
      <c r="C714" s="46" t="s">
        <v>252</v>
      </c>
      <c r="D714" s="47" t="s">
        <v>547</v>
      </c>
      <c r="E714" s="48" t="s">
        <v>7</v>
      </c>
      <c r="F714" s="46" t="s">
        <v>67</v>
      </c>
      <c r="G714" s="49" t="s">
        <v>354</v>
      </c>
      <c r="H714" s="49">
        <v>280.0</v>
      </c>
      <c r="I714" s="49" t="s">
        <v>354</v>
      </c>
      <c r="J714" s="46">
        <v>48.0</v>
      </c>
      <c r="K714" s="49">
        <v>0.0</v>
      </c>
      <c r="L714" s="49">
        <v>0.0</v>
      </c>
      <c r="M714" s="49" t="s">
        <v>354</v>
      </c>
      <c r="N714" s="101" t="s">
        <v>17</v>
      </c>
      <c r="O714" s="101" t="s">
        <v>17</v>
      </c>
      <c r="P714" s="24" t="s">
        <v>254</v>
      </c>
      <c r="Q714" s="18" t="s">
        <v>255</v>
      </c>
      <c r="R714" s="24" t="s">
        <v>253</v>
      </c>
      <c r="S714" s="44" t="s">
        <v>373</v>
      </c>
      <c r="T714" s="24" t="s">
        <v>253</v>
      </c>
      <c r="U714" s="24" t="s">
        <v>253</v>
      </c>
      <c r="V714" s="24" t="s">
        <v>253</v>
      </c>
      <c r="W714" s="18" t="s">
        <v>253</v>
      </c>
      <c r="X714" s="49"/>
      <c r="Y714" s="49"/>
      <c r="Z714" s="49"/>
      <c r="AA714" s="46"/>
      <c r="AB714" s="184" t="s">
        <v>886</v>
      </c>
      <c r="AC714" s="46"/>
      <c r="AD714" s="46"/>
      <c r="AE714" s="46"/>
      <c r="AF714" s="49">
        <v>0.0</v>
      </c>
      <c r="AG714" s="49" t="s">
        <v>354</v>
      </c>
      <c r="AH714" s="46"/>
      <c r="AI714" s="49" t="s">
        <v>354</v>
      </c>
      <c r="AJ714" s="46"/>
      <c r="AK714" s="46"/>
      <c r="AL714" s="49" t="s">
        <v>356</v>
      </c>
      <c r="AM714" s="49" t="s">
        <v>356</v>
      </c>
      <c r="AN714" s="49" t="s">
        <v>356</v>
      </c>
    </row>
    <row r="715">
      <c r="A715" s="85" t="s">
        <v>881</v>
      </c>
      <c r="B715" s="18" t="s">
        <v>882</v>
      </c>
      <c r="C715" s="46" t="s">
        <v>252</v>
      </c>
      <c r="D715" s="47" t="s">
        <v>547</v>
      </c>
      <c r="E715" s="48" t="s">
        <v>7</v>
      </c>
      <c r="F715" s="46" t="s">
        <v>67</v>
      </c>
      <c r="G715" s="49" t="s">
        <v>354</v>
      </c>
      <c r="H715" s="49" t="s">
        <v>354</v>
      </c>
      <c r="I715" s="49" t="s">
        <v>354</v>
      </c>
      <c r="J715" s="46">
        <v>48.0</v>
      </c>
      <c r="K715" s="49">
        <v>0.0</v>
      </c>
      <c r="L715" s="41">
        <v>0.0</v>
      </c>
      <c r="M715" s="41" t="s">
        <v>354</v>
      </c>
      <c r="N715" s="101" t="s">
        <v>17</v>
      </c>
      <c r="O715" s="101" t="s">
        <v>17</v>
      </c>
      <c r="P715" s="24" t="s">
        <v>254</v>
      </c>
      <c r="Q715" s="18" t="s">
        <v>255</v>
      </c>
      <c r="R715" s="24" t="s">
        <v>253</v>
      </c>
      <c r="S715" s="44" t="s">
        <v>373</v>
      </c>
      <c r="T715" s="24" t="s">
        <v>253</v>
      </c>
      <c r="U715" s="24" t="s">
        <v>253</v>
      </c>
      <c r="V715" s="24" t="s">
        <v>253</v>
      </c>
      <c r="W715" s="18" t="s">
        <v>253</v>
      </c>
      <c r="X715" s="228" t="s">
        <v>253</v>
      </c>
      <c r="Y715" s="49"/>
      <c r="Z715" s="49"/>
      <c r="AA715" s="46"/>
      <c r="AB715" s="184" t="s">
        <v>371</v>
      </c>
      <c r="AC715" s="46"/>
      <c r="AD715" s="46"/>
      <c r="AE715" s="46"/>
      <c r="AF715" s="49">
        <v>0.0</v>
      </c>
      <c r="AG715" s="49" t="s">
        <v>354</v>
      </c>
      <c r="AH715" s="46"/>
      <c r="AI715" s="49" t="s">
        <v>354</v>
      </c>
      <c r="AJ715" s="46"/>
      <c r="AK715" s="46"/>
      <c r="AL715" s="49" t="s">
        <v>356</v>
      </c>
      <c r="AM715" s="49" t="s">
        <v>356</v>
      </c>
      <c r="AN715" s="49" t="s">
        <v>356</v>
      </c>
    </row>
    <row r="716">
      <c r="A716" s="85" t="s">
        <v>881</v>
      </c>
      <c r="B716" s="18" t="s">
        <v>882</v>
      </c>
      <c r="C716" s="46" t="s">
        <v>252</v>
      </c>
      <c r="D716" s="47" t="s">
        <v>547</v>
      </c>
      <c r="E716" s="48" t="s">
        <v>7</v>
      </c>
      <c r="F716" s="46" t="s">
        <v>67</v>
      </c>
      <c r="G716" s="49" t="s">
        <v>354</v>
      </c>
      <c r="H716" s="49" t="s">
        <v>354</v>
      </c>
      <c r="I716" s="49" t="s">
        <v>354</v>
      </c>
      <c r="J716" s="46">
        <v>48.0</v>
      </c>
      <c r="K716" s="49">
        <v>0.0</v>
      </c>
      <c r="L716" s="41">
        <v>0.0</v>
      </c>
      <c r="M716" s="41" t="s">
        <v>354</v>
      </c>
      <c r="N716" s="101" t="s">
        <v>17</v>
      </c>
      <c r="O716" s="101" t="s">
        <v>17</v>
      </c>
      <c r="P716" s="24" t="s">
        <v>254</v>
      </c>
      <c r="Q716" s="18" t="s">
        <v>255</v>
      </c>
      <c r="R716" s="24" t="s">
        <v>253</v>
      </c>
      <c r="S716" s="44" t="s">
        <v>373</v>
      </c>
      <c r="T716" s="24" t="s">
        <v>253</v>
      </c>
      <c r="U716" s="24" t="s">
        <v>253</v>
      </c>
      <c r="V716" s="24" t="s">
        <v>253</v>
      </c>
      <c r="W716" s="18" t="s">
        <v>253</v>
      </c>
      <c r="X716" s="228" t="s">
        <v>253</v>
      </c>
      <c r="Y716" s="18" t="s">
        <v>253</v>
      </c>
      <c r="Z716" s="49"/>
      <c r="AA716" s="46"/>
      <c r="AB716" s="184" t="s">
        <v>371</v>
      </c>
      <c r="AC716" s="46"/>
      <c r="AD716" s="46"/>
      <c r="AE716" s="46"/>
      <c r="AF716" s="49">
        <v>0.0</v>
      </c>
      <c r="AG716" s="49" t="s">
        <v>354</v>
      </c>
      <c r="AH716" s="46"/>
      <c r="AI716" s="49" t="s">
        <v>354</v>
      </c>
      <c r="AJ716" s="46"/>
      <c r="AK716" s="46"/>
      <c r="AL716" s="49" t="s">
        <v>356</v>
      </c>
      <c r="AM716" s="49" t="s">
        <v>356</v>
      </c>
      <c r="AN716" s="49" t="s">
        <v>356</v>
      </c>
    </row>
    <row r="717">
      <c r="A717" s="85" t="s">
        <v>881</v>
      </c>
      <c r="B717" s="18" t="s">
        <v>882</v>
      </c>
      <c r="C717" s="46" t="s">
        <v>252</v>
      </c>
      <c r="D717" s="47" t="s">
        <v>547</v>
      </c>
      <c r="E717" s="48" t="s">
        <v>7</v>
      </c>
      <c r="F717" s="46" t="s">
        <v>67</v>
      </c>
      <c r="G717" s="49" t="s">
        <v>354</v>
      </c>
      <c r="H717" s="49" t="s">
        <v>354</v>
      </c>
      <c r="I717" s="49" t="s">
        <v>354</v>
      </c>
      <c r="J717" s="46">
        <v>48.0</v>
      </c>
      <c r="K717" s="49">
        <v>0.0</v>
      </c>
      <c r="L717" s="41">
        <v>0.0</v>
      </c>
      <c r="M717" s="41" t="s">
        <v>354</v>
      </c>
      <c r="N717" s="101" t="s">
        <v>17</v>
      </c>
      <c r="O717" s="101" t="s">
        <v>17</v>
      </c>
      <c r="P717" s="24" t="s">
        <v>254</v>
      </c>
      <c r="Q717" s="18" t="s">
        <v>255</v>
      </c>
      <c r="R717" s="24" t="s">
        <v>253</v>
      </c>
      <c r="S717" s="44" t="s">
        <v>373</v>
      </c>
      <c r="T717" s="24" t="s">
        <v>253</v>
      </c>
      <c r="U717" s="24" t="s">
        <v>253</v>
      </c>
      <c r="V717" s="24" t="s">
        <v>253</v>
      </c>
      <c r="W717" s="24" t="s">
        <v>253</v>
      </c>
      <c r="X717" s="228" t="s">
        <v>253</v>
      </c>
      <c r="Y717" s="18" t="s">
        <v>253</v>
      </c>
      <c r="Z717" s="18" t="s">
        <v>887</v>
      </c>
      <c r="AA717" s="46"/>
      <c r="AB717" s="184" t="s">
        <v>371</v>
      </c>
      <c r="AC717" s="46"/>
      <c r="AD717" s="46"/>
      <c r="AE717" s="46"/>
      <c r="AF717" s="49">
        <v>0.0</v>
      </c>
      <c r="AG717" s="49" t="s">
        <v>354</v>
      </c>
      <c r="AH717" s="46"/>
      <c r="AI717" s="49" t="s">
        <v>354</v>
      </c>
      <c r="AJ717" s="46"/>
      <c r="AK717" s="46"/>
      <c r="AL717" s="49" t="s">
        <v>356</v>
      </c>
      <c r="AM717" s="49" t="s">
        <v>356</v>
      </c>
      <c r="AN717" s="160" t="s">
        <v>413</v>
      </c>
    </row>
    <row r="718">
      <c r="A718" s="85" t="s">
        <v>881</v>
      </c>
      <c r="B718" s="18" t="s">
        <v>882</v>
      </c>
      <c r="C718" s="46" t="s">
        <v>252</v>
      </c>
      <c r="D718" s="47" t="s">
        <v>547</v>
      </c>
      <c r="E718" s="48" t="s">
        <v>7</v>
      </c>
      <c r="F718" s="46" t="s">
        <v>67</v>
      </c>
      <c r="G718" s="49" t="s">
        <v>354</v>
      </c>
      <c r="H718" s="49" t="s">
        <v>354</v>
      </c>
      <c r="I718" s="49" t="s">
        <v>354</v>
      </c>
      <c r="J718" s="46">
        <v>48.0</v>
      </c>
      <c r="K718" s="49">
        <v>0.0</v>
      </c>
      <c r="L718" s="41">
        <v>0.0</v>
      </c>
      <c r="M718" s="41" t="s">
        <v>354</v>
      </c>
      <c r="N718" s="101" t="s">
        <v>17</v>
      </c>
      <c r="O718" s="101" t="s">
        <v>17</v>
      </c>
      <c r="P718" s="24" t="s">
        <v>254</v>
      </c>
      <c r="Q718" s="18" t="s">
        <v>255</v>
      </c>
      <c r="R718" s="24" t="s">
        <v>253</v>
      </c>
      <c r="S718" s="44" t="s">
        <v>373</v>
      </c>
      <c r="T718" s="24" t="s">
        <v>253</v>
      </c>
      <c r="U718" s="24" t="s">
        <v>253</v>
      </c>
      <c r="V718" s="24" t="s">
        <v>253</v>
      </c>
      <c r="W718" s="24" t="s">
        <v>253</v>
      </c>
      <c r="X718" s="228" t="s">
        <v>253</v>
      </c>
      <c r="Y718" s="18" t="s">
        <v>253</v>
      </c>
      <c r="Z718" s="18" t="s">
        <v>887</v>
      </c>
      <c r="AA718" s="18" t="s">
        <v>253</v>
      </c>
      <c r="AB718" s="184" t="s">
        <v>371</v>
      </c>
      <c r="AC718" s="46"/>
      <c r="AD718" s="46"/>
      <c r="AE718" s="46"/>
      <c r="AF718" s="49">
        <v>0.0</v>
      </c>
      <c r="AG718" s="49" t="s">
        <v>354</v>
      </c>
      <c r="AH718" s="46"/>
      <c r="AI718" s="49" t="s">
        <v>354</v>
      </c>
      <c r="AJ718" s="46"/>
      <c r="AK718" s="46"/>
      <c r="AL718" s="49" t="s">
        <v>356</v>
      </c>
      <c r="AM718" s="79" t="s">
        <v>361</v>
      </c>
      <c r="AN718" s="79" t="s">
        <v>361</v>
      </c>
    </row>
    <row r="719">
      <c r="A719" s="95" t="s">
        <v>888</v>
      </c>
      <c r="B719" s="18" t="s">
        <v>889</v>
      </c>
      <c r="C719" s="19" t="s">
        <v>256</v>
      </c>
      <c r="D719" s="20" t="s">
        <v>547</v>
      </c>
      <c r="E719" s="33" t="s">
        <v>37</v>
      </c>
      <c r="F719" s="19" t="s">
        <v>67</v>
      </c>
      <c r="G719" s="23">
        <v>110.0</v>
      </c>
      <c r="H719" s="23">
        <v>185.0</v>
      </c>
      <c r="I719" s="23" t="s">
        <v>890</v>
      </c>
      <c r="J719" s="19">
        <v>99.0</v>
      </c>
      <c r="K719" s="23">
        <v>0.0</v>
      </c>
      <c r="L719" s="23">
        <v>0.0</v>
      </c>
      <c r="M719" s="23" t="s">
        <v>354</v>
      </c>
      <c r="N719" s="101" t="s">
        <v>17</v>
      </c>
      <c r="O719" s="101" t="s">
        <v>17</v>
      </c>
      <c r="P719" s="24" t="s">
        <v>258</v>
      </c>
      <c r="Q719" s="19"/>
      <c r="R719" s="19"/>
      <c r="S719" s="19"/>
      <c r="T719" s="19"/>
      <c r="U719" s="19"/>
      <c r="V719" s="19"/>
      <c r="W719" s="19"/>
      <c r="X719" s="19"/>
      <c r="Y719" s="19"/>
      <c r="Z719" s="19"/>
      <c r="AA719" s="19"/>
      <c r="AB719" s="22" t="s">
        <v>354</v>
      </c>
      <c r="AC719" s="19">
        <v>36493.0</v>
      </c>
      <c r="AD719" s="19"/>
      <c r="AE719" s="19"/>
      <c r="AF719" s="66">
        <v>37.48</v>
      </c>
      <c r="AG719" s="36" t="s">
        <v>365</v>
      </c>
      <c r="AH719" s="23" t="s">
        <v>366</v>
      </c>
      <c r="AI719" s="26" t="s">
        <v>357</v>
      </c>
      <c r="AJ719" s="19"/>
      <c r="AK719" s="19"/>
      <c r="AL719" s="38" t="s">
        <v>357</v>
      </c>
      <c r="AM719" s="38" t="s">
        <v>357</v>
      </c>
      <c r="AN719" s="38" t="s">
        <v>357</v>
      </c>
    </row>
    <row r="720">
      <c r="A720" s="95" t="s">
        <v>888</v>
      </c>
      <c r="B720" s="18" t="s">
        <v>889</v>
      </c>
      <c r="C720" s="19" t="s">
        <v>256</v>
      </c>
      <c r="D720" s="20" t="s">
        <v>547</v>
      </c>
      <c r="E720" s="33" t="s">
        <v>37</v>
      </c>
      <c r="F720" s="19" t="s">
        <v>67</v>
      </c>
      <c r="G720" s="23" t="s">
        <v>354</v>
      </c>
      <c r="H720" s="23">
        <v>200.0</v>
      </c>
      <c r="I720" s="23" t="s">
        <v>890</v>
      </c>
      <c r="J720" s="19">
        <v>1.0</v>
      </c>
      <c r="K720" s="23">
        <v>0.0</v>
      </c>
      <c r="L720" s="23">
        <v>0.0</v>
      </c>
      <c r="M720" s="23" t="s">
        <v>354</v>
      </c>
      <c r="N720" s="101" t="s">
        <v>17</v>
      </c>
      <c r="O720" s="101" t="s">
        <v>17</v>
      </c>
      <c r="P720" s="24" t="s">
        <v>258</v>
      </c>
      <c r="Q720" s="24" t="s">
        <v>259</v>
      </c>
      <c r="R720" s="19"/>
      <c r="S720" s="19"/>
      <c r="T720" s="19"/>
      <c r="U720" s="19"/>
      <c r="V720" s="19"/>
      <c r="W720" s="19"/>
      <c r="X720" s="19"/>
      <c r="Y720" s="19"/>
      <c r="Z720" s="19"/>
      <c r="AA720" s="19"/>
      <c r="AB720" s="23" t="s">
        <v>891</v>
      </c>
      <c r="AC720" s="19">
        <v>36591.0</v>
      </c>
      <c r="AD720" s="19"/>
      <c r="AE720" s="19"/>
      <c r="AF720" s="66">
        <v>35.96</v>
      </c>
      <c r="AG720" s="36" t="s">
        <v>365</v>
      </c>
      <c r="AH720" s="23" t="s">
        <v>597</v>
      </c>
      <c r="AI720" s="65" t="s">
        <v>387</v>
      </c>
      <c r="AJ720" s="19"/>
      <c r="AK720" s="19"/>
      <c r="AL720" s="132" t="s">
        <v>420</v>
      </c>
      <c r="AM720" s="60" t="s">
        <v>357</v>
      </c>
      <c r="AN720" s="115" t="s">
        <v>358</v>
      </c>
    </row>
    <row r="721">
      <c r="A721" s="95" t="s">
        <v>888</v>
      </c>
      <c r="B721" s="18" t="s">
        <v>889</v>
      </c>
      <c r="C721" s="19" t="s">
        <v>256</v>
      </c>
      <c r="D721" s="20" t="s">
        <v>547</v>
      </c>
      <c r="E721" s="33" t="s">
        <v>37</v>
      </c>
      <c r="F721" s="19" t="s">
        <v>67</v>
      </c>
      <c r="G721" s="23" t="s">
        <v>354</v>
      </c>
      <c r="H721" s="23">
        <v>190.0</v>
      </c>
      <c r="I721" s="23" t="s">
        <v>890</v>
      </c>
      <c r="J721" s="19">
        <v>3.0</v>
      </c>
      <c r="K721" s="23">
        <v>0.0</v>
      </c>
      <c r="L721" s="23">
        <v>0.0</v>
      </c>
      <c r="M721" s="23" t="s">
        <v>354</v>
      </c>
      <c r="N721" s="101" t="s">
        <v>17</v>
      </c>
      <c r="O721" s="101" t="s">
        <v>17</v>
      </c>
      <c r="P721" s="24" t="s">
        <v>258</v>
      </c>
      <c r="Q721" s="24" t="s">
        <v>259</v>
      </c>
      <c r="R721" s="24" t="s">
        <v>260</v>
      </c>
      <c r="S721" s="44" t="s">
        <v>373</v>
      </c>
      <c r="T721" s="19"/>
      <c r="U721" s="19"/>
      <c r="V721" s="19"/>
      <c r="W721" s="19"/>
      <c r="X721" s="19"/>
      <c r="Y721" s="19"/>
      <c r="Z721" s="19"/>
      <c r="AA721" s="19"/>
      <c r="AB721" s="23" t="s">
        <v>892</v>
      </c>
      <c r="AC721" s="19"/>
      <c r="AD721" s="19"/>
      <c r="AE721" s="19"/>
      <c r="AF721" s="66">
        <v>30.04</v>
      </c>
      <c r="AG721" s="36" t="s">
        <v>365</v>
      </c>
      <c r="AH721" s="23" t="s">
        <v>597</v>
      </c>
      <c r="AI721" s="65" t="s">
        <v>387</v>
      </c>
      <c r="AJ721" s="19"/>
      <c r="AK721" s="19"/>
      <c r="AL721" s="102" t="s">
        <v>357</v>
      </c>
      <c r="AM721" s="102" t="s">
        <v>357</v>
      </c>
      <c r="AN721" s="102" t="s">
        <v>357</v>
      </c>
    </row>
    <row r="722">
      <c r="A722" s="95" t="s">
        <v>888</v>
      </c>
      <c r="B722" s="18" t="s">
        <v>889</v>
      </c>
      <c r="C722" s="19" t="s">
        <v>256</v>
      </c>
      <c r="D722" s="20" t="s">
        <v>547</v>
      </c>
      <c r="E722" s="33" t="s">
        <v>37</v>
      </c>
      <c r="F722" s="19" t="s">
        <v>67</v>
      </c>
      <c r="G722" s="23">
        <v>116.0</v>
      </c>
      <c r="H722" s="23">
        <v>200.0</v>
      </c>
      <c r="I722" s="23" t="s">
        <v>890</v>
      </c>
      <c r="J722" s="19">
        <v>7.0</v>
      </c>
      <c r="K722" s="23">
        <v>0.0</v>
      </c>
      <c r="L722" s="23">
        <v>0.0</v>
      </c>
      <c r="M722" s="23" t="s">
        <v>354</v>
      </c>
      <c r="N722" s="101" t="s">
        <v>17</v>
      </c>
      <c r="O722" s="101" t="s">
        <v>17</v>
      </c>
      <c r="P722" s="24" t="s">
        <v>258</v>
      </c>
      <c r="Q722" s="24" t="s">
        <v>259</v>
      </c>
      <c r="R722" s="24" t="s">
        <v>260</v>
      </c>
      <c r="S722" s="44" t="s">
        <v>373</v>
      </c>
      <c r="T722" s="24" t="s">
        <v>260</v>
      </c>
      <c r="U722" s="19"/>
      <c r="V722" s="19"/>
      <c r="W722" s="19"/>
      <c r="X722" s="19"/>
      <c r="Y722" s="19"/>
      <c r="Z722" s="19"/>
      <c r="AA722" s="19"/>
      <c r="AB722" s="23" t="s">
        <v>442</v>
      </c>
      <c r="AC722" s="19"/>
      <c r="AD722" s="19"/>
      <c r="AE722" s="19"/>
      <c r="AF722" s="144">
        <v>31.19</v>
      </c>
      <c r="AG722" s="33" t="s">
        <v>354</v>
      </c>
      <c r="AH722" s="33"/>
      <c r="AI722" s="33" t="s">
        <v>354</v>
      </c>
      <c r="AJ722" s="19"/>
      <c r="AK722" s="19"/>
      <c r="AL722" s="90" t="s">
        <v>413</v>
      </c>
      <c r="AM722" s="90" t="s">
        <v>413</v>
      </c>
      <c r="AN722" s="90" t="s">
        <v>413</v>
      </c>
    </row>
    <row r="723">
      <c r="A723" s="95" t="s">
        <v>888</v>
      </c>
      <c r="B723" s="18" t="s">
        <v>889</v>
      </c>
      <c r="C723" s="229" t="s">
        <v>256</v>
      </c>
      <c r="D723" s="230" t="s">
        <v>547</v>
      </c>
      <c r="E723" s="231" t="s">
        <v>37</v>
      </c>
      <c r="F723" s="229" t="s">
        <v>67</v>
      </c>
      <c r="G723" s="232" t="s">
        <v>354</v>
      </c>
      <c r="H723" s="232">
        <v>225.0</v>
      </c>
      <c r="I723" s="232" t="s">
        <v>890</v>
      </c>
      <c r="J723" s="229">
        <v>7.0</v>
      </c>
      <c r="K723" s="233">
        <v>0.0</v>
      </c>
      <c r="L723" s="233">
        <v>0.0</v>
      </c>
      <c r="M723" s="233" t="s">
        <v>354</v>
      </c>
      <c r="N723" s="215" t="s">
        <v>17</v>
      </c>
      <c r="O723" s="215" t="s">
        <v>17</v>
      </c>
      <c r="P723" s="216" t="s">
        <v>258</v>
      </c>
      <c r="Q723" s="216" t="s">
        <v>259</v>
      </c>
      <c r="R723" s="216" t="s">
        <v>260</v>
      </c>
      <c r="S723" s="225" t="s">
        <v>373</v>
      </c>
      <c r="T723" s="216" t="s">
        <v>260</v>
      </c>
      <c r="U723" s="24" t="s">
        <v>260</v>
      </c>
      <c r="V723" s="229"/>
      <c r="W723" s="229"/>
      <c r="X723" s="19"/>
      <c r="Y723" s="19"/>
      <c r="Z723" s="19"/>
      <c r="AA723" s="19"/>
      <c r="AB723" s="23" t="s">
        <v>442</v>
      </c>
      <c r="AC723" s="19"/>
      <c r="AD723" s="19"/>
      <c r="AE723" s="19"/>
      <c r="AF723" s="23">
        <v>0.0</v>
      </c>
      <c r="AG723" s="33" t="s">
        <v>354</v>
      </c>
      <c r="AH723" s="33"/>
      <c r="AI723" s="33" t="s">
        <v>354</v>
      </c>
      <c r="AJ723" s="19"/>
      <c r="AK723" s="19"/>
      <c r="AL723" s="119" t="s">
        <v>413</v>
      </c>
      <c r="AM723" s="119" t="s">
        <v>413</v>
      </c>
      <c r="AN723" s="59" t="s">
        <v>357</v>
      </c>
    </row>
    <row r="724">
      <c r="A724" s="95" t="s">
        <v>888</v>
      </c>
      <c r="B724" s="18" t="s">
        <v>889</v>
      </c>
      <c r="C724" s="19" t="s">
        <v>256</v>
      </c>
      <c r="D724" s="20" t="s">
        <v>547</v>
      </c>
      <c r="E724" s="33" t="s">
        <v>37</v>
      </c>
      <c r="F724" s="19" t="s">
        <v>67</v>
      </c>
      <c r="G724" s="23" t="s">
        <v>354</v>
      </c>
      <c r="H724" s="23">
        <v>265.0</v>
      </c>
      <c r="I724" s="23" t="s">
        <v>890</v>
      </c>
      <c r="J724" s="19">
        <v>7.0</v>
      </c>
      <c r="K724" s="23">
        <v>0.0</v>
      </c>
      <c r="L724" s="23">
        <v>0.0</v>
      </c>
      <c r="M724" s="23" t="s">
        <v>354</v>
      </c>
      <c r="N724" s="101" t="s">
        <v>17</v>
      </c>
      <c r="O724" s="101" t="s">
        <v>17</v>
      </c>
      <c r="P724" s="24" t="s">
        <v>258</v>
      </c>
      <c r="Q724" s="24" t="s">
        <v>259</v>
      </c>
      <c r="R724" s="24" t="s">
        <v>260</v>
      </c>
      <c r="S724" s="44" t="s">
        <v>373</v>
      </c>
      <c r="T724" s="24" t="s">
        <v>260</v>
      </c>
      <c r="U724" s="24" t="s">
        <v>260</v>
      </c>
      <c r="V724" s="24" t="s">
        <v>260</v>
      </c>
      <c r="W724" s="19"/>
      <c r="X724" s="19"/>
      <c r="Y724" s="19"/>
      <c r="Z724" s="19"/>
      <c r="AA724" s="19"/>
      <c r="AB724" s="22" t="s">
        <v>354</v>
      </c>
      <c r="AC724" s="19"/>
      <c r="AD724" s="19"/>
      <c r="AE724" s="19"/>
      <c r="AF724" s="23">
        <v>0.0</v>
      </c>
      <c r="AG724" s="33" t="s">
        <v>354</v>
      </c>
      <c r="AH724" s="33"/>
      <c r="AI724" s="33" t="s">
        <v>354</v>
      </c>
      <c r="AJ724" s="19"/>
      <c r="AK724" s="19"/>
      <c r="AL724" s="22" t="s">
        <v>356</v>
      </c>
      <c r="AM724" s="22" t="s">
        <v>356</v>
      </c>
      <c r="AN724" s="22" t="s">
        <v>356</v>
      </c>
    </row>
    <row r="725">
      <c r="A725" s="95" t="s">
        <v>888</v>
      </c>
      <c r="B725" s="18" t="s">
        <v>889</v>
      </c>
      <c r="C725" s="19" t="s">
        <v>256</v>
      </c>
      <c r="D725" s="20" t="s">
        <v>547</v>
      </c>
      <c r="E725" s="33" t="s">
        <v>7</v>
      </c>
      <c r="F725" s="19" t="s">
        <v>67</v>
      </c>
      <c r="G725" s="23" t="s">
        <v>354</v>
      </c>
      <c r="H725" s="23">
        <v>275.0</v>
      </c>
      <c r="I725" s="23" t="s">
        <v>890</v>
      </c>
      <c r="J725" s="19">
        <v>7.0</v>
      </c>
      <c r="K725" s="23">
        <v>0.0</v>
      </c>
      <c r="L725" s="23">
        <v>0.0</v>
      </c>
      <c r="M725" s="23" t="s">
        <v>354</v>
      </c>
      <c r="N725" s="101" t="s">
        <v>17</v>
      </c>
      <c r="O725" s="101" t="s">
        <v>17</v>
      </c>
      <c r="P725" s="24" t="s">
        <v>258</v>
      </c>
      <c r="Q725" s="24" t="s">
        <v>259</v>
      </c>
      <c r="R725" s="24" t="s">
        <v>260</v>
      </c>
      <c r="S725" s="44" t="s">
        <v>373</v>
      </c>
      <c r="T725" s="24" t="s">
        <v>260</v>
      </c>
      <c r="U725" s="24" t="s">
        <v>260</v>
      </c>
      <c r="V725" s="24" t="s">
        <v>260</v>
      </c>
      <c r="W725" s="18" t="s">
        <v>893</v>
      </c>
      <c r="X725" s="19"/>
      <c r="Y725" s="19"/>
      <c r="Z725" s="19"/>
      <c r="AA725" s="19"/>
      <c r="AB725" s="184" t="s">
        <v>894</v>
      </c>
      <c r="AC725" s="19"/>
      <c r="AD725" s="19"/>
      <c r="AE725" s="19"/>
      <c r="AF725" s="66">
        <v>35.8312185626822</v>
      </c>
      <c r="AG725" s="33" t="s">
        <v>354</v>
      </c>
      <c r="AH725" s="33"/>
      <c r="AI725" s="33" t="s">
        <v>354</v>
      </c>
      <c r="AJ725" s="19"/>
      <c r="AK725" s="19"/>
      <c r="AL725" s="19" t="s">
        <v>356</v>
      </c>
      <c r="AM725" s="90" t="s">
        <v>413</v>
      </c>
      <c r="AN725" s="19" t="s">
        <v>356</v>
      </c>
    </row>
    <row r="726">
      <c r="A726" s="95" t="s">
        <v>888</v>
      </c>
      <c r="B726" s="18" t="s">
        <v>889</v>
      </c>
      <c r="C726" s="19" t="s">
        <v>256</v>
      </c>
      <c r="D726" s="20" t="s">
        <v>547</v>
      </c>
      <c r="E726" s="33" t="s">
        <v>7</v>
      </c>
      <c r="F726" s="19" t="s">
        <v>67</v>
      </c>
      <c r="G726" s="23" t="s">
        <v>354</v>
      </c>
      <c r="H726" s="23" t="s">
        <v>354</v>
      </c>
      <c r="I726" s="23" t="s">
        <v>890</v>
      </c>
      <c r="J726" s="19">
        <v>7.0</v>
      </c>
      <c r="K726" s="23">
        <v>0.0</v>
      </c>
      <c r="L726" s="41">
        <v>0.0</v>
      </c>
      <c r="M726" s="41" t="s">
        <v>354</v>
      </c>
      <c r="N726" s="101" t="s">
        <v>17</v>
      </c>
      <c r="O726" s="101" t="s">
        <v>17</v>
      </c>
      <c r="P726" s="24" t="s">
        <v>258</v>
      </c>
      <c r="Q726" s="24" t="s">
        <v>259</v>
      </c>
      <c r="R726" s="24" t="s">
        <v>260</v>
      </c>
      <c r="S726" s="44" t="s">
        <v>373</v>
      </c>
      <c r="T726" s="24" t="s">
        <v>260</v>
      </c>
      <c r="U726" s="24" t="s">
        <v>260</v>
      </c>
      <c r="V726" s="24" t="s">
        <v>260</v>
      </c>
      <c r="W726" s="18" t="s">
        <v>893</v>
      </c>
      <c r="X726" s="83" t="s">
        <v>260</v>
      </c>
      <c r="Y726" s="23"/>
      <c r="Z726" s="23"/>
      <c r="AA726" s="19"/>
      <c r="AB726" s="184" t="s">
        <v>371</v>
      </c>
      <c r="AC726" s="19"/>
      <c r="AD726" s="19"/>
      <c r="AE726" s="19"/>
      <c r="AF726" s="23">
        <v>0.0</v>
      </c>
      <c r="AG726" s="33" t="s">
        <v>354</v>
      </c>
      <c r="AH726" s="33"/>
      <c r="AI726" s="33" t="s">
        <v>354</v>
      </c>
      <c r="AJ726" s="19"/>
      <c r="AK726" s="19"/>
      <c r="AL726" s="22" t="s">
        <v>356</v>
      </c>
      <c r="AM726" s="22" t="s">
        <v>356</v>
      </c>
      <c r="AN726" s="22" t="s">
        <v>356</v>
      </c>
    </row>
    <row r="727">
      <c r="A727" s="95" t="s">
        <v>888</v>
      </c>
      <c r="B727" s="18" t="s">
        <v>889</v>
      </c>
      <c r="C727" s="19" t="s">
        <v>256</v>
      </c>
      <c r="D727" s="20" t="s">
        <v>547</v>
      </c>
      <c r="E727" s="33" t="s">
        <v>7</v>
      </c>
      <c r="F727" s="19" t="s">
        <v>67</v>
      </c>
      <c r="G727" s="22" t="s">
        <v>354</v>
      </c>
      <c r="H727" s="22" t="s">
        <v>354</v>
      </c>
      <c r="I727" s="22" t="s">
        <v>890</v>
      </c>
      <c r="J727" s="19">
        <v>7.0</v>
      </c>
      <c r="K727" s="23">
        <v>0.0</v>
      </c>
      <c r="L727" s="41">
        <v>0.0</v>
      </c>
      <c r="M727" s="41" t="s">
        <v>354</v>
      </c>
      <c r="N727" s="101" t="s">
        <v>17</v>
      </c>
      <c r="O727" s="101" t="s">
        <v>17</v>
      </c>
      <c r="P727" s="24" t="s">
        <v>258</v>
      </c>
      <c r="Q727" s="24" t="s">
        <v>259</v>
      </c>
      <c r="R727" s="24" t="s">
        <v>260</v>
      </c>
      <c r="S727" s="44" t="s">
        <v>373</v>
      </c>
      <c r="T727" s="24" t="s">
        <v>260</v>
      </c>
      <c r="U727" s="24" t="s">
        <v>260</v>
      </c>
      <c r="V727" s="24" t="s">
        <v>260</v>
      </c>
      <c r="W727" s="18" t="s">
        <v>893</v>
      </c>
      <c r="X727" s="83" t="s">
        <v>260</v>
      </c>
      <c r="Y727" s="83" t="s">
        <v>260</v>
      </c>
      <c r="Z727" s="23"/>
      <c r="AA727" s="19"/>
      <c r="AB727" s="184" t="s">
        <v>371</v>
      </c>
      <c r="AC727" s="19"/>
      <c r="AD727" s="19"/>
      <c r="AE727" s="19"/>
      <c r="AF727" s="23">
        <v>0.0</v>
      </c>
      <c r="AG727" s="33" t="s">
        <v>354</v>
      </c>
      <c r="AH727" s="33"/>
      <c r="AI727" s="33" t="s">
        <v>354</v>
      </c>
      <c r="AJ727" s="19"/>
      <c r="AK727" s="19"/>
      <c r="AL727" s="22" t="s">
        <v>356</v>
      </c>
      <c r="AM727" s="22" t="s">
        <v>356</v>
      </c>
      <c r="AN727" s="22" t="s">
        <v>356</v>
      </c>
    </row>
    <row r="728">
      <c r="A728" s="95" t="s">
        <v>888</v>
      </c>
      <c r="B728" s="18" t="s">
        <v>889</v>
      </c>
      <c r="C728" s="19" t="s">
        <v>256</v>
      </c>
      <c r="D728" s="20" t="s">
        <v>547</v>
      </c>
      <c r="E728" s="33" t="s">
        <v>7</v>
      </c>
      <c r="F728" s="19" t="s">
        <v>67</v>
      </c>
      <c r="G728" s="22" t="s">
        <v>354</v>
      </c>
      <c r="H728" s="22" t="s">
        <v>354</v>
      </c>
      <c r="I728" s="22" t="s">
        <v>890</v>
      </c>
      <c r="J728" s="19">
        <v>7.0</v>
      </c>
      <c r="K728" s="23">
        <v>0.0</v>
      </c>
      <c r="L728" s="41">
        <v>0.0</v>
      </c>
      <c r="M728" s="41" t="s">
        <v>354</v>
      </c>
      <c r="N728" s="101" t="s">
        <v>17</v>
      </c>
      <c r="O728" s="101" t="s">
        <v>17</v>
      </c>
      <c r="P728" s="24" t="s">
        <v>258</v>
      </c>
      <c r="Q728" s="24" t="s">
        <v>259</v>
      </c>
      <c r="R728" s="24" t="s">
        <v>260</v>
      </c>
      <c r="S728" s="44" t="s">
        <v>373</v>
      </c>
      <c r="T728" s="24" t="s">
        <v>260</v>
      </c>
      <c r="U728" s="24" t="s">
        <v>260</v>
      </c>
      <c r="V728" s="24" t="s">
        <v>260</v>
      </c>
      <c r="W728" s="18" t="s">
        <v>893</v>
      </c>
      <c r="X728" s="83" t="s">
        <v>260</v>
      </c>
      <c r="Y728" s="83" t="s">
        <v>260</v>
      </c>
      <c r="Z728" s="18" t="s">
        <v>893</v>
      </c>
      <c r="AA728" s="19"/>
      <c r="AB728" s="184" t="s">
        <v>371</v>
      </c>
      <c r="AC728" s="19"/>
      <c r="AD728" s="19"/>
      <c r="AE728" s="19"/>
      <c r="AF728" s="23">
        <v>0.0</v>
      </c>
      <c r="AG728" s="23" t="s">
        <v>356</v>
      </c>
      <c r="AH728" s="19"/>
      <c r="AI728" s="23" t="s">
        <v>356</v>
      </c>
      <c r="AJ728" s="23" t="s">
        <v>356</v>
      </c>
      <c r="AK728" s="23" t="s">
        <v>356</v>
      </c>
      <c r="AL728" s="31" t="s">
        <v>356</v>
      </c>
      <c r="AM728" s="70" t="s">
        <v>361</v>
      </c>
      <c r="AN728" s="31" t="s">
        <v>356</v>
      </c>
    </row>
    <row r="729">
      <c r="A729" s="95" t="s">
        <v>888</v>
      </c>
      <c r="B729" s="18" t="s">
        <v>889</v>
      </c>
      <c r="C729" s="19" t="s">
        <v>256</v>
      </c>
      <c r="D729" s="20" t="s">
        <v>547</v>
      </c>
      <c r="E729" s="33" t="s">
        <v>7</v>
      </c>
      <c r="F729" s="19" t="s">
        <v>67</v>
      </c>
      <c r="G729" s="22" t="s">
        <v>354</v>
      </c>
      <c r="H729" s="22" t="s">
        <v>354</v>
      </c>
      <c r="I729" s="22" t="s">
        <v>890</v>
      </c>
      <c r="J729" s="19">
        <v>7.0</v>
      </c>
      <c r="K729" s="23">
        <v>0.0</v>
      </c>
      <c r="L729" s="41">
        <v>0.0</v>
      </c>
      <c r="M729" s="41" t="s">
        <v>354</v>
      </c>
      <c r="N729" s="101" t="s">
        <v>17</v>
      </c>
      <c r="O729" s="101" t="s">
        <v>17</v>
      </c>
      <c r="P729" s="24" t="s">
        <v>258</v>
      </c>
      <c r="Q729" s="24" t="s">
        <v>259</v>
      </c>
      <c r="R729" s="24" t="s">
        <v>260</v>
      </c>
      <c r="S729" s="44" t="s">
        <v>373</v>
      </c>
      <c r="T729" s="24" t="s">
        <v>260</v>
      </c>
      <c r="U729" s="24" t="s">
        <v>260</v>
      </c>
      <c r="V729" s="24" t="s">
        <v>260</v>
      </c>
      <c r="W729" s="18" t="s">
        <v>893</v>
      </c>
      <c r="X729" s="83" t="s">
        <v>260</v>
      </c>
      <c r="Y729" s="83" t="s">
        <v>260</v>
      </c>
      <c r="Z729" s="18" t="s">
        <v>893</v>
      </c>
      <c r="AA729" s="234" t="s">
        <v>260</v>
      </c>
      <c r="AB729" s="184" t="s">
        <v>371</v>
      </c>
      <c r="AC729" s="19"/>
      <c r="AD729" s="19"/>
      <c r="AE729" s="19"/>
      <c r="AF729" s="23">
        <v>0.0</v>
      </c>
      <c r="AG729" s="33" t="s">
        <v>354</v>
      </c>
      <c r="AH729" s="33"/>
      <c r="AI729" s="33" t="s">
        <v>354</v>
      </c>
      <c r="AJ729" s="19"/>
      <c r="AK729" s="19"/>
      <c r="AL729" s="22" t="s">
        <v>356</v>
      </c>
      <c r="AM729" s="22" t="s">
        <v>356</v>
      </c>
      <c r="AN729" s="43" t="s">
        <v>407</v>
      </c>
    </row>
    <row r="730">
      <c r="A730" s="121" t="s">
        <v>895</v>
      </c>
      <c r="B730" s="18" t="s">
        <v>896</v>
      </c>
      <c r="C730" s="136"/>
      <c r="D730" s="173" t="s">
        <v>736</v>
      </c>
      <c r="E730" s="124" t="s">
        <v>491</v>
      </c>
      <c r="F730" s="125" t="s">
        <v>67</v>
      </c>
      <c r="G730" s="125" t="s">
        <v>354</v>
      </c>
      <c r="H730" s="125" t="s">
        <v>354</v>
      </c>
      <c r="I730" s="125" t="s">
        <v>890</v>
      </c>
      <c r="J730" s="122"/>
      <c r="K730" s="125">
        <v>0.0</v>
      </c>
      <c r="L730" s="125">
        <v>0.0</v>
      </c>
      <c r="M730" s="125" t="s">
        <v>354</v>
      </c>
      <c r="N730" s="174" t="s">
        <v>17</v>
      </c>
      <c r="O730" s="174" t="s">
        <v>17</v>
      </c>
      <c r="P730" s="174" t="s">
        <v>17</v>
      </c>
      <c r="Q730" s="174" t="s">
        <v>17</v>
      </c>
      <c r="R730" s="174" t="s">
        <v>17</v>
      </c>
      <c r="S730" s="174" t="s">
        <v>17</v>
      </c>
      <c r="T730" s="174" t="s">
        <v>17</v>
      </c>
      <c r="U730" s="174" t="s">
        <v>17</v>
      </c>
      <c r="V730" s="174" t="s">
        <v>17</v>
      </c>
      <c r="W730" s="18" t="s">
        <v>897</v>
      </c>
      <c r="X730" s="125"/>
      <c r="Y730" s="125"/>
      <c r="Z730" s="125"/>
      <c r="AA730" s="125"/>
      <c r="AB730" s="184" t="s">
        <v>371</v>
      </c>
      <c r="AC730" s="122"/>
      <c r="AD730" s="122"/>
      <c r="AE730" s="122"/>
      <c r="AF730" s="147">
        <v>0.0</v>
      </c>
      <c r="AG730" s="147" t="s">
        <v>354</v>
      </c>
      <c r="AH730" s="147"/>
      <c r="AI730" s="147" t="s">
        <v>354</v>
      </c>
      <c r="AJ730" s="122"/>
      <c r="AK730" s="122"/>
      <c r="AL730" s="147" t="s">
        <v>356</v>
      </c>
      <c r="AM730" s="147" t="s">
        <v>356</v>
      </c>
      <c r="AN730" s="147" t="s">
        <v>356</v>
      </c>
    </row>
    <row r="731">
      <c r="A731" s="121" t="s">
        <v>895</v>
      </c>
      <c r="B731" s="18" t="s">
        <v>896</v>
      </c>
      <c r="C731" s="46"/>
      <c r="D731" s="173" t="s">
        <v>736</v>
      </c>
      <c r="E731" s="124" t="s">
        <v>37</v>
      </c>
      <c r="F731" s="125" t="s">
        <v>67</v>
      </c>
      <c r="G731" s="125" t="s">
        <v>354</v>
      </c>
      <c r="H731" s="125" t="s">
        <v>354</v>
      </c>
      <c r="I731" s="147" t="s">
        <v>890</v>
      </c>
      <c r="J731" s="122"/>
      <c r="K731" s="125">
        <v>0.0</v>
      </c>
      <c r="L731" s="41">
        <v>0.0</v>
      </c>
      <c r="M731" s="41" t="s">
        <v>354</v>
      </c>
      <c r="N731" s="174" t="s">
        <v>17</v>
      </c>
      <c r="O731" s="174" t="s">
        <v>17</v>
      </c>
      <c r="P731" s="174" t="s">
        <v>17</v>
      </c>
      <c r="Q731" s="174" t="s">
        <v>17</v>
      </c>
      <c r="R731" s="174" t="s">
        <v>17</v>
      </c>
      <c r="S731" s="174" t="s">
        <v>17</v>
      </c>
      <c r="T731" s="174" t="s">
        <v>17</v>
      </c>
      <c r="U731" s="174" t="s">
        <v>17</v>
      </c>
      <c r="V731" s="174" t="s">
        <v>17</v>
      </c>
      <c r="W731" s="18" t="s">
        <v>897</v>
      </c>
      <c r="X731" s="18" t="s">
        <v>898</v>
      </c>
      <c r="Y731" s="125"/>
      <c r="Z731" s="125"/>
      <c r="AA731" s="122"/>
      <c r="AB731" s="184" t="s">
        <v>371</v>
      </c>
      <c r="AC731" s="46"/>
      <c r="AD731" s="46"/>
      <c r="AE731" s="46"/>
      <c r="AF731" s="196">
        <v>35.99</v>
      </c>
      <c r="AG731" s="147" t="s">
        <v>354</v>
      </c>
      <c r="AH731" s="122"/>
      <c r="AI731" s="147" t="s">
        <v>354</v>
      </c>
      <c r="AJ731" s="122"/>
      <c r="AK731" s="122"/>
      <c r="AL731" s="103" t="s">
        <v>389</v>
      </c>
      <c r="AM731" s="103" t="s">
        <v>389</v>
      </c>
      <c r="AN731" s="64" t="s">
        <v>363</v>
      </c>
    </row>
    <row r="732">
      <c r="A732" s="121" t="s">
        <v>895</v>
      </c>
      <c r="B732" s="18" t="s">
        <v>896</v>
      </c>
      <c r="C732" s="46"/>
      <c r="D732" s="173" t="s">
        <v>736</v>
      </c>
      <c r="E732" s="124" t="s">
        <v>37</v>
      </c>
      <c r="F732" s="125" t="s">
        <v>67</v>
      </c>
      <c r="G732" s="125" t="s">
        <v>354</v>
      </c>
      <c r="H732" s="125" t="s">
        <v>354</v>
      </c>
      <c r="I732" s="147" t="s">
        <v>890</v>
      </c>
      <c r="J732" s="122"/>
      <c r="K732" s="125">
        <v>0.0</v>
      </c>
      <c r="L732" s="41">
        <v>0.0</v>
      </c>
      <c r="M732" s="41" t="s">
        <v>354</v>
      </c>
      <c r="N732" s="174" t="s">
        <v>17</v>
      </c>
      <c r="O732" s="174" t="s">
        <v>17</v>
      </c>
      <c r="P732" s="174" t="s">
        <v>17</v>
      </c>
      <c r="Q732" s="174" t="s">
        <v>17</v>
      </c>
      <c r="R732" s="174" t="s">
        <v>17</v>
      </c>
      <c r="S732" s="174" t="s">
        <v>17</v>
      </c>
      <c r="T732" s="174" t="s">
        <v>17</v>
      </c>
      <c r="U732" s="174" t="s">
        <v>17</v>
      </c>
      <c r="V732" s="174" t="s">
        <v>17</v>
      </c>
      <c r="W732" s="18" t="s">
        <v>897</v>
      </c>
      <c r="X732" s="18" t="s">
        <v>898</v>
      </c>
      <c r="Y732" s="18" t="s">
        <v>898</v>
      </c>
      <c r="Z732" s="125"/>
      <c r="AA732" s="122"/>
      <c r="AB732" s="184" t="s">
        <v>371</v>
      </c>
      <c r="AC732" s="46"/>
      <c r="AD732" s="46"/>
      <c r="AE732" s="46"/>
      <c r="AF732" s="147">
        <v>0.0</v>
      </c>
      <c r="AG732" s="147" t="s">
        <v>354</v>
      </c>
      <c r="AH732" s="122"/>
      <c r="AI732" s="147" t="s">
        <v>354</v>
      </c>
      <c r="AJ732" s="122"/>
      <c r="AK732" s="122"/>
      <c r="AL732" s="119" t="s">
        <v>413</v>
      </c>
      <c r="AM732" s="147" t="s">
        <v>356</v>
      </c>
      <c r="AN732" s="159" t="s">
        <v>420</v>
      </c>
    </row>
    <row r="733">
      <c r="A733" s="121" t="s">
        <v>895</v>
      </c>
      <c r="B733" s="18" t="s">
        <v>896</v>
      </c>
      <c r="C733" s="46"/>
      <c r="D733" s="173" t="s">
        <v>736</v>
      </c>
      <c r="E733" s="124" t="s">
        <v>37</v>
      </c>
      <c r="F733" s="125" t="s">
        <v>67</v>
      </c>
      <c r="G733" s="125" t="s">
        <v>354</v>
      </c>
      <c r="H733" s="125" t="s">
        <v>354</v>
      </c>
      <c r="I733" s="147" t="s">
        <v>890</v>
      </c>
      <c r="J733" s="122"/>
      <c r="K733" s="125">
        <v>0.0</v>
      </c>
      <c r="L733" s="41">
        <v>0.0</v>
      </c>
      <c r="M733" s="41" t="s">
        <v>354</v>
      </c>
      <c r="N733" s="174" t="s">
        <v>17</v>
      </c>
      <c r="O733" s="174" t="s">
        <v>17</v>
      </c>
      <c r="P733" s="174" t="s">
        <v>17</v>
      </c>
      <c r="Q733" s="174" t="s">
        <v>17</v>
      </c>
      <c r="R733" s="174" t="s">
        <v>17</v>
      </c>
      <c r="S733" s="174" t="s">
        <v>17</v>
      </c>
      <c r="T733" s="174" t="s">
        <v>17</v>
      </c>
      <c r="U733" s="174" t="s">
        <v>17</v>
      </c>
      <c r="V733" s="174" t="s">
        <v>17</v>
      </c>
      <c r="W733" s="18" t="s">
        <v>897</v>
      </c>
      <c r="X733" s="18" t="s">
        <v>898</v>
      </c>
      <c r="Y733" s="18" t="s">
        <v>898</v>
      </c>
      <c r="Z733" s="18" t="s">
        <v>898</v>
      </c>
      <c r="AA733" s="122"/>
      <c r="AB733" s="184" t="s">
        <v>371</v>
      </c>
      <c r="AC733" s="46"/>
      <c r="AD733" s="46"/>
      <c r="AE733" s="46"/>
      <c r="AF733" s="147">
        <v>0.0</v>
      </c>
      <c r="AG733" s="147" t="s">
        <v>354</v>
      </c>
      <c r="AH733" s="122"/>
      <c r="AI733" s="147" t="s">
        <v>354</v>
      </c>
      <c r="AJ733" s="122"/>
      <c r="AK733" s="122"/>
      <c r="AL733" s="198" t="s">
        <v>356</v>
      </c>
      <c r="AM733" s="127" t="s">
        <v>356</v>
      </c>
      <c r="AN733" s="109" t="s">
        <v>420</v>
      </c>
    </row>
    <row r="734">
      <c r="A734" s="121" t="s">
        <v>895</v>
      </c>
      <c r="B734" s="18" t="s">
        <v>896</v>
      </c>
      <c r="C734" s="46"/>
      <c r="D734" s="173" t="s">
        <v>736</v>
      </c>
      <c r="E734" s="124" t="s">
        <v>37</v>
      </c>
      <c r="F734" s="125" t="s">
        <v>67</v>
      </c>
      <c r="G734" s="125" t="s">
        <v>354</v>
      </c>
      <c r="H734" s="125" t="s">
        <v>354</v>
      </c>
      <c r="I734" s="147" t="s">
        <v>890</v>
      </c>
      <c r="J734" s="122"/>
      <c r="K734" s="125">
        <v>0.0</v>
      </c>
      <c r="L734" s="41">
        <v>0.0</v>
      </c>
      <c r="M734" s="41" t="s">
        <v>354</v>
      </c>
      <c r="N734" s="174" t="s">
        <v>17</v>
      </c>
      <c r="O734" s="174" t="s">
        <v>17</v>
      </c>
      <c r="P734" s="174" t="s">
        <v>17</v>
      </c>
      <c r="Q734" s="174" t="s">
        <v>17</v>
      </c>
      <c r="R734" s="174" t="s">
        <v>17</v>
      </c>
      <c r="S734" s="174" t="s">
        <v>17</v>
      </c>
      <c r="T734" s="174" t="s">
        <v>17</v>
      </c>
      <c r="U734" s="174" t="s">
        <v>17</v>
      </c>
      <c r="V734" s="174" t="s">
        <v>17</v>
      </c>
      <c r="W734" s="18" t="s">
        <v>897</v>
      </c>
      <c r="X734" s="18" t="s">
        <v>898</v>
      </c>
      <c r="Y734" s="18" t="s">
        <v>898</v>
      </c>
      <c r="Z734" s="18" t="s">
        <v>898</v>
      </c>
      <c r="AA734" s="18" t="s">
        <v>898</v>
      </c>
      <c r="AB734" s="184" t="s">
        <v>371</v>
      </c>
      <c r="AC734" s="46"/>
      <c r="AD734" s="46"/>
      <c r="AE734" s="46"/>
      <c r="AF734" s="131">
        <v>30.6608343659729</v>
      </c>
      <c r="AG734" s="147" t="s">
        <v>354</v>
      </c>
      <c r="AH734" s="122"/>
      <c r="AI734" s="147" t="s">
        <v>354</v>
      </c>
      <c r="AJ734" s="122"/>
      <c r="AK734" s="122"/>
      <c r="AL734" s="119" t="s">
        <v>413</v>
      </c>
      <c r="AM734" s="119" t="s">
        <v>413</v>
      </c>
      <c r="AN734" s="119" t="s">
        <v>413</v>
      </c>
    </row>
    <row r="735">
      <c r="A735" s="85" t="s">
        <v>899</v>
      </c>
      <c r="B735" s="18" t="s">
        <v>900</v>
      </c>
      <c r="C735" s="46" t="s">
        <v>261</v>
      </c>
      <c r="D735" s="47" t="s">
        <v>547</v>
      </c>
      <c r="E735" s="48" t="s">
        <v>7</v>
      </c>
      <c r="F735" s="46" t="s">
        <v>67</v>
      </c>
      <c r="G735" s="49">
        <v>124.0</v>
      </c>
      <c r="H735" s="49">
        <v>295.0</v>
      </c>
      <c r="I735" s="49" t="s">
        <v>354</v>
      </c>
      <c r="J735" s="46">
        <v>100.0</v>
      </c>
      <c r="K735" s="49">
        <v>1.0</v>
      </c>
      <c r="L735" s="49">
        <v>0.0</v>
      </c>
      <c r="M735" s="49" t="s">
        <v>354</v>
      </c>
      <c r="N735" s="101" t="s">
        <v>17</v>
      </c>
      <c r="O735" s="101" t="s">
        <v>17</v>
      </c>
      <c r="P735" s="24" t="s">
        <v>263</v>
      </c>
      <c r="Q735" s="46"/>
      <c r="R735" s="46"/>
      <c r="S735" s="46"/>
      <c r="T735" s="46"/>
      <c r="U735" s="46"/>
      <c r="V735" s="46"/>
      <c r="W735" s="46"/>
      <c r="X735" s="46"/>
      <c r="Y735" s="46"/>
      <c r="Z735" s="46"/>
      <c r="AA735" s="46"/>
      <c r="AB735" s="57" t="s">
        <v>354</v>
      </c>
      <c r="AC735" s="46">
        <v>36494.0</v>
      </c>
      <c r="AD735" s="46"/>
      <c r="AE735" s="46"/>
      <c r="AF735" s="49">
        <v>0.0</v>
      </c>
      <c r="AG735" s="49" t="s">
        <v>356</v>
      </c>
      <c r="AH735" s="46"/>
      <c r="AI735" s="49" t="s">
        <v>356</v>
      </c>
      <c r="AJ735" s="46"/>
      <c r="AK735" s="46"/>
      <c r="AL735" s="49" t="s">
        <v>356</v>
      </c>
      <c r="AM735" s="49" t="s">
        <v>356</v>
      </c>
      <c r="AN735" s="49" t="s">
        <v>356</v>
      </c>
    </row>
    <row r="736">
      <c r="A736" s="85" t="s">
        <v>899</v>
      </c>
      <c r="B736" s="18" t="s">
        <v>900</v>
      </c>
      <c r="C736" s="46" t="s">
        <v>261</v>
      </c>
      <c r="D736" s="47" t="s">
        <v>547</v>
      </c>
      <c r="E736" s="48" t="s">
        <v>7</v>
      </c>
      <c r="F736" s="46" t="s">
        <v>67</v>
      </c>
      <c r="G736" s="49">
        <v>123.0</v>
      </c>
      <c r="H736" s="49">
        <v>240.0</v>
      </c>
      <c r="I736" s="49" t="s">
        <v>354</v>
      </c>
      <c r="J736" s="46">
        <v>50.0</v>
      </c>
      <c r="K736" s="49">
        <v>1.0</v>
      </c>
      <c r="L736" s="49">
        <v>1.0</v>
      </c>
      <c r="M736" s="49" t="s">
        <v>354</v>
      </c>
      <c r="N736" s="101" t="s">
        <v>17</v>
      </c>
      <c r="O736" s="101" t="s">
        <v>17</v>
      </c>
      <c r="P736" s="24" t="s">
        <v>263</v>
      </c>
      <c r="Q736" s="24" t="s">
        <v>262</v>
      </c>
      <c r="R736" s="46"/>
      <c r="S736" s="46"/>
      <c r="T736" s="46"/>
      <c r="U736" s="46"/>
      <c r="V736" s="46"/>
      <c r="W736" s="46"/>
      <c r="X736" s="46"/>
      <c r="Y736" s="46"/>
      <c r="Z736" s="46"/>
      <c r="AA736" s="46"/>
      <c r="AB736" s="49" t="s">
        <v>901</v>
      </c>
      <c r="AC736" s="46">
        <v>36640.0</v>
      </c>
      <c r="AD736" s="46"/>
      <c r="AE736" s="46"/>
      <c r="AF736" s="49">
        <v>0.0</v>
      </c>
      <c r="AG736" s="49" t="s">
        <v>356</v>
      </c>
      <c r="AH736" s="46"/>
      <c r="AI736" s="49" t="s">
        <v>356</v>
      </c>
      <c r="AJ736" s="46"/>
      <c r="AK736" s="46"/>
      <c r="AL736" s="49" t="s">
        <v>356</v>
      </c>
      <c r="AM736" s="114" t="s">
        <v>413</v>
      </c>
      <c r="AN736" s="49" t="s">
        <v>356</v>
      </c>
    </row>
    <row r="737">
      <c r="A737" s="85" t="s">
        <v>899</v>
      </c>
      <c r="B737" s="18" t="s">
        <v>900</v>
      </c>
      <c r="C737" s="46" t="s">
        <v>261</v>
      </c>
      <c r="D737" s="47" t="s">
        <v>547</v>
      </c>
      <c r="E737" s="48" t="s">
        <v>7</v>
      </c>
      <c r="F737" s="46" t="s">
        <v>67</v>
      </c>
      <c r="G737" s="49" t="s">
        <v>354</v>
      </c>
      <c r="H737" s="49">
        <v>185.0</v>
      </c>
      <c r="I737" s="49" t="s">
        <v>354</v>
      </c>
      <c r="J737" s="46">
        <v>50.0</v>
      </c>
      <c r="K737" s="49">
        <v>0.0</v>
      </c>
      <c r="L737" s="49">
        <v>0.0</v>
      </c>
      <c r="M737" s="49" t="s">
        <v>354</v>
      </c>
      <c r="N737" s="101" t="s">
        <v>17</v>
      </c>
      <c r="O737" s="101" t="s">
        <v>17</v>
      </c>
      <c r="P737" s="24" t="s">
        <v>263</v>
      </c>
      <c r="Q737" s="24" t="s">
        <v>262</v>
      </c>
      <c r="R737" s="24" t="s">
        <v>262</v>
      </c>
      <c r="S737" s="46"/>
      <c r="T737" s="46"/>
      <c r="U737" s="46"/>
      <c r="V737" s="46"/>
      <c r="W737" s="46"/>
      <c r="X737" s="46"/>
      <c r="Y737" s="46"/>
      <c r="Z737" s="46"/>
      <c r="AA737" s="46"/>
      <c r="AB737" s="49" t="s">
        <v>902</v>
      </c>
      <c r="AC737" s="46"/>
      <c r="AD737" s="46"/>
      <c r="AE737" s="46"/>
      <c r="AF737" s="49">
        <v>0.0</v>
      </c>
      <c r="AG737" s="49" t="s">
        <v>356</v>
      </c>
      <c r="AH737" s="46"/>
      <c r="AI737" s="49" t="s">
        <v>356</v>
      </c>
      <c r="AJ737" s="46"/>
      <c r="AK737" s="46"/>
      <c r="AL737" s="49" t="s">
        <v>356</v>
      </c>
      <c r="AM737" s="49" t="s">
        <v>356</v>
      </c>
      <c r="AN737" s="49" t="s">
        <v>356</v>
      </c>
    </row>
    <row r="738">
      <c r="A738" s="85" t="s">
        <v>899</v>
      </c>
      <c r="B738" s="18" t="s">
        <v>900</v>
      </c>
      <c r="C738" s="46" t="s">
        <v>261</v>
      </c>
      <c r="D738" s="47" t="s">
        <v>547</v>
      </c>
      <c r="E738" s="48" t="s">
        <v>7</v>
      </c>
      <c r="F738" s="46" t="s">
        <v>67</v>
      </c>
      <c r="G738" s="49" t="s">
        <v>354</v>
      </c>
      <c r="H738" s="49" t="s">
        <v>354</v>
      </c>
      <c r="I738" s="49" t="s">
        <v>354</v>
      </c>
      <c r="J738" s="46">
        <v>52.0</v>
      </c>
      <c r="K738" s="49">
        <v>0.0</v>
      </c>
      <c r="L738" s="57">
        <v>0.0</v>
      </c>
      <c r="M738" s="57" t="s">
        <v>354</v>
      </c>
      <c r="N738" s="101" t="s">
        <v>17</v>
      </c>
      <c r="O738" s="101" t="s">
        <v>17</v>
      </c>
      <c r="P738" s="24" t="s">
        <v>263</v>
      </c>
      <c r="Q738" s="24" t="s">
        <v>262</v>
      </c>
      <c r="R738" s="24" t="s">
        <v>262</v>
      </c>
      <c r="S738" s="44" t="s">
        <v>373</v>
      </c>
      <c r="T738" s="24" t="s">
        <v>262</v>
      </c>
      <c r="U738" s="46"/>
      <c r="V738" s="46"/>
      <c r="W738" s="46"/>
      <c r="X738" s="46"/>
      <c r="Y738" s="46"/>
      <c r="Z738" s="46"/>
      <c r="AA738" s="46"/>
      <c r="AB738" s="57" t="s">
        <v>354</v>
      </c>
      <c r="AC738" s="46"/>
      <c r="AD738" s="46"/>
      <c r="AE738" s="46"/>
      <c r="AF738" s="49">
        <v>0.0</v>
      </c>
      <c r="AG738" s="49" t="s">
        <v>354</v>
      </c>
      <c r="AH738" s="46"/>
      <c r="AI738" s="49" t="s">
        <v>354</v>
      </c>
      <c r="AJ738" s="46"/>
      <c r="AK738" s="46"/>
      <c r="AL738" s="79" t="s">
        <v>361</v>
      </c>
      <c r="AM738" s="80" t="s">
        <v>356</v>
      </c>
      <c r="AN738" s="80" t="s">
        <v>356</v>
      </c>
    </row>
    <row r="739">
      <c r="A739" s="85" t="s">
        <v>899</v>
      </c>
      <c r="B739" s="18" t="s">
        <v>900</v>
      </c>
      <c r="C739" s="46" t="s">
        <v>261</v>
      </c>
      <c r="D739" s="47" t="s">
        <v>547</v>
      </c>
      <c r="E739" s="48" t="s">
        <v>7</v>
      </c>
      <c r="F739" s="46" t="s">
        <v>67</v>
      </c>
      <c r="G739" s="49" t="s">
        <v>354</v>
      </c>
      <c r="H739" s="49">
        <v>210.0</v>
      </c>
      <c r="I739" s="49" t="s">
        <v>354</v>
      </c>
      <c r="J739" s="46">
        <v>49.0</v>
      </c>
      <c r="K739" s="49">
        <v>1.0</v>
      </c>
      <c r="L739" s="49">
        <v>0.0</v>
      </c>
      <c r="M739" s="49" t="s">
        <v>354</v>
      </c>
      <c r="N739" s="101" t="s">
        <v>17</v>
      </c>
      <c r="O739" s="101" t="s">
        <v>17</v>
      </c>
      <c r="P739" s="24" t="s">
        <v>263</v>
      </c>
      <c r="Q739" s="24" t="s">
        <v>262</v>
      </c>
      <c r="R739" s="24" t="s">
        <v>262</v>
      </c>
      <c r="S739" s="44" t="s">
        <v>373</v>
      </c>
      <c r="T739" s="24" t="s">
        <v>262</v>
      </c>
      <c r="U739" s="24" t="s">
        <v>262</v>
      </c>
      <c r="V739" s="46"/>
      <c r="W739" s="46"/>
      <c r="X739" s="46"/>
      <c r="Y739" s="46"/>
      <c r="Z739" s="46"/>
      <c r="AA739" s="46"/>
      <c r="AB739" s="57" t="s">
        <v>354</v>
      </c>
      <c r="AC739" s="46"/>
      <c r="AD739" s="46"/>
      <c r="AE739" s="46"/>
      <c r="AF739" s="49">
        <v>0.0</v>
      </c>
      <c r="AG739" s="49" t="s">
        <v>354</v>
      </c>
      <c r="AH739" s="46"/>
      <c r="AI739" s="49" t="s">
        <v>354</v>
      </c>
      <c r="AJ739" s="46"/>
      <c r="AK739" s="46"/>
      <c r="AL739" s="80" t="s">
        <v>356</v>
      </c>
      <c r="AM739" s="80" t="s">
        <v>356</v>
      </c>
      <c r="AN739" s="80" t="s">
        <v>356</v>
      </c>
    </row>
    <row r="740">
      <c r="A740" s="85" t="s">
        <v>899</v>
      </c>
      <c r="B740" s="18" t="s">
        <v>900</v>
      </c>
      <c r="C740" s="46" t="s">
        <v>261</v>
      </c>
      <c r="D740" s="47" t="s">
        <v>547</v>
      </c>
      <c r="E740" s="48" t="s">
        <v>7</v>
      </c>
      <c r="F740" s="46" t="s">
        <v>67</v>
      </c>
      <c r="G740" s="49" t="s">
        <v>354</v>
      </c>
      <c r="H740" s="49">
        <v>240.0</v>
      </c>
      <c r="I740" s="49" t="s">
        <v>354</v>
      </c>
      <c r="J740" s="46">
        <v>49.0</v>
      </c>
      <c r="K740" s="49">
        <v>1.0</v>
      </c>
      <c r="L740" s="49">
        <v>0.0</v>
      </c>
      <c r="M740" s="49" t="s">
        <v>354</v>
      </c>
      <c r="N740" s="101" t="s">
        <v>17</v>
      </c>
      <c r="O740" s="101" t="s">
        <v>17</v>
      </c>
      <c r="P740" s="24" t="s">
        <v>263</v>
      </c>
      <c r="Q740" s="24" t="s">
        <v>262</v>
      </c>
      <c r="R740" s="24" t="s">
        <v>262</v>
      </c>
      <c r="S740" s="44" t="s">
        <v>373</v>
      </c>
      <c r="T740" s="24" t="s">
        <v>262</v>
      </c>
      <c r="U740" s="24" t="s">
        <v>262</v>
      </c>
      <c r="V740" s="24" t="s">
        <v>262</v>
      </c>
      <c r="W740" s="49"/>
      <c r="X740" s="49"/>
      <c r="Y740" s="49"/>
      <c r="Z740" s="49"/>
      <c r="AA740" s="46"/>
      <c r="AB740" s="57" t="s">
        <v>354</v>
      </c>
      <c r="AC740" s="46"/>
      <c r="AD740" s="46"/>
      <c r="AE740" s="46"/>
      <c r="AF740" s="49">
        <v>0.0</v>
      </c>
      <c r="AG740" s="49" t="s">
        <v>354</v>
      </c>
      <c r="AH740" s="46"/>
      <c r="AI740" s="49" t="s">
        <v>354</v>
      </c>
      <c r="AJ740" s="46"/>
      <c r="AK740" s="46"/>
      <c r="AL740" s="80" t="s">
        <v>356</v>
      </c>
      <c r="AM740" s="80" t="s">
        <v>356</v>
      </c>
      <c r="AN740" s="80" t="s">
        <v>356</v>
      </c>
    </row>
    <row r="741">
      <c r="A741" s="85" t="s">
        <v>899</v>
      </c>
      <c r="B741" s="18" t="s">
        <v>900</v>
      </c>
      <c r="C741" s="46" t="s">
        <v>261</v>
      </c>
      <c r="D741" s="47" t="s">
        <v>547</v>
      </c>
      <c r="E741" s="48" t="s">
        <v>7</v>
      </c>
      <c r="F741" s="46" t="s">
        <v>67</v>
      </c>
      <c r="G741" s="49">
        <v>121.0</v>
      </c>
      <c r="H741" s="49">
        <v>205.0</v>
      </c>
      <c r="I741" s="49" t="s">
        <v>354</v>
      </c>
      <c r="J741" s="46">
        <v>49.0</v>
      </c>
      <c r="K741" s="49">
        <v>0.0</v>
      </c>
      <c r="L741" s="49">
        <v>0.0</v>
      </c>
      <c r="M741" s="49" t="s">
        <v>354</v>
      </c>
      <c r="N741" s="101" t="s">
        <v>17</v>
      </c>
      <c r="O741" s="101" t="s">
        <v>17</v>
      </c>
      <c r="P741" s="24" t="s">
        <v>263</v>
      </c>
      <c r="Q741" s="24" t="s">
        <v>262</v>
      </c>
      <c r="R741" s="24" t="s">
        <v>262</v>
      </c>
      <c r="S741" s="44" t="s">
        <v>373</v>
      </c>
      <c r="T741" s="24" t="s">
        <v>262</v>
      </c>
      <c r="U741" s="24" t="s">
        <v>262</v>
      </c>
      <c r="V741" s="24" t="s">
        <v>262</v>
      </c>
      <c r="W741" s="18" t="s">
        <v>903</v>
      </c>
      <c r="X741" s="49"/>
      <c r="Y741" s="49"/>
      <c r="Z741" s="49"/>
      <c r="AA741" s="46"/>
      <c r="AB741" s="184" t="s">
        <v>371</v>
      </c>
      <c r="AC741" s="46"/>
      <c r="AD741" s="46"/>
      <c r="AE741" s="46"/>
      <c r="AF741" s="49">
        <v>0.0</v>
      </c>
      <c r="AG741" s="49" t="s">
        <v>354</v>
      </c>
      <c r="AH741" s="46"/>
      <c r="AI741" s="49" t="s">
        <v>354</v>
      </c>
      <c r="AJ741" s="46"/>
      <c r="AK741" s="46"/>
      <c r="AL741" s="79" t="s">
        <v>361</v>
      </c>
      <c r="AM741" s="80" t="s">
        <v>356</v>
      </c>
      <c r="AN741" s="80" t="s">
        <v>356</v>
      </c>
    </row>
    <row r="742">
      <c r="A742" s="85" t="s">
        <v>899</v>
      </c>
      <c r="B742" s="18" t="s">
        <v>900</v>
      </c>
      <c r="C742" s="46" t="s">
        <v>261</v>
      </c>
      <c r="D742" s="47" t="s">
        <v>547</v>
      </c>
      <c r="E742" s="48" t="s">
        <v>7</v>
      </c>
      <c r="F742" s="46" t="s">
        <v>67</v>
      </c>
      <c r="G742" s="57" t="s">
        <v>354</v>
      </c>
      <c r="H742" s="57" t="s">
        <v>354</v>
      </c>
      <c r="I742" s="57" t="s">
        <v>354</v>
      </c>
      <c r="J742" s="46">
        <v>49.0</v>
      </c>
      <c r="K742" s="49">
        <v>1.0</v>
      </c>
      <c r="L742" s="41">
        <v>0.0</v>
      </c>
      <c r="M742" s="41" t="s">
        <v>354</v>
      </c>
      <c r="N742" s="101" t="s">
        <v>17</v>
      </c>
      <c r="O742" s="101" t="s">
        <v>17</v>
      </c>
      <c r="P742" s="24" t="s">
        <v>263</v>
      </c>
      <c r="Q742" s="24" t="s">
        <v>262</v>
      </c>
      <c r="R742" s="24" t="s">
        <v>262</v>
      </c>
      <c r="S742" s="44" t="s">
        <v>373</v>
      </c>
      <c r="T742" s="24" t="s">
        <v>262</v>
      </c>
      <c r="U742" s="24" t="s">
        <v>262</v>
      </c>
      <c r="V742" s="24" t="s">
        <v>262</v>
      </c>
      <c r="W742" s="18" t="s">
        <v>903</v>
      </c>
      <c r="X742" s="18">
        <v>3913.0</v>
      </c>
      <c r="Y742" s="49"/>
      <c r="Z742" s="49"/>
      <c r="AA742" s="46"/>
      <c r="AB742" s="184" t="s">
        <v>371</v>
      </c>
      <c r="AC742" s="46"/>
      <c r="AD742" s="46"/>
      <c r="AE742" s="46"/>
      <c r="AF742" s="49">
        <v>0.0</v>
      </c>
      <c r="AG742" s="49" t="s">
        <v>354</v>
      </c>
      <c r="AH742" s="46"/>
      <c r="AI742" s="49" t="s">
        <v>354</v>
      </c>
      <c r="AJ742" s="46"/>
      <c r="AK742" s="46"/>
      <c r="AL742" s="80" t="s">
        <v>356</v>
      </c>
      <c r="AM742" s="80" t="s">
        <v>356</v>
      </c>
      <c r="AN742" s="80" t="s">
        <v>356</v>
      </c>
    </row>
    <row r="743">
      <c r="A743" s="85" t="s">
        <v>899</v>
      </c>
      <c r="B743" s="18" t="s">
        <v>900</v>
      </c>
      <c r="C743" s="46" t="s">
        <v>261</v>
      </c>
      <c r="D743" s="47" t="s">
        <v>547</v>
      </c>
      <c r="E743" s="48" t="s">
        <v>7</v>
      </c>
      <c r="F743" s="46" t="s">
        <v>67</v>
      </c>
      <c r="G743" s="57" t="s">
        <v>354</v>
      </c>
      <c r="H743" s="57" t="s">
        <v>354</v>
      </c>
      <c r="I743" s="57" t="s">
        <v>354</v>
      </c>
      <c r="J743" s="46">
        <v>49.0</v>
      </c>
      <c r="K743" s="49">
        <v>1.0</v>
      </c>
      <c r="L743" s="41">
        <v>0.0</v>
      </c>
      <c r="M743" s="41" t="s">
        <v>354</v>
      </c>
      <c r="N743" s="101" t="s">
        <v>17</v>
      </c>
      <c r="O743" s="101" t="s">
        <v>17</v>
      </c>
      <c r="P743" s="24" t="s">
        <v>263</v>
      </c>
      <c r="Q743" s="24" t="s">
        <v>262</v>
      </c>
      <c r="R743" s="24" t="s">
        <v>262</v>
      </c>
      <c r="S743" s="44" t="s">
        <v>373</v>
      </c>
      <c r="T743" s="24" t="s">
        <v>262</v>
      </c>
      <c r="U743" s="24" t="s">
        <v>262</v>
      </c>
      <c r="V743" s="24" t="s">
        <v>262</v>
      </c>
      <c r="W743" s="18" t="s">
        <v>903</v>
      </c>
      <c r="X743" s="18">
        <v>3913.0</v>
      </c>
      <c r="Y743" s="18" t="s">
        <v>904</v>
      </c>
      <c r="Z743" s="49"/>
      <c r="AA743" s="46"/>
      <c r="AB743" s="184" t="s">
        <v>371</v>
      </c>
      <c r="AC743" s="46"/>
      <c r="AD743" s="46"/>
      <c r="AE743" s="46"/>
      <c r="AF743" s="49">
        <v>0.0</v>
      </c>
      <c r="AG743" s="49" t="s">
        <v>354</v>
      </c>
      <c r="AH743" s="46"/>
      <c r="AI743" s="49" t="s">
        <v>354</v>
      </c>
      <c r="AJ743" s="46"/>
      <c r="AK743" s="46"/>
      <c r="AL743" s="80" t="s">
        <v>356</v>
      </c>
      <c r="AM743" s="80" t="s">
        <v>356</v>
      </c>
      <c r="AN743" s="80" t="s">
        <v>356</v>
      </c>
    </row>
    <row r="744">
      <c r="A744" s="85" t="s">
        <v>899</v>
      </c>
      <c r="B744" s="18" t="s">
        <v>900</v>
      </c>
      <c r="C744" s="46" t="s">
        <v>261</v>
      </c>
      <c r="D744" s="47" t="s">
        <v>547</v>
      </c>
      <c r="E744" s="48" t="s">
        <v>7</v>
      </c>
      <c r="F744" s="46" t="s">
        <v>67</v>
      </c>
      <c r="G744" s="57" t="s">
        <v>354</v>
      </c>
      <c r="H744" s="57" t="s">
        <v>354</v>
      </c>
      <c r="I744" s="57" t="s">
        <v>354</v>
      </c>
      <c r="J744" s="46">
        <v>49.0</v>
      </c>
      <c r="K744" s="49">
        <v>1.0</v>
      </c>
      <c r="L744" s="41">
        <v>0.0</v>
      </c>
      <c r="M744" s="41" t="s">
        <v>354</v>
      </c>
      <c r="N744" s="101" t="s">
        <v>17</v>
      </c>
      <c r="O744" s="101" t="s">
        <v>17</v>
      </c>
      <c r="P744" s="24" t="s">
        <v>263</v>
      </c>
      <c r="Q744" s="24" t="s">
        <v>262</v>
      </c>
      <c r="R744" s="24" t="s">
        <v>262</v>
      </c>
      <c r="S744" s="44" t="s">
        <v>373</v>
      </c>
      <c r="T744" s="24" t="s">
        <v>262</v>
      </c>
      <c r="U744" s="24" t="s">
        <v>262</v>
      </c>
      <c r="V744" s="24" t="s">
        <v>262</v>
      </c>
      <c r="W744" s="18" t="s">
        <v>903</v>
      </c>
      <c r="X744" s="18">
        <v>3913.0</v>
      </c>
      <c r="Y744" s="18" t="s">
        <v>904</v>
      </c>
      <c r="Z744" s="18" t="s">
        <v>905</v>
      </c>
      <c r="AA744" s="46"/>
      <c r="AB744" s="184" t="s">
        <v>371</v>
      </c>
      <c r="AC744" s="46"/>
      <c r="AD744" s="46"/>
      <c r="AE744" s="46"/>
      <c r="AF744" s="49">
        <v>0.0</v>
      </c>
      <c r="AG744" s="235" t="s">
        <v>356</v>
      </c>
      <c r="AH744" s="46"/>
      <c r="AI744" s="235" t="s">
        <v>356</v>
      </c>
      <c r="AJ744" s="49" t="s">
        <v>356</v>
      </c>
      <c r="AK744" s="49" t="s">
        <v>356</v>
      </c>
      <c r="AL744" s="49" t="s">
        <v>356</v>
      </c>
      <c r="AM744" s="49" t="s">
        <v>356</v>
      </c>
      <c r="AN744" s="49" t="s">
        <v>356</v>
      </c>
    </row>
    <row r="745">
      <c r="A745" s="85" t="s">
        <v>899</v>
      </c>
      <c r="B745" s="18" t="s">
        <v>900</v>
      </c>
      <c r="C745" s="46" t="s">
        <v>261</v>
      </c>
      <c r="D745" s="47" t="s">
        <v>547</v>
      </c>
      <c r="E745" s="48" t="s">
        <v>7</v>
      </c>
      <c r="F745" s="46" t="s">
        <v>67</v>
      </c>
      <c r="G745" s="57" t="s">
        <v>354</v>
      </c>
      <c r="H745" s="57" t="s">
        <v>354</v>
      </c>
      <c r="I745" s="57" t="s">
        <v>354</v>
      </c>
      <c r="J745" s="46">
        <v>49.0</v>
      </c>
      <c r="K745" s="49">
        <v>1.0</v>
      </c>
      <c r="L745" s="41">
        <v>0.0</v>
      </c>
      <c r="M745" s="41" t="s">
        <v>354</v>
      </c>
      <c r="N745" s="101" t="s">
        <v>17</v>
      </c>
      <c r="O745" s="101" t="s">
        <v>17</v>
      </c>
      <c r="P745" s="24" t="s">
        <v>263</v>
      </c>
      <c r="Q745" s="24" t="s">
        <v>262</v>
      </c>
      <c r="R745" s="24" t="s">
        <v>262</v>
      </c>
      <c r="S745" s="44" t="s">
        <v>373</v>
      </c>
      <c r="T745" s="24" t="s">
        <v>262</v>
      </c>
      <c r="U745" s="24" t="s">
        <v>262</v>
      </c>
      <c r="V745" s="24" t="s">
        <v>262</v>
      </c>
      <c r="W745" s="18" t="s">
        <v>903</v>
      </c>
      <c r="X745" s="18">
        <v>3913.0</v>
      </c>
      <c r="Y745" s="18" t="s">
        <v>904</v>
      </c>
      <c r="Z745" s="18" t="s">
        <v>905</v>
      </c>
      <c r="AA745" s="18" t="s">
        <v>904</v>
      </c>
      <c r="AB745" s="184" t="s">
        <v>371</v>
      </c>
      <c r="AC745" s="46"/>
      <c r="AD745" s="46"/>
      <c r="AE745" s="46"/>
      <c r="AF745" s="49">
        <v>0.0</v>
      </c>
      <c r="AG745" s="49" t="s">
        <v>354</v>
      </c>
      <c r="AH745" s="46"/>
      <c r="AI745" s="49" t="s">
        <v>354</v>
      </c>
      <c r="AJ745" s="46"/>
      <c r="AK745" s="46"/>
      <c r="AL745" s="80" t="s">
        <v>356</v>
      </c>
      <c r="AM745" s="80" t="s">
        <v>356</v>
      </c>
      <c r="AN745" s="80" t="s">
        <v>356</v>
      </c>
    </row>
    <row r="746">
      <c r="A746" s="95" t="s">
        <v>906</v>
      </c>
      <c r="B746" s="18" t="s">
        <v>907</v>
      </c>
      <c r="C746" s="19" t="s">
        <v>264</v>
      </c>
      <c r="D746" s="20" t="s">
        <v>547</v>
      </c>
      <c r="E746" s="21" t="s">
        <v>7</v>
      </c>
      <c r="F746" s="19" t="s">
        <v>67</v>
      </c>
      <c r="G746" s="23" t="s">
        <v>354</v>
      </c>
      <c r="H746" s="23">
        <v>290.0</v>
      </c>
      <c r="I746" s="23" t="s">
        <v>354</v>
      </c>
      <c r="J746" s="19">
        <v>101.0</v>
      </c>
      <c r="K746" s="23">
        <v>1.0</v>
      </c>
      <c r="L746" s="23">
        <v>0.0</v>
      </c>
      <c r="M746" s="23" t="s">
        <v>354</v>
      </c>
      <c r="N746" s="101" t="s">
        <v>17</v>
      </c>
      <c r="O746" s="101" t="s">
        <v>17</v>
      </c>
      <c r="P746" s="24" t="s">
        <v>266</v>
      </c>
      <c r="Q746" s="19"/>
      <c r="R746" s="19"/>
      <c r="S746" s="19"/>
      <c r="T746" s="19"/>
      <c r="U746" s="19"/>
      <c r="V746" s="19"/>
      <c r="W746" s="19"/>
      <c r="X746" s="19"/>
      <c r="Y746" s="19"/>
      <c r="Z746" s="19"/>
      <c r="AA746" s="19"/>
      <c r="AB746" s="22" t="s">
        <v>354</v>
      </c>
      <c r="AC746" s="19">
        <v>36495.0</v>
      </c>
      <c r="AD746" s="19"/>
      <c r="AE746" s="19"/>
      <c r="AF746" s="23">
        <v>0.0</v>
      </c>
      <c r="AG746" s="23" t="s">
        <v>356</v>
      </c>
      <c r="AH746" s="19"/>
      <c r="AI746" s="23" t="s">
        <v>356</v>
      </c>
      <c r="AJ746" s="19"/>
      <c r="AK746" s="19"/>
      <c r="AL746" s="23" t="s">
        <v>356</v>
      </c>
      <c r="AM746" s="23" t="s">
        <v>356</v>
      </c>
      <c r="AN746" s="23" t="s">
        <v>356</v>
      </c>
    </row>
    <row r="747">
      <c r="A747" s="95" t="s">
        <v>906</v>
      </c>
      <c r="B747" s="18" t="s">
        <v>907</v>
      </c>
      <c r="C747" s="19" t="s">
        <v>264</v>
      </c>
      <c r="D747" s="20" t="s">
        <v>547</v>
      </c>
      <c r="E747" s="21" t="s">
        <v>7</v>
      </c>
      <c r="F747" s="19" t="s">
        <v>67</v>
      </c>
      <c r="G747" s="23" t="s">
        <v>354</v>
      </c>
      <c r="H747" s="23">
        <v>270.0</v>
      </c>
      <c r="I747" s="23" t="s">
        <v>354</v>
      </c>
      <c r="J747" s="19">
        <v>51.0</v>
      </c>
      <c r="K747" s="23">
        <v>1.0</v>
      </c>
      <c r="L747" s="23">
        <v>1.0</v>
      </c>
      <c r="M747" s="23" t="s">
        <v>354</v>
      </c>
      <c r="N747" s="101" t="s">
        <v>17</v>
      </c>
      <c r="O747" s="101" t="s">
        <v>17</v>
      </c>
      <c r="P747" s="24" t="s">
        <v>266</v>
      </c>
      <c r="Q747" s="24" t="s">
        <v>265</v>
      </c>
      <c r="R747" s="19"/>
      <c r="S747" s="19"/>
      <c r="T747" s="19"/>
      <c r="U747" s="19"/>
      <c r="V747" s="19"/>
      <c r="W747" s="19"/>
      <c r="X747" s="19"/>
      <c r="Y747" s="19"/>
      <c r="Z747" s="19"/>
      <c r="AA747" s="19"/>
      <c r="AB747" s="23" t="s">
        <v>908</v>
      </c>
      <c r="AC747" s="19">
        <v>36641.0</v>
      </c>
      <c r="AD747" s="19"/>
      <c r="AE747" s="19"/>
      <c r="AF747" s="23">
        <v>0.0</v>
      </c>
      <c r="AG747" s="23" t="s">
        <v>356</v>
      </c>
      <c r="AH747" s="19"/>
      <c r="AI747" s="23" t="s">
        <v>356</v>
      </c>
      <c r="AJ747" s="19"/>
      <c r="AK747" s="19"/>
      <c r="AL747" s="23" t="s">
        <v>356</v>
      </c>
      <c r="AM747" s="23" t="s">
        <v>356</v>
      </c>
      <c r="AN747" s="23" t="s">
        <v>356</v>
      </c>
    </row>
    <row r="748">
      <c r="A748" s="95" t="s">
        <v>906</v>
      </c>
      <c r="B748" s="18" t="s">
        <v>907</v>
      </c>
      <c r="C748" s="19" t="s">
        <v>264</v>
      </c>
      <c r="D748" s="20" t="s">
        <v>547</v>
      </c>
      <c r="E748" s="21" t="s">
        <v>7</v>
      </c>
      <c r="F748" s="19" t="s">
        <v>67</v>
      </c>
      <c r="G748" s="23" t="s">
        <v>354</v>
      </c>
      <c r="H748" s="23">
        <v>210.0</v>
      </c>
      <c r="I748" s="23" t="s">
        <v>354</v>
      </c>
      <c r="J748" s="19">
        <v>51.0</v>
      </c>
      <c r="K748" s="23">
        <v>0.0</v>
      </c>
      <c r="L748" s="23">
        <v>0.0</v>
      </c>
      <c r="M748" s="23" t="s">
        <v>354</v>
      </c>
      <c r="N748" s="101" t="s">
        <v>17</v>
      </c>
      <c r="O748" s="101" t="s">
        <v>17</v>
      </c>
      <c r="P748" s="24" t="s">
        <v>266</v>
      </c>
      <c r="Q748" s="24" t="s">
        <v>265</v>
      </c>
      <c r="R748" s="24" t="s">
        <v>265</v>
      </c>
      <c r="S748" s="19"/>
      <c r="T748" s="19"/>
      <c r="U748" s="19"/>
      <c r="V748" s="19"/>
      <c r="W748" s="19"/>
      <c r="X748" s="19"/>
      <c r="Y748" s="19"/>
      <c r="Z748" s="19"/>
      <c r="AA748" s="19"/>
      <c r="AB748" s="23" t="s">
        <v>909</v>
      </c>
      <c r="AC748" s="19"/>
      <c r="AD748" s="19"/>
      <c r="AE748" s="19"/>
      <c r="AF748" s="23">
        <v>0.0</v>
      </c>
      <c r="AG748" s="23" t="s">
        <v>356</v>
      </c>
      <c r="AH748" s="19"/>
      <c r="AI748" s="23" t="s">
        <v>356</v>
      </c>
      <c r="AJ748" s="19"/>
      <c r="AK748" s="19"/>
      <c r="AL748" s="23" t="s">
        <v>356</v>
      </c>
      <c r="AM748" s="23" t="s">
        <v>356</v>
      </c>
      <c r="AN748" s="23" t="s">
        <v>356</v>
      </c>
    </row>
    <row r="749">
      <c r="A749" s="95" t="s">
        <v>906</v>
      </c>
      <c r="B749" s="18" t="s">
        <v>907</v>
      </c>
      <c r="C749" s="19" t="s">
        <v>264</v>
      </c>
      <c r="D749" s="20" t="s">
        <v>547</v>
      </c>
      <c r="E749" s="21" t="s">
        <v>7</v>
      </c>
      <c r="F749" s="19" t="s">
        <v>67</v>
      </c>
      <c r="G749" s="23" t="s">
        <v>354</v>
      </c>
      <c r="H749" s="23">
        <v>225.0</v>
      </c>
      <c r="I749" s="23" t="s">
        <v>354</v>
      </c>
      <c r="J749" s="19">
        <v>47.0</v>
      </c>
      <c r="K749" s="23">
        <v>0.0</v>
      </c>
      <c r="L749" s="23">
        <v>0.0</v>
      </c>
      <c r="M749" s="23" t="s">
        <v>354</v>
      </c>
      <c r="N749" s="101" t="s">
        <v>17</v>
      </c>
      <c r="O749" s="101" t="s">
        <v>17</v>
      </c>
      <c r="P749" s="24" t="s">
        <v>266</v>
      </c>
      <c r="Q749" s="24" t="s">
        <v>265</v>
      </c>
      <c r="R749" s="24" t="s">
        <v>265</v>
      </c>
      <c r="S749" s="24" t="s">
        <v>265</v>
      </c>
      <c r="T749" s="19"/>
      <c r="U749" s="19"/>
      <c r="V749" s="19"/>
      <c r="W749" s="19"/>
      <c r="X749" s="19"/>
      <c r="Y749" s="19"/>
      <c r="Z749" s="19"/>
      <c r="AA749" s="19"/>
      <c r="AB749" s="22" t="s">
        <v>354</v>
      </c>
      <c r="AC749" s="19"/>
      <c r="AD749" s="19"/>
      <c r="AE749" s="19"/>
      <c r="AF749" s="36">
        <v>28.53</v>
      </c>
      <c r="AG749" s="23" t="s">
        <v>354</v>
      </c>
      <c r="AH749" s="19"/>
      <c r="AI749" s="23" t="s">
        <v>354</v>
      </c>
      <c r="AJ749" s="19"/>
      <c r="AK749" s="19"/>
      <c r="AL749" s="23" t="s">
        <v>356</v>
      </c>
      <c r="AM749" s="23" t="s">
        <v>356</v>
      </c>
      <c r="AN749" s="23" t="s">
        <v>356</v>
      </c>
    </row>
    <row r="750">
      <c r="A750" s="95" t="s">
        <v>906</v>
      </c>
      <c r="B750" s="18" t="s">
        <v>907</v>
      </c>
      <c r="C750" s="19" t="s">
        <v>264</v>
      </c>
      <c r="D750" s="20" t="s">
        <v>547</v>
      </c>
      <c r="E750" s="21" t="s">
        <v>7</v>
      </c>
      <c r="F750" s="19" t="s">
        <v>67</v>
      </c>
      <c r="G750" s="23" t="s">
        <v>354</v>
      </c>
      <c r="H750" s="23">
        <v>240.0</v>
      </c>
      <c r="I750" s="23" t="s">
        <v>354</v>
      </c>
      <c r="J750" s="19">
        <v>53.0</v>
      </c>
      <c r="K750" s="23">
        <v>0.0</v>
      </c>
      <c r="L750" s="23">
        <v>0.0</v>
      </c>
      <c r="M750" s="23" t="s">
        <v>354</v>
      </c>
      <c r="N750" s="101" t="s">
        <v>17</v>
      </c>
      <c r="O750" s="101" t="s">
        <v>17</v>
      </c>
      <c r="P750" s="24" t="s">
        <v>266</v>
      </c>
      <c r="Q750" s="24" t="s">
        <v>265</v>
      </c>
      <c r="R750" s="24" t="s">
        <v>265</v>
      </c>
      <c r="S750" s="24" t="s">
        <v>265</v>
      </c>
      <c r="T750" s="24" t="s">
        <v>265</v>
      </c>
      <c r="U750" s="19"/>
      <c r="V750" s="19"/>
      <c r="W750" s="19"/>
      <c r="X750" s="19"/>
      <c r="Y750" s="19"/>
      <c r="Z750" s="19"/>
      <c r="AA750" s="19"/>
      <c r="AB750" s="22" t="s">
        <v>354</v>
      </c>
      <c r="AC750" s="19"/>
      <c r="AD750" s="19"/>
      <c r="AE750" s="19"/>
      <c r="AF750" s="23">
        <v>0.0</v>
      </c>
      <c r="AG750" s="23" t="s">
        <v>354</v>
      </c>
      <c r="AH750" s="19"/>
      <c r="AI750" s="23" t="s">
        <v>354</v>
      </c>
      <c r="AJ750" s="19"/>
      <c r="AK750" s="19"/>
      <c r="AL750" s="23" t="s">
        <v>356</v>
      </c>
      <c r="AM750" s="23" t="s">
        <v>356</v>
      </c>
      <c r="AN750" s="23" t="s">
        <v>356</v>
      </c>
    </row>
    <row r="751">
      <c r="A751" s="95" t="s">
        <v>906</v>
      </c>
      <c r="B751" s="18" t="s">
        <v>907</v>
      </c>
      <c r="C751" s="19" t="s">
        <v>264</v>
      </c>
      <c r="D751" s="20" t="s">
        <v>547</v>
      </c>
      <c r="E751" s="21" t="s">
        <v>7</v>
      </c>
      <c r="F751" s="19" t="s">
        <v>67</v>
      </c>
      <c r="G751" s="23" t="s">
        <v>354</v>
      </c>
      <c r="H751" s="23">
        <v>250.0</v>
      </c>
      <c r="I751" s="23" t="s">
        <v>354</v>
      </c>
      <c r="J751" s="19">
        <v>50.0</v>
      </c>
      <c r="K751" s="23">
        <v>0.0</v>
      </c>
      <c r="L751" s="23">
        <v>0.0</v>
      </c>
      <c r="M751" s="23" t="s">
        <v>354</v>
      </c>
      <c r="N751" s="101" t="s">
        <v>17</v>
      </c>
      <c r="O751" s="101" t="s">
        <v>17</v>
      </c>
      <c r="P751" s="24" t="s">
        <v>266</v>
      </c>
      <c r="Q751" s="24" t="s">
        <v>265</v>
      </c>
      <c r="R751" s="24" t="s">
        <v>265</v>
      </c>
      <c r="S751" s="24" t="s">
        <v>265</v>
      </c>
      <c r="T751" s="24" t="s">
        <v>265</v>
      </c>
      <c r="U751" s="24" t="s">
        <v>265</v>
      </c>
      <c r="V751" s="19"/>
      <c r="W751" s="19"/>
      <c r="X751" s="19"/>
      <c r="Y751" s="19"/>
      <c r="Z751" s="19"/>
      <c r="AA751" s="19"/>
      <c r="AB751" s="23" t="s">
        <v>860</v>
      </c>
      <c r="AC751" s="19"/>
      <c r="AD751" s="19"/>
      <c r="AE751" s="19"/>
      <c r="AF751" s="23">
        <v>0.0</v>
      </c>
      <c r="AG751" s="23" t="s">
        <v>354</v>
      </c>
      <c r="AH751" s="19"/>
      <c r="AI751" s="23" t="s">
        <v>354</v>
      </c>
      <c r="AJ751" s="19"/>
      <c r="AK751" s="19"/>
      <c r="AL751" s="23" t="s">
        <v>356</v>
      </c>
      <c r="AM751" s="23" t="s">
        <v>356</v>
      </c>
      <c r="AN751" s="23" t="s">
        <v>356</v>
      </c>
    </row>
    <row r="752">
      <c r="A752" s="95" t="s">
        <v>906</v>
      </c>
      <c r="B752" s="18" t="s">
        <v>907</v>
      </c>
      <c r="C752" s="19" t="s">
        <v>264</v>
      </c>
      <c r="D752" s="20" t="s">
        <v>547</v>
      </c>
      <c r="E752" s="21" t="s">
        <v>7</v>
      </c>
      <c r="F752" s="19" t="s">
        <v>67</v>
      </c>
      <c r="G752" s="23" t="s">
        <v>354</v>
      </c>
      <c r="H752" s="23">
        <v>305.0</v>
      </c>
      <c r="I752" s="23" t="s">
        <v>354</v>
      </c>
      <c r="J752" s="19">
        <v>50.0</v>
      </c>
      <c r="K752" s="23">
        <v>1.0</v>
      </c>
      <c r="L752" s="23">
        <v>0.0</v>
      </c>
      <c r="M752" s="23" t="s">
        <v>354</v>
      </c>
      <c r="N752" s="101" t="s">
        <v>17</v>
      </c>
      <c r="O752" s="101" t="s">
        <v>17</v>
      </c>
      <c r="P752" s="24" t="s">
        <v>266</v>
      </c>
      <c r="Q752" s="24" t="s">
        <v>265</v>
      </c>
      <c r="R752" s="24" t="s">
        <v>265</v>
      </c>
      <c r="S752" s="24" t="s">
        <v>265</v>
      </c>
      <c r="T752" s="24" t="s">
        <v>265</v>
      </c>
      <c r="U752" s="24" t="s">
        <v>265</v>
      </c>
      <c r="V752" s="24" t="s">
        <v>265</v>
      </c>
      <c r="W752" s="19"/>
      <c r="X752" s="19"/>
      <c r="Y752" s="19"/>
      <c r="Z752" s="19"/>
      <c r="AA752" s="19"/>
      <c r="AB752" s="23" t="s">
        <v>514</v>
      </c>
      <c r="AC752" s="19"/>
      <c r="AD752" s="19"/>
      <c r="AE752" s="19"/>
      <c r="AF752" s="23">
        <v>0.0</v>
      </c>
      <c r="AG752" s="23" t="s">
        <v>354</v>
      </c>
      <c r="AH752" s="19"/>
      <c r="AI752" s="23" t="s">
        <v>354</v>
      </c>
      <c r="AJ752" s="19"/>
      <c r="AK752" s="19"/>
      <c r="AL752" s="23" t="s">
        <v>356</v>
      </c>
      <c r="AM752" s="23" t="s">
        <v>356</v>
      </c>
      <c r="AN752" s="23" t="s">
        <v>356</v>
      </c>
    </row>
    <row r="753">
      <c r="A753" s="95" t="s">
        <v>906</v>
      </c>
      <c r="B753" s="18" t="s">
        <v>907</v>
      </c>
      <c r="C753" s="19" t="s">
        <v>264</v>
      </c>
      <c r="D753" s="20" t="s">
        <v>547</v>
      </c>
      <c r="E753" s="21" t="s">
        <v>7</v>
      </c>
      <c r="F753" s="19" t="s">
        <v>67</v>
      </c>
      <c r="G753" s="23">
        <v>124.0</v>
      </c>
      <c r="H753" s="23">
        <v>245.0</v>
      </c>
      <c r="I753" s="23" t="s">
        <v>354</v>
      </c>
      <c r="J753" s="19">
        <v>50.0</v>
      </c>
      <c r="K753" s="23">
        <v>0.0</v>
      </c>
      <c r="L753" s="23">
        <v>0.0</v>
      </c>
      <c r="M753" s="23" t="s">
        <v>354</v>
      </c>
      <c r="N753" s="101" t="s">
        <v>17</v>
      </c>
      <c r="O753" s="101" t="s">
        <v>17</v>
      </c>
      <c r="P753" s="24" t="s">
        <v>266</v>
      </c>
      <c r="Q753" s="24" t="s">
        <v>265</v>
      </c>
      <c r="R753" s="24" t="s">
        <v>265</v>
      </c>
      <c r="S753" s="24" t="s">
        <v>265</v>
      </c>
      <c r="T753" s="24" t="s">
        <v>265</v>
      </c>
      <c r="U753" s="24" t="s">
        <v>265</v>
      </c>
      <c r="V753" s="24" t="s">
        <v>265</v>
      </c>
      <c r="W753" s="18" t="s">
        <v>910</v>
      </c>
      <c r="X753" s="19"/>
      <c r="Y753" s="19"/>
      <c r="Z753" s="19"/>
      <c r="AA753" s="19"/>
      <c r="AB753" s="158" t="s">
        <v>911</v>
      </c>
      <c r="AC753" s="19"/>
      <c r="AD753" s="19"/>
      <c r="AE753" s="19"/>
      <c r="AF753" s="23">
        <v>0.0</v>
      </c>
      <c r="AG753" s="23" t="s">
        <v>354</v>
      </c>
      <c r="AH753" s="19"/>
      <c r="AI753" s="23" t="s">
        <v>354</v>
      </c>
      <c r="AJ753" s="19"/>
      <c r="AK753" s="19"/>
      <c r="AL753" s="23" t="s">
        <v>356</v>
      </c>
      <c r="AM753" s="23" t="s">
        <v>356</v>
      </c>
      <c r="AN753" s="23" t="s">
        <v>356</v>
      </c>
    </row>
    <row r="754">
      <c r="A754" s="95" t="s">
        <v>906</v>
      </c>
      <c r="B754" s="18" t="s">
        <v>907</v>
      </c>
      <c r="C754" s="19" t="s">
        <v>264</v>
      </c>
      <c r="D754" s="20" t="s">
        <v>547</v>
      </c>
      <c r="E754" s="21" t="s">
        <v>7</v>
      </c>
      <c r="F754" s="19" t="s">
        <v>67</v>
      </c>
      <c r="G754" s="22" t="s">
        <v>354</v>
      </c>
      <c r="H754" s="22" t="s">
        <v>354</v>
      </c>
      <c r="I754" s="22" t="s">
        <v>354</v>
      </c>
      <c r="J754" s="19">
        <v>50.0</v>
      </c>
      <c r="K754" s="23">
        <v>1.0</v>
      </c>
      <c r="L754" s="78">
        <v>1.0</v>
      </c>
      <c r="M754" s="78" t="s">
        <v>912</v>
      </c>
      <c r="N754" s="101" t="s">
        <v>17</v>
      </c>
      <c r="O754" s="101" t="s">
        <v>17</v>
      </c>
      <c r="P754" s="24" t="s">
        <v>266</v>
      </c>
      <c r="Q754" s="24" t="s">
        <v>265</v>
      </c>
      <c r="R754" s="24" t="s">
        <v>265</v>
      </c>
      <c r="S754" s="24" t="s">
        <v>265</v>
      </c>
      <c r="T754" s="24" t="s">
        <v>265</v>
      </c>
      <c r="U754" s="24" t="s">
        <v>265</v>
      </c>
      <c r="V754" s="24" t="s">
        <v>265</v>
      </c>
      <c r="W754" s="18" t="s">
        <v>910</v>
      </c>
      <c r="X754" s="24" t="s">
        <v>265</v>
      </c>
      <c r="Y754" s="19"/>
      <c r="Z754" s="19"/>
      <c r="AA754" s="19"/>
      <c r="AB754" s="158" t="s">
        <v>455</v>
      </c>
      <c r="AC754" s="19"/>
      <c r="AD754" s="19"/>
      <c r="AE754" s="19"/>
      <c r="AF754" s="23">
        <v>0.0</v>
      </c>
      <c r="AG754" s="23" t="s">
        <v>354</v>
      </c>
      <c r="AH754" s="19"/>
      <c r="AI754" s="23" t="s">
        <v>354</v>
      </c>
      <c r="AJ754" s="19"/>
      <c r="AK754" s="19"/>
      <c r="AL754" s="23" t="s">
        <v>356</v>
      </c>
      <c r="AM754" s="23" t="s">
        <v>356</v>
      </c>
      <c r="AN754" s="23" t="s">
        <v>356</v>
      </c>
    </row>
    <row r="755">
      <c r="A755" s="95" t="s">
        <v>906</v>
      </c>
      <c r="B755" s="18" t="s">
        <v>907</v>
      </c>
      <c r="C755" s="19" t="s">
        <v>264</v>
      </c>
      <c r="D755" s="20" t="s">
        <v>547</v>
      </c>
      <c r="E755" s="21" t="s">
        <v>7</v>
      </c>
      <c r="F755" s="19" t="s">
        <v>67</v>
      </c>
      <c r="G755" s="22" t="s">
        <v>354</v>
      </c>
      <c r="H755" s="22" t="s">
        <v>354</v>
      </c>
      <c r="I755" s="22" t="s">
        <v>354</v>
      </c>
      <c r="J755" s="19">
        <v>50.0</v>
      </c>
      <c r="K755" s="23">
        <v>1.0</v>
      </c>
      <c r="L755" s="78">
        <v>1.0</v>
      </c>
      <c r="M755" s="78" t="s">
        <v>912</v>
      </c>
      <c r="N755" s="101" t="s">
        <v>17</v>
      </c>
      <c r="O755" s="101" t="s">
        <v>17</v>
      </c>
      <c r="P755" s="24" t="s">
        <v>266</v>
      </c>
      <c r="Q755" s="24" t="s">
        <v>265</v>
      </c>
      <c r="R755" s="24" t="s">
        <v>265</v>
      </c>
      <c r="S755" s="24" t="s">
        <v>265</v>
      </c>
      <c r="T755" s="24" t="s">
        <v>265</v>
      </c>
      <c r="U755" s="24" t="s">
        <v>265</v>
      </c>
      <c r="V755" s="24" t="s">
        <v>265</v>
      </c>
      <c r="W755" s="18" t="s">
        <v>910</v>
      </c>
      <c r="X755" s="24" t="s">
        <v>265</v>
      </c>
      <c r="Y755" s="24" t="s">
        <v>265</v>
      </c>
      <c r="Z755" s="19"/>
      <c r="AA755" s="19"/>
      <c r="AB755" s="158" t="s">
        <v>455</v>
      </c>
      <c r="AC755" s="19"/>
      <c r="AD755" s="19"/>
      <c r="AE755" s="19"/>
      <c r="AF755" s="145">
        <v>33.739543228348</v>
      </c>
      <c r="AG755" s="23" t="s">
        <v>354</v>
      </c>
      <c r="AH755" s="19"/>
      <c r="AI755" s="23" t="s">
        <v>354</v>
      </c>
      <c r="AJ755" s="23"/>
      <c r="AK755" s="23"/>
      <c r="AL755" s="91" t="s">
        <v>413</v>
      </c>
      <c r="AM755" s="103" t="s">
        <v>389</v>
      </c>
      <c r="AN755" s="104" t="s">
        <v>389</v>
      </c>
    </row>
    <row r="756">
      <c r="A756" s="95" t="s">
        <v>906</v>
      </c>
      <c r="B756" s="18" t="s">
        <v>907</v>
      </c>
      <c r="C756" s="19" t="s">
        <v>264</v>
      </c>
      <c r="D756" s="20" t="s">
        <v>547</v>
      </c>
      <c r="E756" s="21" t="s">
        <v>7</v>
      </c>
      <c r="F756" s="19" t="s">
        <v>67</v>
      </c>
      <c r="G756" s="22" t="s">
        <v>354</v>
      </c>
      <c r="H756" s="22" t="s">
        <v>354</v>
      </c>
      <c r="I756" s="22" t="s">
        <v>354</v>
      </c>
      <c r="J756" s="19">
        <v>50.0</v>
      </c>
      <c r="K756" s="23">
        <v>0.0</v>
      </c>
      <c r="L756" s="78">
        <v>1.0</v>
      </c>
      <c r="M756" s="78" t="s">
        <v>912</v>
      </c>
      <c r="N756" s="101" t="s">
        <v>17</v>
      </c>
      <c r="O756" s="101" t="s">
        <v>17</v>
      </c>
      <c r="P756" s="24" t="s">
        <v>266</v>
      </c>
      <c r="Q756" s="24" t="s">
        <v>265</v>
      </c>
      <c r="R756" s="24" t="s">
        <v>265</v>
      </c>
      <c r="S756" s="24" t="s">
        <v>265</v>
      </c>
      <c r="T756" s="24" t="s">
        <v>265</v>
      </c>
      <c r="U756" s="24" t="s">
        <v>265</v>
      </c>
      <c r="V756" s="24" t="s">
        <v>265</v>
      </c>
      <c r="W756" s="18" t="s">
        <v>910</v>
      </c>
      <c r="X756" s="24" t="s">
        <v>265</v>
      </c>
      <c r="Y756" s="24" t="s">
        <v>265</v>
      </c>
      <c r="Z756" s="24" t="s">
        <v>265</v>
      </c>
      <c r="AA756" s="19"/>
      <c r="AB756" s="158" t="s">
        <v>913</v>
      </c>
      <c r="AC756" s="19"/>
      <c r="AD756" s="19"/>
      <c r="AE756" s="19"/>
      <c r="AF756" s="23">
        <v>0.0</v>
      </c>
      <c r="AG756" s="23" t="s">
        <v>356</v>
      </c>
      <c r="AH756" s="19"/>
      <c r="AI756" s="23" t="s">
        <v>356</v>
      </c>
      <c r="AJ756" s="23" t="s">
        <v>356</v>
      </c>
      <c r="AK756" s="23" t="s">
        <v>356</v>
      </c>
      <c r="AL756" s="116" t="s">
        <v>361</v>
      </c>
      <c r="AM756" s="82" t="s">
        <v>361</v>
      </c>
      <c r="AN756" s="113" t="s">
        <v>356</v>
      </c>
    </row>
    <row r="757">
      <c r="A757" s="95" t="s">
        <v>906</v>
      </c>
      <c r="B757" s="18" t="s">
        <v>907</v>
      </c>
      <c r="C757" s="19" t="s">
        <v>264</v>
      </c>
      <c r="D757" s="20" t="s">
        <v>547</v>
      </c>
      <c r="E757" s="21" t="s">
        <v>7</v>
      </c>
      <c r="F757" s="19" t="s">
        <v>67</v>
      </c>
      <c r="G757" s="22" t="s">
        <v>354</v>
      </c>
      <c r="H757" s="22" t="s">
        <v>354</v>
      </c>
      <c r="I757" s="22" t="s">
        <v>354</v>
      </c>
      <c r="J757" s="19">
        <v>50.0</v>
      </c>
      <c r="K757" s="23">
        <v>0.0</v>
      </c>
      <c r="L757" s="78">
        <v>1.0</v>
      </c>
      <c r="M757" s="78" t="s">
        <v>912</v>
      </c>
      <c r="N757" s="101" t="s">
        <v>17</v>
      </c>
      <c r="O757" s="101" t="s">
        <v>17</v>
      </c>
      <c r="P757" s="24" t="s">
        <v>266</v>
      </c>
      <c r="Q757" s="24" t="s">
        <v>265</v>
      </c>
      <c r="R757" s="24" t="s">
        <v>265</v>
      </c>
      <c r="S757" s="24" t="s">
        <v>265</v>
      </c>
      <c r="T757" s="24" t="s">
        <v>265</v>
      </c>
      <c r="U757" s="24" t="s">
        <v>265</v>
      </c>
      <c r="V757" s="24" t="s">
        <v>265</v>
      </c>
      <c r="W757" s="18" t="s">
        <v>910</v>
      </c>
      <c r="X757" s="24" t="s">
        <v>265</v>
      </c>
      <c r="Y757" s="24" t="s">
        <v>265</v>
      </c>
      <c r="Z757" s="24" t="s">
        <v>265</v>
      </c>
      <c r="AA757" s="24" t="s">
        <v>265</v>
      </c>
      <c r="AB757" s="158" t="s">
        <v>914</v>
      </c>
      <c r="AC757" s="19"/>
      <c r="AD757" s="19"/>
      <c r="AE757" s="19"/>
      <c r="AF757" s="23">
        <v>0.0</v>
      </c>
      <c r="AG757" s="23" t="s">
        <v>354</v>
      </c>
      <c r="AH757" s="19"/>
      <c r="AI757" s="23" t="s">
        <v>354</v>
      </c>
      <c r="AJ757" s="19"/>
      <c r="AK757" s="19"/>
      <c r="AL757" s="23" t="s">
        <v>356</v>
      </c>
      <c r="AM757" s="23" t="s">
        <v>356</v>
      </c>
      <c r="AN757" s="23" t="s">
        <v>356</v>
      </c>
    </row>
    <row r="758">
      <c r="A758" s="45" t="s">
        <v>268</v>
      </c>
      <c r="B758" s="18" t="s">
        <v>915</v>
      </c>
      <c r="C758" s="46" t="s">
        <v>267</v>
      </c>
      <c r="D758" s="47" t="s">
        <v>547</v>
      </c>
      <c r="E758" s="48" t="s">
        <v>7</v>
      </c>
      <c r="F758" s="46" t="s">
        <v>67</v>
      </c>
      <c r="G758" s="49">
        <v>117.0</v>
      </c>
      <c r="H758" s="49">
        <v>365.0</v>
      </c>
      <c r="I758" s="49" t="s">
        <v>354</v>
      </c>
      <c r="J758" s="46">
        <v>107.0</v>
      </c>
      <c r="K758" s="49">
        <v>1.0</v>
      </c>
      <c r="L758" s="49">
        <v>0.0</v>
      </c>
      <c r="M758" s="49" t="s">
        <v>354</v>
      </c>
      <c r="N758" s="101" t="s">
        <v>17</v>
      </c>
      <c r="O758" s="101" t="s">
        <v>17</v>
      </c>
      <c r="P758" s="24" t="s">
        <v>269</v>
      </c>
      <c r="Q758" s="46"/>
      <c r="R758" s="46"/>
      <c r="S758" s="46"/>
      <c r="T758" s="46"/>
      <c r="U758" s="46"/>
      <c r="V758" s="46"/>
      <c r="W758" s="46"/>
      <c r="X758" s="46"/>
      <c r="Y758" s="46"/>
      <c r="Z758" s="46"/>
      <c r="AA758" s="46"/>
      <c r="AB758" s="57" t="s">
        <v>354</v>
      </c>
      <c r="AC758" s="46">
        <v>36562.0</v>
      </c>
      <c r="AD758" s="46"/>
      <c r="AE758" s="46"/>
      <c r="AF758" s="55">
        <v>34.5</v>
      </c>
      <c r="AG758" s="49" t="s">
        <v>356</v>
      </c>
      <c r="AH758" s="46"/>
      <c r="AI758" s="49" t="s">
        <v>356</v>
      </c>
      <c r="AJ758" s="46"/>
      <c r="AK758" s="46"/>
      <c r="AL758" s="88" t="s">
        <v>358</v>
      </c>
      <c r="AM758" s="149" t="s">
        <v>363</v>
      </c>
      <c r="AN758" s="53" t="s">
        <v>361</v>
      </c>
    </row>
    <row r="759">
      <c r="A759" s="45" t="s">
        <v>268</v>
      </c>
      <c r="B759" s="18" t="s">
        <v>915</v>
      </c>
      <c r="C759" s="46" t="s">
        <v>267</v>
      </c>
      <c r="D759" s="47" t="s">
        <v>547</v>
      </c>
      <c r="E759" s="48" t="s">
        <v>7</v>
      </c>
      <c r="F759" s="46" t="s">
        <v>67</v>
      </c>
      <c r="G759" s="49">
        <v>116.0</v>
      </c>
      <c r="H759" s="49">
        <v>240.0</v>
      </c>
      <c r="I759" s="49" t="s">
        <v>354</v>
      </c>
      <c r="J759" s="46">
        <v>52.0</v>
      </c>
      <c r="K759" s="49">
        <v>0.0</v>
      </c>
      <c r="L759" s="49">
        <v>1.0</v>
      </c>
      <c r="M759" s="49" t="s">
        <v>354</v>
      </c>
      <c r="N759" s="101" t="s">
        <v>17</v>
      </c>
      <c r="O759" s="101" t="s">
        <v>17</v>
      </c>
      <c r="P759" s="24" t="s">
        <v>269</v>
      </c>
      <c r="Q759" s="24" t="s">
        <v>268</v>
      </c>
      <c r="R759" s="46"/>
      <c r="S759" s="46"/>
      <c r="T759" s="46"/>
      <c r="U759" s="46"/>
      <c r="V759" s="46"/>
      <c r="W759" s="46"/>
      <c r="X759" s="46"/>
      <c r="Y759" s="46"/>
      <c r="Z759" s="46"/>
      <c r="AA759" s="46"/>
      <c r="AB759" s="49" t="s">
        <v>916</v>
      </c>
      <c r="AC759" s="46">
        <v>36642.0</v>
      </c>
      <c r="AD759" s="46"/>
      <c r="AE759" s="46"/>
      <c r="AF759" s="151">
        <v>26.35</v>
      </c>
      <c r="AG759" s="56" t="s">
        <v>365</v>
      </c>
      <c r="AH759" s="49" t="s">
        <v>366</v>
      </c>
      <c r="AI759" s="26" t="s">
        <v>357</v>
      </c>
      <c r="AJ759" s="46"/>
      <c r="AK759" s="46"/>
      <c r="AL759" s="180" t="s">
        <v>917</v>
      </c>
      <c r="AM759" s="180" t="s">
        <v>918</v>
      </c>
      <c r="AN759" s="115" t="s">
        <v>358</v>
      </c>
    </row>
    <row r="760">
      <c r="A760" s="45" t="s">
        <v>268</v>
      </c>
      <c r="B760" s="18" t="s">
        <v>915</v>
      </c>
      <c r="C760" s="46" t="s">
        <v>267</v>
      </c>
      <c r="D760" s="47" t="s">
        <v>547</v>
      </c>
      <c r="E760" s="48" t="s">
        <v>7</v>
      </c>
      <c r="F760" s="46" t="s">
        <v>67</v>
      </c>
      <c r="G760" s="49" t="s">
        <v>354</v>
      </c>
      <c r="H760" s="49">
        <v>225.0</v>
      </c>
      <c r="I760" s="49" t="s">
        <v>354</v>
      </c>
      <c r="J760" s="46">
        <v>52.0</v>
      </c>
      <c r="K760" s="49">
        <v>0.0</v>
      </c>
      <c r="L760" s="49">
        <v>0.0</v>
      </c>
      <c r="M760" s="49" t="s">
        <v>354</v>
      </c>
      <c r="N760" s="101" t="s">
        <v>17</v>
      </c>
      <c r="O760" s="101" t="s">
        <v>17</v>
      </c>
      <c r="P760" s="24" t="s">
        <v>269</v>
      </c>
      <c r="Q760" s="24" t="s">
        <v>268</v>
      </c>
      <c r="R760" s="24" t="s">
        <v>268</v>
      </c>
      <c r="S760" s="46"/>
      <c r="T760" s="46"/>
      <c r="U760" s="46"/>
      <c r="V760" s="46"/>
      <c r="W760" s="46"/>
      <c r="X760" s="46"/>
      <c r="Y760" s="46"/>
      <c r="Z760" s="46"/>
      <c r="AA760" s="46"/>
      <c r="AB760" s="49" t="s">
        <v>909</v>
      </c>
      <c r="AC760" s="46"/>
      <c r="AD760" s="46"/>
      <c r="AE760" s="46"/>
      <c r="AF760" s="55">
        <v>33.17</v>
      </c>
      <c r="AG760" s="56" t="s">
        <v>365</v>
      </c>
      <c r="AH760" s="49" t="s">
        <v>366</v>
      </c>
      <c r="AI760" s="26" t="s">
        <v>357</v>
      </c>
      <c r="AJ760" s="46"/>
      <c r="AK760" s="46"/>
      <c r="AL760" s="26" t="s">
        <v>357</v>
      </c>
      <c r="AM760" s="26" t="s">
        <v>357</v>
      </c>
      <c r="AN760" s="26" t="s">
        <v>357</v>
      </c>
    </row>
    <row r="761">
      <c r="A761" s="45" t="s">
        <v>268</v>
      </c>
      <c r="B761" s="18" t="s">
        <v>915</v>
      </c>
      <c r="C761" s="46" t="s">
        <v>267</v>
      </c>
      <c r="D761" s="47" t="s">
        <v>547</v>
      </c>
      <c r="E761" s="48" t="s">
        <v>7</v>
      </c>
      <c r="F761" s="46" t="s">
        <v>67</v>
      </c>
      <c r="G761" s="49" t="s">
        <v>354</v>
      </c>
      <c r="H761" s="49">
        <v>245.0</v>
      </c>
      <c r="I761" s="49" t="s">
        <v>354</v>
      </c>
      <c r="J761" s="46">
        <v>48.0</v>
      </c>
      <c r="K761" s="49">
        <v>0.0</v>
      </c>
      <c r="L761" s="49">
        <v>0.0</v>
      </c>
      <c r="M761" s="49" t="s">
        <v>354</v>
      </c>
      <c r="N761" s="101" t="s">
        <v>17</v>
      </c>
      <c r="O761" s="101" t="s">
        <v>17</v>
      </c>
      <c r="P761" s="24" t="s">
        <v>269</v>
      </c>
      <c r="Q761" s="24" t="s">
        <v>268</v>
      </c>
      <c r="R761" s="24" t="s">
        <v>268</v>
      </c>
      <c r="S761" s="24" t="s">
        <v>268</v>
      </c>
      <c r="T761" s="46"/>
      <c r="U761" s="46"/>
      <c r="V761" s="46"/>
      <c r="W761" s="46"/>
      <c r="X761" s="46"/>
      <c r="Y761" s="46"/>
      <c r="Z761" s="46"/>
      <c r="AA761" s="46"/>
      <c r="AB761" s="49" t="s">
        <v>919</v>
      </c>
      <c r="AC761" s="46"/>
      <c r="AD761" s="46"/>
      <c r="AE761" s="46"/>
      <c r="AF761" s="56">
        <v>32.11</v>
      </c>
      <c r="AG761" s="63" t="s">
        <v>354</v>
      </c>
      <c r="AH761" s="63"/>
      <c r="AI761" s="63" t="s">
        <v>354</v>
      </c>
      <c r="AJ761" s="46"/>
      <c r="AK761" s="46"/>
      <c r="AL761" s="40" t="s">
        <v>357</v>
      </c>
      <c r="AM761" s="40" t="s">
        <v>357</v>
      </c>
      <c r="AN761" s="40" t="s">
        <v>357</v>
      </c>
    </row>
    <row r="762">
      <c r="A762" s="45" t="s">
        <v>268</v>
      </c>
      <c r="B762" s="18" t="s">
        <v>915</v>
      </c>
      <c r="C762" s="46" t="s">
        <v>267</v>
      </c>
      <c r="D762" s="47" t="s">
        <v>547</v>
      </c>
      <c r="E762" s="48" t="s">
        <v>7</v>
      </c>
      <c r="F762" s="46" t="s">
        <v>67</v>
      </c>
      <c r="G762" s="49" t="s">
        <v>354</v>
      </c>
      <c r="H762" s="49">
        <v>245.0</v>
      </c>
      <c r="I762" s="49" t="s">
        <v>354</v>
      </c>
      <c r="J762" s="46">
        <v>54.0</v>
      </c>
      <c r="K762" s="49">
        <v>0.0</v>
      </c>
      <c r="L762" s="49">
        <v>0.0</v>
      </c>
      <c r="M762" s="49" t="s">
        <v>354</v>
      </c>
      <c r="N762" s="101" t="s">
        <v>17</v>
      </c>
      <c r="O762" s="101" t="s">
        <v>17</v>
      </c>
      <c r="P762" s="24" t="s">
        <v>269</v>
      </c>
      <c r="Q762" s="24" t="s">
        <v>268</v>
      </c>
      <c r="R762" s="24" t="s">
        <v>268</v>
      </c>
      <c r="S762" s="24" t="s">
        <v>268</v>
      </c>
      <c r="T762" s="24" t="s">
        <v>268</v>
      </c>
      <c r="U762" s="46"/>
      <c r="V762" s="46"/>
      <c r="W762" s="46"/>
      <c r="X762" s="46"/>
      <c r="Y762" s="46"/>
      <c r="Z762" s="46"/>
      <c r="AA762" s="46"/>
      <c r="AB762" s="49" t="s">
        <v>514</v>
      </c>
      <c r="AC762" s="46"/>
      <c r="AD762" s="46"/>
      <c r="AE762" s="46"/>
      <c r="AF762" s="49">
        <v>0.0</v>
      </c>
      <c r="AG762" s="63" t="s">
        <v>354</v>
      </c>
      <c r="AH762" s="63"/>
      <c r="AI762" s="63" t="s">
        <v>354</v>
      </c>
      <c r="AJ762" s="46"/>
      <c r="AK762" s="46"/>
      <c r="AL762" s="40" t="s">
        <v>357</v>
      </c>
      <c r="AM762" s="40" t="s">
        <v>357</v>
      </c>
      <c r="AN762" s="40" t="s">
        <v>357</v>
      </c>
    </row>
    <row r="763">
      <c r="A763" s="45" t="s">
        <v>268</v>
      </c>
      <c r="B763" s="18" t="s">
        <v>915</v>
      </c>
      <c r="C763" s="46" t="s">
        <v>267</v>
      </c>
      <c r="D763" s="47" t="s">
        <v>547</v>
      </c>
      <c r="E763" s="48" t="s">
        <v>7</v>
      </c>
      <c r="F763" s="46" t="s">
        <v>67</v>
      </c>
      <c r="G763" s="49" t="s">
        <v>354</v>
      </c>
      <c r="H763" s="49">
        <v>250.0</v>
      </c>
      <c r="I763" s="49" t="s">
        <v>354</v>
      </c>
      <c r="J763" s="46">
        <v>51.0</v>
      </c>
      <c r="K763" s="49">
        <v>1.0</v>
      </c>
      <c r="L763" s="49">
        <v>0.0</v>
      </c>
      <c r="M763" s="49" t="s">
        <v>354</v>
      </c>
      <c r="N763" s="101" t="s">
        <v>17</v>
      </c>
      <c r="O763" s="101" t="s">
        <v>17</v>
      </c>
      <c r="P763" s="24" t="s">
        <v>269</v>
      </c>
      <c r="Q763" s="24" t="s">
        <v>268</v>
      </c>
      <c r="R763" s="24" t="s">
        <v>268</v>
      </c>
      <c r="S763" s="24" t="s">
        <v>268</v>
      </c>
      <c r="T763" s="24" t="s">
        <v>268</v>
      </c>
      <c r="U763" s="24" t="s">
        <v>268</v>
      </c>
      <c r="V763" s="46"/>
      <c r="W763" s="46"/>
      <c r="X763" s="46"/>
      <c r="Y763" s="46"/>
      <c r="Z763" s="46"/>
      <c r="AA763" s="46"/>
      <c r="AB763" s="49" t="s">
        <v>920</v>
      </c>
      <c r="AC763" s="46"/>
      <c r="AD763" s="46"/>
      <c r="AE763" s="46"/>
      <c r="AF763" s="49">
        <v>0.0</v>
      </c>
      <c r="AG763" s="63" t="s">
        <v>354</v>
      </c>
      <c r="AH763" s="63"/>
      <c r="AI763" s="63" t="s">
        <v>354</v>
      </c>
      <c r="AJ763" s="46"/>
      <c r="AK763" s="46"/>
      <c r="AL763" s="40" t="s">
        <v>357</v>
      </c>
      <c r="AM763" s="40" t="s">
        <v>357</v>
      </c>
      <c r="AN763" s="40" t="s">
        <v>357</v>
      </c>
    </row>
    <row r="764">
      <c r="A764" s="45" t="s">
        <v>268</v>
      </c>
      <c r="B764" s="18" t="s">
        <v>915</v>
      </c>
      <c r="C764" s="46" t="s">
        <v>267</v>
      </c>
      <c r="D764" s="47" t="s">
        <v>547</v>
      </c>
      <c r="E764" s="48" t="s">
        <v>7</v>
      </c>
      <c r="F764" s="46" t="s">
        <v>67</v>
      </c>
      <c r="G764" s="49" t="s">
        <v>354</v>
      </c>
      <c r="H764" s="49">
        <v>290.0</v>
      </c>
      <c r="I764" s="49" t="s">
        <v>354</v>
      </c>
      <c r="J764" s="46">
        <v>51.0</v>
      </c>
      <c r="K764" s="49">
        <v>1.0</v>
      </c>
      <c r="L764" s="49">
        <v>0.0</v>
      </c>
      <c r="M764" s="49" t="s">
        <v>354</v>
      </c>
      <c r="N764" s="101" t="s">
        <v>17</v>
      </c>
      <c r="O764" s="101" t="s">
        <v>17</v>
      </c>
      <c r="P764" s="24" t="s">
        <v>269</v>
      </c>
      <c r="Q764" s="24" t="s">
        <v>268</v>
      </c>
      <c r="R764" s="24" t="s">
        <v>268</v>
      </c>
      <c r="S764" s="24" t="s">
        <v>268</v>
      </c>
      <c r="T764" s="24" t="s">
        <v>268</v>
      </c>
      <c r="U764" s="24" t="s">
        <v>268</v>
      </c>
      <c r="V764" s="24" t="s">
        <v>268</v>
      </c>
      <c r="W764" s="46"/>
      <c r="X764" s="46"/>
      <c r="Y764" s="46"/>
      <c r="Z764" s="46"/>
      <c r="AA764" s="46"/>
      <c r="AB764" s="57" t="s">
        <v>354</v>
      </c>
      <c r="AC764" s="46"/>
      <c r="AD764" s="46"/>
      <c r="AE764" s="46"/>
      <c r="AF764" s="49">
        <v>0.0</v>
      </c>
      <c r="AG764" s="63" t="s">
        <v>354</v>
      </c>
      <c r="AH764" s="63"/>
      <c r="AI764" s="63" t="s">
        <v>354</v>
      </c>
      <c r="AJ764" s="46"/>
      <c r="AK764" s="46"/>
      <c r="AL764" s="49" t="s">
        <v>356</v>
      </c>
      <c r="AM764" s="49" t="s">
        <v>356</v>
      </c>
      <c r="AN764" s="49" t="s">
        <v>356</v>
      </c>
    </row>
    <row r="765">
      <c r="A765" s="45" t="s">
        <v>268</v>
      </c>
      <c r="B765" s="18" t="s">
        <v>915</v>
      </c>
      <c r="C765" s="46" t="s">
        <v>267</v>
      </c>
      <c r="D765" s="47" t="s">
        <v>547</v>
      </c>
      <c r="E765" s="48" t="s">
        <v>7</v>
      </c>
      <c r="F765" s="46" t="s">
        <v>67</v>
      </c>
      <c r="G765" s="49">
        <v>120.0</v>
      </c>
      <c r="H765" s="49">
        <v>235.0</v>
      </c>
      <c r="I765" s="49" t="s">
        <v>354</v>
      </c>
      <c r="J765" s="46">
        <v>51.0</v>
      </c>
      <c r="K765" s="49">
        <v>0.0</v>
      </c>
      <c r="L765" s="49">
        <v>0.0</v>
      </c>
      <c r="M765" s="49" t="s">
        <v>354</v>
      </c>
      <c r="N765" s="101" t="s">
        <v>17</v>
      </c>
      <c r="O765" s="101" t="s">
        <v>17</v>
      </c>
      <c r="P765" s="24" t="s">
        <v>269</v>
      </c>
      <c r="Q765" s="24" t="s">
        <v>268</v>
      </c>
      <c r="R765" s="24" t="s">
        <v>268</v>
      </c>
      <c r="S765" s="24" t="s">
        <v>268</v>
      </c>
      <c r="T765" s="24" t="s">
        <v>268</v>
      </c>
      <c r="U765" s="24" t="s">
        <v>268</v>
      </c>
      <c r="V765" s="24" t="s">
        <v>268</v>
      </c>
      <c r="W765" s="18" t="s">
        <v>921</v>
      </c>
      <c r="X765" s="46"/>
      <c r="Y765" s="46"/>
      <c r="Z765" s="46"/>
      <c r="AA765" s="46"/>
      <c r="AB765" s="236" t="s">
        <v>398</v>
      </c>
      <c r="AC765" s="46"/>
      <c r="AD765" s="46"/>
      <c r="AE765" s="46"/>
      <c r="AF765" s="49">
        <v>0.0</v>
      </c>
      <c r="AG765" s="63" t="s">
        <v>354</v>
      </c>
      <c r="AH765" s="63"/>
      <c r="AI765" s="63" t="s">
        <v>354</v>
      </c>
      <c r="AJ765" s="46"/>
      <c r="AK765" s="46"/>
      <c r="AL765" s="49" t="s">
        <v>356</v>
      </c>
      <c r="AM765" s="49" t="s">
        <v>356</v>
      </c>
      <c r="AN765" s="49" t="s">
        <v>356</v>
      </c>
    </row>
    <row r="766">
      <c r="A766" s="45" t="s">
        <v>268</v>
      </c>
      <c r="B766" s="18" t="s">
        <v>915</v>
      </c>
      <c r="C766" s="46" t="s">
        <v>267</v>
      </c>
      <c r="D766" s="47" t="s">
        <v>547</v>
      </c>
      <c r="E766" s="48" t="s">
        <v>7</v>
      </c>
      <c r="F766" s="46" t="s">
        <v>67</v>
      </c>
      <c r="G766" s="57" t="s">
        <v>354</v>
      </c>
      <c r="H766" s="57" t="s">
        <v>354</v>
      </c>
      <c r="I766" s="57" t="s">
        <v>354</v>
      </c>
      <c r="J766" s="46">
        <v>51.0</v>
      </c>
      <c r="K766" s="49">
        <v>1.0</v>
      </c>
      <c r="L766" s="78">
        <v>1.0</v>
      </c>
      <c r="M766" s="78" t="s">
        <v>922</v>
      </c>
      <c r="N766" s="101" t="s">
        <v>17</v>
      </c>
      <c r="O766" s="101" t="s">
        <v>17</v>
      </c>
      <c r="P766" s="24" t="s">
        <v>269</v>
      </c>
      <c r="Q766" s="24" t="s">
        <v>268</v>
      </c>
      <c r="R766" s="24" t="s">
        <v>268</v>
      </c>
      <c r="S766" s="24" t="s">
        <v>268</v>
      </c>
      <c r="T766" s="24" t="s">
        <v>268</v>
      </c>
      <c r="U766" s="24" t="s">
        <v>268</v>
      </c>
      <c r="V766" s="24" t="s">
        <v>268</v>
      </c>
      <c r="W766" s="18" t="s">
        <v>921</v>
      </c>
      <c r="X766" s="83" t="s">
        <v>268</v>
      </c>
      <c r="Y766" s="49"/>
      <c r="Z766" s="49"/>
      <c r="AA766" s="46"/>
      <c r="AB766" s="236" t="s">
        <v>398</v>
      </c>
      <c r="AC766" s="46"/>
      <c r="AD766" s="46"/>
      <c r="AE766" s="46"/>
      <c r="AF766" s="49">
        <v>0.0</v>
      </c>
      <c r="AG766" s="63" t="s">
        <v>354</v>
      </c>
      <c r="AH766" s="63"/>
      <c r="AI766" s="63" t="s">
        <v>354</v>
      </c>
      <c r="AJ766" s="49"/>
      <c r="AK766" s="49"/>
      <c r="AL766" s="53" t="s">
        <v>407</v>
      </c>
      <c r="AM766" s="46" t="s">
        <v>356</v>
      </c>
      <c r="AN766" s="54" t="s">
        <v>356</v>
      </c>
    </row>
    <row r="767">
      <c r="A767" s="45" t="s">
        <v>268</v>
      </c>
      <c r="B767" s="18" t="s">
        <v>915</v>
      </c>
      <c r="C767" s="46" t="s">
        <v>267</v>
      </c>
      <c r="D767" s="47" t="s">
        <v>547</v>
      </c>
      <c r="E767" s="48" t="s">
        <v>7</v>
      </c>
      <c r="F767" s="46" t="s">
        <v>67</v>
      </c>
      <c r="G767" s="57" t="s">
        <v>354</v>
      </c>
      <c r="H767" s="57" t="s">
        <v>354</v>
      </c>
      <c r="I767" s="57" t="s">
        <v>354</v>
      </c>
      <c r="J767" s="46">
        <v>51.0</v>
      </c>
      <c r="K767" s="49">
        <v>1.0</v>
      </c>
      <c r="L767" s="78">
        <v>1.0</v>
      </c>
      <c r="M767" s="78" t="s">
        <v>922</v>
      </c>
      <c r="N767" s="101" t="s">
        <v>17</v>
      </c>
      <c r="O767" s="101" t="s">
        <v>17</v>
      </c>
      <c r="P767" s="24" t="s">
        <v>269</v>
      </c>
      <c r="Q767" s="24" t="s">
        <v>268</v>
      </c>
      <c r="R767" s="24" t="s">
        <v>268</v>
      </c>
      <c r="S767" s="24" t="s">
        <v>268</v>
      </c>
      <c r="T767" s="24" t="s">
        <v>268</v>
      </c>
      <c r="U767" s="24" t="s">
        <v>268</v>
      </c>
      <c r="V767" s="24" t="s">
        <v>268</v>
      </c>
      <c r="W767" s="18" t="s">
        <v>921</v>
      </c>
      <c r="X767" s="83" t="s">
        <v>268</v>
      </c>
      <c r="Y767" s="83" t="s">
        <v>268</v>
      </c>
      <c r="Z767" s="49"/>
      <c r="AA767" s="46"/>
      <c r="AB767" s="236" t="s">
        <v>398</v>
      </c>
      <c r="AC767" s="46"/>
      <c r="AD767" s="46"/>
      <c r="AE767" s="46"/>
      <c r="AF767" s="49">
        <v>0.0</v>
      </c>
      <c r="AG767" s="63" t="s">
        <v>354</v>
      </c>
      <c r="AH767" s="63"/>
      <c r="AI767" s="63" t="s">
        <v>354</v>
      </c>
      <c r="AJ767" s="46"/>
      <c r="AK767" s="46"/>
      <c r="AL767" s="49" t="s">
        <v>356</v>
      </c>
      <c r="AM767" s="49" t="s">
        <v>356</v>
      </c>
      <c r="AN767" s="49" t="s">
        <v>356</v>
      </c>
    </row>
    <row r="768">
      <c r="A768" s="45" t="s">
        <v>268</v>
      </c>
      <c r="B768" s="18" t="s">
        <v>915</v>
      </c>
      <c r="C768" s="46" t="s">
        <v>267</v>
      </c>
      <c r="D768" s="47" t="s">
        <v>547</v>
      </c>
      <c r="E768" s="48" t="s">
        <v>7</v>
      </c>
      <c r="F768" s="46" t="s">
        <v>67</v>
      </c>
      <c r="G768" s="57" t="s">
        <v>354</v>
      </c>
      <c r="H768" s="57" t="s">
        <v>354</v>
      </c>
      <c r="I768" s="57" t="s">
        <v>354</v>
      </c>
      <c r="J768" s="46">
        <v>51.0</v>
      </c>
      <c r="K768" s="49">
        <v>1.0</v>
      </c>
      <c r="L768" s="78">
        <v>1.0</v>
      </c>
      <c r="M768" s="78" t="s">
        <v>922</v>
      </c>
      <c r="N768" s="101" t="s">
        <v>17</v>
      </c>
      <c r="O768" s="101" t="s">
        <v>17</v>
      </c>
      <c r="P768" s="24" t="s">
        <v>269</v>
      </c>
      <c r="Q768" s="24" t="s">
        <v>268</v>
      </c>
      <c r="R768" s="24" t="s">
        <v>268</v>
      </c>
      <c r="S768" s="24" t="s">
        <v>268</v>
      </c>
      <c r="T768" s="24" t="s">
        <v>268</v>
      </c>
      <c r="U768" s="24" t="s">
        <v>268</v>
      </c>
      <c r="V768" s="24" t="s">
        <v>268</v>
      </c>
      <c r="W768" s="18" t="s">
        <v>921</v>
      </c>
      <c r="X768" s="83" t="s">
        <v>268</v>
      </c>
      <c r="Y768" s="83" t="s">
        <v>268</v>
      </c>
      <c r="Z768" s="18" t="s">
        <v>923</v>
      </c>
      <c r="AA768" s="46"/>
      <c r="AB768" s="236" t="s">
        <v>398</v>
      </c>
      <c r="AC768" s="46"/>
      <c r="AD768" s="46"/>
      <c r="AE768" s="46"/>
      <c r="AF768" s="49">
        <v>0.0</v>
      </c>
      <c r="AG768" s="49" t="s">
        <v>356</v>
      </c>
      <c r="AH768" s="46"/>
      <c r="AI768" s="49" t="s">
        <v>356</v>
      </c>
      <c r="AJ768" s="49" t="s">
        <v>356</v>
      </c>
      <c r="AK768" s="49" t="s">
        <v>356</v>
      </c>
      <c r="AL768" s="74" t="s">
        <v>361</v>
      </c>
      <c r="AM768" s="79" t="s">
        <v>361</v>
      </c>
      <c r="AN768" s="93" t="s">
        <v>356</v>
      </c>
    </row>
    <row r="769">
      <c r="A769" s="45" t="s">
        <v>268</v>
      </c>
      <c r="B769" s="18" t="s">
        <v>915</v>
      </c>
      <c r="C769" s="46" t="s">
        <v>267</v>
      </c>
      <c r="D769" s="47" t="s">
        <v>547</v>
      </c>
      <c r="E769" s="48" t="s">
        <v>7</v>
      </c>
      <c r="F769" s="46" t="s">
        <v>67</v>
      </c>
      <c r="G769" s="57" t="s">
        <v>354</v>
      </c>
      <c r="H769" s="57" t="s">
        <v>354</v>
      </c>
      <c r="I769" s="57" t="s">
        <v>354</v>
      </c>
      <c r="J769" s="46">
        <v>51.0</v>
      </c>
      <c r="K769" s="49">
        <v>1.0</v>
      </c>
      <c r="L769" s="78">
        <v>1.0</v>
      </c>
      <c r="M769" s="78" t="s">
        <v>922</v>
      </c>
      <c r="N769" s="101" t="s">
        <v>17</v>
      </c>
      <c r="O769" s="101" t="s">
        <v>17</v>
      </c>
      <c r="P769" s="24" t="s">
        <v>269</v>
      </c>
      <c r="Q769" s="24" t="s">
        <v>268</v>
      </c>
      <c r="R769" s="24" t="s">
        <v>268</v>
      </c>
      <c r="S769" s="24" t="s">
        <v>268</v>
      </c>
      <c r="T769" s="24" t="s">
        <v>268</v>
      </c>
      <c r="U769" s="24" t="s">
        <v>268</v>
      </c>
      <c r="V769" s="24" t="s">
        <v>268</v>
      </c>
      <c r="W769" s="18" t="s">
        <v>921</v>
      </c>
      <c r="X769" s="83" t="s">
        <v>268</v>
      </c>
      <c r="Y769" s="83" t="s">
        <v>268</v>
      </c>
      <c r="Z769" s="18" t="s">
        <v>923</v>
      </c>
      <c r="AA769" s="83" t="s">
        <v>268</v>
      </c>
      <c r="AB769" s="236" t="s">
        <v>398</v>
      </c>
      <c r="AC769" s="46"/>
      <c r="AD769" s="46"/>
      <c r="AE769" s="46"/>
      <c r="AF769" s="49">
        <v>0.0</v>
      </c>
      <c r="AG769" s="63" t="s">
        <v>354</v>
      </c>
      <c r="AH769" s="63"/>
      <c r="AI769" s="63" t="s">
        <v>354</v>
      </c>
      <c r="AJ769" s="46"/>
      <c r="AK769" s="46"/>
      <c r="AL769" s="49" t="s">
        <v>356</v>
      </c>
      <c r="AM769" s="49" t="s">
        <v>356</v>
      </c>
      <c r="AN769" s="49" t="s">
        <v>356</v>
      </c>
    </row>
    <row r="770">
      <c r="A770" s="17" t="s">
        <v>271</v>
      </c>
      <c r="B770" s="18" t="s">
        <v>924</v>
      </c>
      <c r="C770" s="19" t="s">
        <v>270</v>
      </c>
      <c r="D770" s="20" t="s">
        <v>547</v>
      </c>
      <c r="E770" s="21" t="s">
        <v>37</v>
      </c>
      <c r="F770" s="19" t="s">
        <v>67</v>
      </c>
      <c r="G770" s="23">
        <v>116.0</v>
      </c>
      <c r="H770" s="23" t="s">
        <v>354</v>
      </c>
      <c r="I770" s="23" t="s">
        <v>354</v>
      </c>
      <c r="J770" s="19">
        <v>110.0</v>
      </c>
      <c r="K770" s="23">
        <v>0.0</v>
      </c>
      <c r="L770" s="23">
        <v>0.0</v>
      </c>
      <c r="M770" s="23" t="s">
        <v>354</v>
      </c>
      <c r="N770" s="101" t="s">
        <v>17</v>
      </c>
      <c r="O770" s="101" t="s">
        <v>17</v>
      </c>
      <c r="P770" s="24" t="s">
        <v>272</v>
      </c>
      <c r="Q770" s="44" t="s">
        <v>373</v>
      </c>
      <c r="R770" s="19"/>
      <c r="S770" s="19"/>
      <c r="T770" s="19"/>
      <c r="U770" s="19"/>
      <c r="V770" s="19"/>
      <c r="W770" s="19"/>
      <c r="X770" s="19"/>
      <c r="Y770" s="19"/>
      <c r="Z770" s="19"/>
      <c r="AA770" s="19"/>
      <c r="AB770" s="22" t="s">
        <v>354</v>
      </c>
      <c r="AC770" s="19">
        <v>36565.0</v>
      </c>
      <c r="AD770" s="19"/>
      <c r="AE770" s="19"/>
      <c r="AF770" s="66">
        <v>31.59</v>
      </c>
      <c r="AG770" s="36" t="s">
        <v>365</v>
      </c>
      <c r="AH770" s="23" t="s">
        <v>291</v>
      </c>
      <c r="AI770" s="87" t="s">
        <v>413</v>
      </c>
      <c r="AJ770" s="19"/>
      <c r="AK770" s="19"/>
      <c r="AL770" s="87" t="s">
        <v>413</v>
      </c>
      <c r="AM770" s="31" t="s">
        <v>356</v>
      </c>
      <c r="AN770" s="88" t="s">
        <v>358</v>
      </c>
    </row>
    <row r="771">
      <c r="A771" s="17" t="s">
        <v>271</v>
      </c>
      <c r="B771" s="18" t="s">
        <v>924</v>
      </c>
      <c r="C771" s="19" t="s">
        <v>270</v>
      </c>
      <c r="D771" s="20" t="s">
        <v>547</v>
      </c>
      <c r="E771" s="33" t="s">
        <v>7</v>
      </c>
      <c r="F771" s="19" t="s">
        <v>67</v>
      </c>
      <c r="G771" s="23" t="s">
        <v>354</v>
      </c>
      <c r="H771" s="23">
        <v>165.0</v>
      </c>
      <c r="I771" s="23" t="s">
        <v>354</v>
      </c>
      <c r="J771" s="19">
        <v>4.0</v>
      </c>
      <c r="K771" s="23">
        <v>0.0</v>
      </c>
      <c r="L771" s="23">
        <v>0.0</v>
      </c>
      <c r="M771" s="23" t="s">
        <v>354</v>
      </c>
      <c r="N771" s="101" t="s">
        <v>17</v>
      </c>
      <c r="O771" s="101" t="s">
        <v>17</v>
      </c>
      <c r="P771" s="24" t="s">
        <v>272</v>
      </c>
      <c r="Q771" s="44" t="s">
        <v>373</v>
      </c>
      <c r="R771" s="24" t="s">
        <v>274</v>
      </c>
      <c r="S771" s="19"/>
      <c r="T771" s="19"/>
      <c r="U771" s="19"/>
      <c r="V771" s="19"/>
      <c r="W771" s="19"/>
      <c r="X771" s="19"/>
      <c r="Y771" s="19"/>
      <c r="Z771" s="19"/>
      <c r="AA771" s="19"/>
      <c r="AB771" s="23" t="s">
        <v>925</v>
      </c>
      <c r="AC771" s="19"/>
      <c r="AD771" s="19"/>
      <c r="AE771" s="19"/>
      <c r="AF771" s="66">
        <v>30.35</v>
      </c>
      <c r="AG771" s="36" t="s">
        <v>365</v>
      </c>
      <c r="AH771" s="23" t="s">
        <v>366</v>
      </c>
      <c r="AI771" s="26" t="s">
        <v>357</v>
      </c>
      <c r="AJ771" s="19"/>
      <c r="AK771" s="19"/>
      <c r="AL771" s="26" t="s">
        <v>357</v>
      </c>
      <c r="AM771" s="26" t="s">
        <v>357</v>
      </c>
      <c r="AN771" s="26" t="s">
        <v>357</v>
      </c>
    </row>
    <row r="772">
      <c r="A772" s="17" t="s">
        <v>271</v>
      </c>
      <c r="B772" s="18" t="s">
        <v>924</v>
      </c>
      <c r="C772" s="19" t="s">
        <v>270</v>
      </c>
      <c r="D772" s="20" t="s">
        <v>547</v>
      </c>
      <c r="E772" s="33" t="s">
        <v>7</v>
      </c>
      <c r="F772" s="19" t="s">
        <v>67</v>
      </c>
      <c r="G772" s="23" t="s">
        <v>354</v>
      </c>
      <c r="H772" s="23">
        <v>185.0</v>
      </c>
      <c r="I772" s="23" t="s">
        <v>354</v>
      </c>
      <c r="J772" s="19">
        <v>6.0</v>
      </c>
      <c r="K772" s="23">
        <v>0.0</v>
      </c>
      <c r="L772" s="23">
        <v>0.0</v>
      </c>
      <c r="M772" s="23" t="s">
        <v>354</v>
      </c>
      <c r="N772" s="101" t="s">
        <v>17</v>
      </c>
      <c r="O772" s="101" t="s">
        <v>17</v>
      </c>
      <c r="P772" s="24" t="s">
        <v>272</v>
      </c>
      <c r="Q772" s="44" t="s">
        <v>373</v>
      </c>
      <c r="R772" s="24" t="s">
        <v>274</v>
      </c>
      <c r="S772" s="24" t="s">
        <v>274</v>
      </c>
      <c r="T772" s="19"/>
      <c r="U772" s="19"/>
      <c r="V772" s="19"/>
      <c r="W772" s="19"/>
      <c r="X772" s="19"/>
      <c r="Y772" s="19"/>
      <c r="Z772" s="19"/>
      <c r="AA772" s="19"/>
      <c r="AB772" s="23" t="s">
        <v>926</v>
      </c>
      <c r="AC772" s="19"/>
      <c r="AD772" s="19"/>
      <c r="AE772" s="19"/>
      <c r="AF772" s="23">
        <v>0.0</v>
      </c>
      <c r="AG772" s="33" t="s">
        <v>354</v>
      </c>
      <c r="AH772" s="33"/>
      <c r="AI772" s="33" t="s">
        <v>354</v>
      </c>
      <c r="AJ772" s="19"/>
      <c r="AK772" s="19"/>
      <c r="AL772" s="59" t="s">
        <v>357</v>
      </c>
      <c r="AM772" s="82" t="s">
        <v>361</v>
      </c>
      <c r="AN772" s="59" t="s">
        <v>357</v>
      </c>
    </row>
    <row r="773">
      <c r="A773" s="17" t="s">
        <v>271</v>
      </c>
      <c r="B773" s="18" t="s">
        <v>924</v>
      </c>
      <c r="C773" s="19" t="s">
        <v>270</v>
      </c>
      <c r="D773" s="20" t="s">
        <v>547</v>
      </c>
      <c r="E773" s="33" t="s">
        <v>7</v>
      </c>
      <c r="F773" s="19" t="s">
        <v>67</v>
      </c>
      <c r="G773" s="23">
        <v>120.0</v>
      </c>
      <c r="H773" s="23">
        <v>200.0</v>
      </c>
      <c r="I773" s="23" t="s">
        <v>354</v>
      </c>
      <c r="J773" s="19">
        <v>6.0</v>
      </c>
      <c r="K773" s="23">
        <v>0.0</v>
      </c>
      <c r="L773" s="23">
        <v>0.0</v>
      </c>
      <c r="M773" s="23" t="s">
        <v>354</v>
      </c>
      <c r="N773" s="101" t="s">
        <v>17</v>
      </c>
      <c r="O773" s="101" t="s">
        <v>17</v>
      </c>
      <c r="P773" s="24" t="s">
        <v>272</v>
      </c>
      <c r="Q773" s="44" t="s">
        <v>373</v>
      </c>
      <c r="R773" s="24" t="s">
        <v>274</v>
      </c>
      <c r="S773" s="24" t="s">
        <v>274</v>
      </c>
      <c r="T773" s="24" t="s">
        <v>274</v>
      </c>
      <c r="U773" s="23"/>
      <c r="V773" s="19"/>
      <c r="W773" s="19"/>
      <c r="X773" s="19"/>
      <c r="Y773" s="19"/>
      <c r="Z773" s="19"/>
      <c r="AA773" s="19"/>
      <c r="AB773" s="23" t="s">
        <v>442</v>
      </c>
      <c r="AC773" s="19"/>
      <c r="AD773" s="19"/>
      <c r="AE773" s="19"/>
      <c r="AF773" s="33">
        <v>0.0</v>
      </c>
      <c r="AG773" s="33" t="s">
        <v>354</v>
      </c>
      <c r="AH773" s="33"/>
      <c r="AI773" s="33" t="s">
        <v>354</v>
      </c>
      <c r="AJ773" s="19"/>
      <c r="AK773" s="19"/>
      <c r="AL773" s="90" t="s">
        <v>413</v>
      </c>
      <c r="AM773" s="90" t="s">
        <v>413</v>
      </c>
      <c r="AN773" s="90" t="s">
        <v>413</v>
      </c>
    </row>
    <row r="774">
      <c r="A774" s="17" t="s">
        <v>271</v>
      </c>
      <c r="B774" s="18" t="s">
        <v>924</v>
      </c>
      <c r="C774" s="19" t="s">
        <v>270</v>
      </c>
      <c r="D774" s="20" t="s">
        <v>547</v>
      </c>
      <c r="E774" s="33" t="s">
        <v>7</v>
      </c>
      <c r="F774" s="19" t="s">
        <v>67</v>
      </c>
      <c r="G774" s="23" t="s">
        <v>354</v>
      </c>
      <c r="H774" s="23">
        <v>250.0</v>
      </c>
      <c r="I774" s="23" t="s">
        <v>354</v>
      </c>
      <c r="J774" s="19"/>
      <c r="K774" s="23">
        <v>1.0</v>
      </c>
      <c r="L774" s="23">
        <v>0.0</v>
      </c>
      <c r="M774" s="23" t="s">
        <v>354</v>
      </c>
      <c r="N774" s="101" t="s">
        <v>17</v>
      </c>
      <c r="O774" s="101" t="s">
        <v>17</v>
      </c>
      <c r="P774" s="24" t="s">
        <v>272</v>
      </c>
      <c r="Q774" s="44" t="s">
        <v>373</v>
      </c>
      <c r="R774" s="24" t="s">
        <v>274</v>
      </c>
      <c r="S774" s="24" t="s">
        <v>274</v>
      </c>
      <c r="T774" s="24" t="s">
        <v>274</v>
      </c>
      <c r="U774" s="24" t="s">
        <v>274</v>
      </c>
      <c r="V774" s="19"/>
      <c r="W774" s="19"/>
      <c r="X774" s="19"/>
      <c r="Y774" s="19"/>
      <c r="Z774" s="19"/>
      <c r="AA774" s="19"/>
      <c r="AB774" s="23" t="s">
        <v>442</v>
      </c>
      <c r="AC774" s="19"/>
      <c r="AD774" s="19"/>
      <c r="AE774" s="19"/>
      <c r="AF774" s="33">
        <v>0.0</v>
      </c>
      <c r="AG774" s="33" t="s">
        <v>354</v>
      </c>
      <c r="AH774" s="33"/>
      <c r="AI774" s="33" t="s">
        <v>354</v>
      </c>
      <c r="AJ774" s="19"/>
      <c r="AK774" s="19"/>
      <c r="AL774" s="31" t="s">
        <v>356</v>
      </c>
      <c r="AM774" s="31" t="s">
        <v>356</v>
      </c>
      <c r="AN774" s="31" t="s">
        <v>356</v>
      </c>
    </row>
    <row r="775">
      <c r="A775" s="17" t="s">
        <v>271</v>
      </c>
      <c r="B775" s="18" t="s">
        <v>924</v>
      </c>
      <c r="C775" s="19" t="s">
        <v>270</v>
      </c>
      <c r="D775" s="20" t="s">
        <v>547</v>
      </c>
      <c r="E775" s="33" t="s">
        <v>7</v>
      </c>
      <c r="F775" s="19" t="s">
        <v>67</v>
      </c>
      <c r="G775" s="23" t="s">
        <v>354</v>
      </c>
      <c r="H775" s="23">
        <v>215.0</v>
      </c>
      <c r="I775" s="23" t="s">
        <v>354</v>
      </c>
      <c r="J775" s="19">
        <v>6.0</v>
      </c>
      <c r="K775" s="23">
        <v>0.0</v>
      </c>
      <c r="L775" s="23">
        <v>0.0</v>
      </c>
      <c r="M775" s="23" t="s">
        <v>354</v>
      </c>
      <c r="N775" s="101" t="s">
        <v>17</v>
      </c>
      <c r="O775" s="101" t="s">
        <v>17</v>
      </c>
      <c r="P775" s="24" t="s">
        <v>272</v>
      </c>
      <c r="Q775" s="44" t="s">
        <v>373</v>
      </c>
      <c r="R775" s="24" t="s">
        <v>274</v>
      </c>
      <c r="S775" s="24" t="s">
        <v>274</v>
      </c>
      <c r="T775" s="24" t="s">
        <v>274</v>
      </c>
      <c r="U775" s="24" t="s">
        <v>274</v>
      </c>
      <c r="V775" s="24" t="s">
        <v>274</v>
      </c>
      <c r="W775" s="19"/>
      <c r="X775" s="19"/>
      <c r="Y775" s="19"/>
      <c r="Z775" s="19"/>
      <c r="AA775" s="19"/>
      <c r="AB775" s="22" t="s">
        <v>354</v>
      </c>
      <c r="AC775" s="19"/>
      <c r="AD775" s="19"/>
      <c r="AE775" s="19"/>
      <c r="AF775" s="33">
        <v>0.0</v>
      </c>
      <c r="AG775" s="33" t="s">
        <v>354</v>
      </c>
      <c r="AH775" s="33"/>
      <c r="AI775" s="33" t="s">
        <v>354</v>
      </c>
      <c r="AJ775" s="19"/>
      <c r="AK775" s="19"/>
      <c r="AL775" s="31" t="s">
        <v>356</v>
      </c>
      <c r="AM775" s="31" t="s">
        <v>356</v>
      </c>
      <c r="AN775" s="31" t="s">
        <v>356</v>
      </c>
    </row>
    <row r="776">
      <c r="A776" s="17" t="s">
        <v>271</v>
      </c>
      <c r="B776" s="18" t="s">
        <v>924</v>
      </c>
      <c r="C776" s="19" t="s">
        <v>270</v>
      </c>
      <c r="D776" s="20" t="s">
        <v>547</v>
      </c>
      <c r="E776" s="33" t="s">
        <v>7</v>
      </c>
      <c r="F776" s="19" t="s">
        <v>67</v>
      </c>
      <c r="G776" s="23" t="s">
        <v>354</v>
      </c>
      <c r="H776" s="23">
        <v>310.0</v>
      </c>
      <c r="I776" s="23" t="s">
        <v>354</v>
      </c>
      <c r="J776" s="19">
        <v>6.0</v>
      </c>
      <c r="K776" s="23">
        <v>0.0</v>
      </c>
      <c r="L776" s="23">
        <v>0.0</v>
      </c>
      <c r="M776" s="23" t="s">
        <v>354</v>
      </c>
      <c r="N776" s="101" t="s">
        <v>17</v>
      </c>
      <c r="O776" s="101" t="s">
        <v>17</v>
      </c>
      <c r="P776" s="24" t="s">
        <v>272</v>
      </c>
      <c r="Q776" s="44" t="s">
        <v>373</v>
      </c>
      <c r="R776" s="24" t="s">
        <v>274</v>
      </c>
      <c r="S776" s="24" t="s">
        <v>274</v>
      </c>
      <c r="T776" s="24" t="s">
        <v>274</v>
      </c>
      <c r="U776" s="24" t="s">
        <v>274</v>
      </c>
      <c r="V776" s="24" t="s">
        <v>274</v>
      </c>
      <c r="W776" s="18" t="s">
        <v>927</v>
      </c>
      <c r="X776" s="19"/>
      <c r="Y776" s="19"/>
      <c r="Z776" s="19"/>
      <c r="AA776" s="19"/>
      <c r="AB776" s="158" t="s">
        <v>928</v>
      </c>
      <c r="AC776" s="19"/>
      <c r="AD776" s="19"/>
      <c r="AE776" s="19"/>
      <c r="AF776" s="33">
        <v>0.0</v>
      </c>
      <c r="AG776" s="33" t="s">
        <v>354</v>
      </c>
      <c r="AH776" s="33"/>
      <c r="AI776" s="33" t="s">
        <v>354</v>
      </c>
      <c r="AJ776" s="19"/>
      <c r="AK776" s="19"/>
      <c r="AL776" s="82" t="s">
        <v>361</v>
      </c>
      <c r="AM776" s="31" t="s">
        <v>356</v>
      </c>
      <c r="AN776" s="31" t="s">
        <v>356</v>
      </c>
    </row>
    <row r="777">
      <c r="A777" s="17" t="s">
        <v>271</v>
      </c>
      <c r="B777" s="18" t="s">
        <v>924</v>
      </c>
      <c r="C777" s="19" t="s">
        <v>270</v>
      </c>
      <c r="D777" s="20" t="s">
        <v>547</v>
      </c>
      <c r="E777" s="33" t="s">
        <v>7</v>
      </c>
      <c r="F777" s="19" t="s">
        <v>67</v>
      </c>
      <c r="G777" s="22" t="s">
        <v>354</v>
      </c>
      <c r="H777" s="22" t="s">
        <v>354</v>
      </c>
      <c r="I777" s="22" t="s">
        <v>354</v>
      </c>
      <c r="J777" s="19">
        <v>6.0</v>
      </c>
      <c r="K777" s="23">
        <v>0.0</v>
      </c>
      <c r="L777" s="78">
        <v>1.0</v>
      </c>
      <c r="M777" s="78" t="s">
        <v>929</v>
      </c>
      <c r="N777" s="101" t="s">
        <v>17</v>
      </c>
      <c r="O777" s="101" t="s">
        <v>17</v>
      </c>
      <c r="P777" s="24" t="s">
        <v>272</v>
      </c>
      <c r="Q777" s="44" t="s">
        <v>373</v>
      </c>
      <c r="R777" s="24" t="s">
        <v>274</v>
      </c>
      <c r="S777" s="24" t="s">
        <v>274</v>
      </c>
      <c r="T777" s="24" t="s">
        <v>274</v>
      </c>
      <c r="U777" s="24" t="s">
        <v>274</v>
      </c>
      <c r="V777" s="24" t="s">
        <v>274</v>
      </c>
      <c r="W777" s="18" t="s">
        <v>927</v>
      </c>
      <c r="X777" s="83" t="s">
        <v>274</v>
      </c>
      <c r="Y777" s="23"/>
      <c r="Z777" s="23"/>
      <c r="AA777" s="19"/>
      <c r="AB777" s="158" t="s">
        <v>455</v>
      </c>
      <c r="AC777" s="19"/>
      <c r="AD777" s="19"/>
      <c r="AE777" s="19"/>
      <c r="AF777" s="33">
        <v>0.0</v>
      </c>
      <c r="AG777" s="33" t="s">
        <v>354</v>
      </c>
      <c r="AH777" s="33"/>
      <c r="AI777" s="33" t="s">
        <v>354</v>
      </c>
      <c r="AJ777" s="43"/>
      <c r="AK777" s="23"/>
      <c r="AL777" s="132" t="s">
        <v>420</v>
      </c>
      <c r="AM777" s="31" t="s">
        <v>356</v>
      </c>
      <c r="AN777" s="31" t="s">
        <v>356</v>
      </c>
    </row>
    <row r="778">
      <c r="A778" s="17" t="s">
        <v>271</v>
      </c>
      <c r="B778" s="18" t="s">
        <v>924</v>
      </c>
      <c r="C778" s="19" t="s">
        <v>270</v>
      </c>
      <c r="D778" s="20" t="s">
        <v>547</v>
      </c>
      <c r="E778" s="33" t="s">
        <v>7</v>
      </c>
      <c r="F778" s="19" t="s">
        <v>67</v>
      </c>
      <c r="G778" s="22" t="s">
        <v>354</v>
      </c>
      <c r="H778" s="22" t="s">
        <v>354</v>
      </c>
      <c r="I778" s="22" t="s">
        <v>354</v>
      </c>
      <c r="J778" s="19">
        <v>6.0</v>
      </c>
      <c r="K778" s="23">
        <v>0.0</v>
      </c>
      <c r="L778" s="78">
        <v>1.0</v>
      </c>
      <c r="M778" s="78" t="s">
        <v>929</v>
      </c>
      <c r="N778" s="101" t="s">
        <v>17</v>
      </c>
      <c r="O778" s="101" t="s">
        <v>17</v>
      </c>
      <c r="P778" s="24" t="s">
        <v>272</v>
      </c>
      <c r="Q778" s="44" t="s">
        <v>373</v>
      </c>
      <c r="R778" s="24" t="s">
        <v>274</v>
      </c>
      <c r="S778" s="24" t="s">
        <v>274</v>
      </c>
      <c r="T778" s="24" t="s">
        <v>274</v>
      </c>
      <c r="U778" s="24" t="s">
        <v>274</v>
      </c>
      <c r="V778" s="24" t="s">
        <v>274</v>
      </c>
      <c r="W778" s="18" t="s">
        <v>927</v>
      </c>
      <c r="X778" s="83" t="s">
        <v>274</v>
      </c>
      <c r="Y778" s="18" t="s">
        <v>930</v>
      </c>
      <c r="Z778" s="23"/>
      <c r="AA778" s="19"/>
      <c r="AB778" s="158" t="s">
        <v>455</v>
      </c>
      <c r="AC778" s="19"/>
      <c r="AD778" s="19"/>
      <c r="AE778" s="19"/>
      <c r="AF778" s="33">
        <v>0.0</v>
      </c>
      <c r="AG778" s="33" t="s">
        <v>354</v>
      </c>
      <c r="AH778" s="33"/>
      <c r="AI778" s="33" t="s">
        <v>354</v>
      </c>
      <c r="AJ778" s="43"/>
      <c r="AK778" s="23"/>
      <c r="AL778" s="31" t="s">
        <v>356</v>
      </c>
      <c r="AM778" s="31" t="s">
        <v>356</v>
      </c>
      <c r="AN778" s="133" t="s">
        <v>420</v>
      </c>
    </row>
    <row r="779">
      <c r="A779" s="17" t="s">
        <v>271</v>
      </c>
      <c r="B779" s="18" t="s">
        <v>924</v>
      </c>
      <c r="C779" s="19" t="s">
        <v>270</v>
      </c>
      <c r="D779" s="20" t="s">
        <v>547</v>
      </c>
      <c r="E779" s="33" t="s">
        <v>7</v>
      </c>
      <c r="F779" s="19" t="s">
        <v>67</v>
      </c>
      <c r="G779" s="22" t="s">
        <v>354</v>
      </c>
      <c r="H779" s="22" t="s">
        <v>354</v>
      </c>
      <c r="I779" s="22" t="s">
        <v>354</v>
      </c>
      <c r="J779" s="19">
        <v>6.0</v>
      </c>
      <c r="K779" s="23">
        <v>0.0</v>
      </c>
      <c r="L779" s="78">
        <v>1.0</v>
      </c>
      <c r="M779" s="78" t="s">
        <v>929</v>
      </c>
      <c r="N779" s="101" t="s">
        <v>17</v>
      </c>
      <c r="O779" s="101" t="s">
        <v>17</v>
      </c>
      <c r="P779" s="24" t="s">
        <v>272</v>
      </c>
      <c r="Q779" s="44" t="s">
        <v>373</v>
      </c>
      <c r="R779" s="24" t="s">
        <v>274</v>
      </c>
      <c r="S779" s="24" t="s">
        <v>274</v>
      </c>
      <c r="T779" s="24" t="s">
        <v>274</v>
      </c>
      <c r="U779" s="24" t="s">
        <v>274</v>
      </c>
      <c r="V779" s="24" t="s">
        <v>274</v>
      </c>
      <c r="W779" s="18" t="s">
        <v>927</v>
      </c>
      <c r="X779" s="83" t="s">
        <v>274</v>
      </c>
      <c r="Y779" s="18" t="s">
        <v>930</v>
      </c>
      <c r="Z779" s="18" t="s">
        <v>274</v>
      </c>
      <c r="AA779" s="19"/>
      <c r="AB779" s="158" t="s">
        <v>455</v>
      </c>
      <c r="AC779" s="19"/>
      <c r="AD779" s="19"/>
      <c r="AE779" s="19"/>
      <c r="AF779" s="33">
        <v>0.0</v>
      </c>
      <c r="AG779" s="23" t="s">
        <v>356</v>
      </c>
      <c r="AH779" s="19"/>
      <c r="AI779" s="23" t="s">
        <v>356</v>
      </c>
      <c r="AJ779" s="32" t="s">
        <v>361</v>
      </c>
      <c r="AK779" s="23" t="s">
        <v>356</v>
      </c>
      <c r="AL779" s="32" t="s">
        <v>361</v>
      </c>
      <c r="AM779" s="32" t="s">
        <v>361</v>
      </c>
      <c r="AN779" s="31" t="s">
        <v>356</v>
      </c>
    </row>
    <row r="780">
      <c r="A780" s="17" t="s">
        <v>271</v>
      </c>
      <c r="B780" s="18" t="s">
        <v>924</v>
      </c>
      <c r="C780" s="19" t="s">
        <v>270</v>
      </c>
      <c r="D780" s="20" t="s">
        <v>547</v>
      </c>
      <c r="E780" s="33" t="s">
        <v>7</v>
      </c>
      <c r="F780" s="19" t="s">
        <v>67</v>
      </c>
      <c r="G780" s="22" t="s">
        <v>354</v>
      </c>
      <c r="H780" s="22" t="s">
        <v>354</v>
      </c>
      <c r="I780" s="22" t="s">
        <v>354</v>
      </c>
      <c r="J780" s="19">
        <v>6.0</v>
      </c>
      <c r="K780" s="23">
        <v>0.0</v>
      </c>
      <c r="L780" s="78">
        <v>1.0</v>
      </c>
      <c r="M780" s="78" t="s">
        <v>929</v>
      </c>
      <c r="N780" s="101" t="s">
        <v>17</v>
      </c>
      <c r="O780" s="101" t="s">
        <v>17</v>
      </c>
      <c r="P780" s="24" t="s">
        <v>272</v>
      </c>
      <c r="Q780" s="44" t="s">
        <v>373</v>
      </c>
      <c r="R780" s="24" t="s">
        <v>274</v>
      </c>
      <c r="S780" s="24" t="s">
        <v>274</v>
      </c>
      <c r="T780" s="24" t="s">
        <v>274</v>
      </c>
      <c r="U780" s="24" t="s">
        <v>274</v>
      </c>
      <c r="V780" s="24" t="s">
        <v>274</v>
      </c>
      <c r="W780" s="18" t="s">
        <v>927</v>
      </c>
      <c r="X780" s="83" t="s">
        <v>274</v>
      </c>
      <c r="Y780" s="18" t="s">
        <v>930</v>
      </c>
      <c r="Z780" s="18" t="s">
        <v>274</v>
      </c>
      <c r="AA780" s="18" t="s">
        <v>274</v>
      </c>
      <c r="AB780" s="158" t="s">
        <v>455</v>
      </c>
      <c r="AC780" s="19"/>
      <c r="AD780" s="19"/>
      <c r="AE780" s="19"/>
      <c r="AF780" s="145">
        <v>31.5514135236395</v>
      </c>
      <c r="AG780" s="33" t="s">
        <v>354</v>
      </c>
      <c r="AH780" s="33"/>
      <c r="AI780" s="33" t="s">
        <v>354</v>
      </c>
      <c r="AJ780" s="32"/>
      <c r="AK780" s="23"/>
      <c r="AL780" s="91" t="s">
        <v>413</v>
      </c>
      <c r="AM780" s="91" t="s">
        <v>413</v>
      </c>
      <c r="AN780" s="115" t="s">
        <v>358</v>
      </c>
    </row>
    <row r="781">
      <c r="A781" s="85" t="s">
        <v>931</v>
      </c>
      <c r="B781" s="98" t="s">
        <v>932</v>
      </c>
      <c r="C781" s="46" t="s">
        <v>275</v>
      </c>
      <c r="D781" s="47" t="s">
        <v>547</v>
      </c>
      <c r="E781" s="63" t="s">
        <v>37</v>
      </c>
      <c r="F781" s="46" t="s">
        <v>67</v>
      </c>
      <c r="G781" s="49">
        <v>118.0</v>
      </c>
      <c r="H781" s="49">
        <v>220.0</v>
      </c>
      <c r="I781" s="49" t="s">
        <v>354</v>
      </c>
      <c r="J781" s="46">
        <v>112.0</v>
      </c>
      <c r="K781" s="49">
        <v>0.0</v>
      </c>
      <c r="L781" s="49">
        <v>0.0</v>
      </c>
      <c r="M781" s="49" t="s">
        <v>354</v>
      </c>
      <c r="N781" s="101" t="s">
        <v>17</v>
      </c>
      <c r="O781" s="101" t="s">
        <v>17</v>
      </c>
      <c r="P781" s="24" t="s">
        <v>277</v>
      </c>
      <c r="Q781" s="46"/>
      <c r="R781" s="46"/>
      <c r="S781" s="46"/>
      <c r="T781" s="46"/>
      <c r="U781" s="46"/>
      <c r="V781" s="46"/>
      <c r="W781" s="46"/>
      <c r="X781" s="46"/>
      <c r="Y781" s="46"/>
      <c r="Z781" s="46"/>
      <c r="AA781" s="46"/>
      <c r="AB781" s="57" t="s">
        <v>354</v>
      </c>
      <c r="AC781" s="46">
        <v>36567.0</v>
      </c>
      <c r="AD781" s="46"/>
      <c r="AE781" s="46"/>
      <c r="AF781" s="55">
        <v>32.98</v>
      </c>
      <c r="AG781" s="49" t="s">
        <v>356</v>
      </c>
      <c r="AH781" s="46"/>
      <c r="AI781" s="49" t="s">
        <v>356</v>
      </c>
      <c r="AJ781" s="46"/>
      <c r="AK781" s="46"/>
      <c r="AL781" s="58" t="s">
        <v>380</v>
      </c>
      <c r="AM781" s="87" t="s">
        <v>413</v>
      </c>
      <c r="AN781" s="54" t="s">
        <v>356</v>
      </c>
    </row>
    <row r="782">
      <c r="A782" s="85" t="s">
        <v>931</v>
      </c>
      <c r="B782" s="98" t="s">
        <v>932</v>
      </c>
      <c r="C782" s="46" t="s">
        <v>275</v>
      </c>
      <c r="D782" s="47" t="s">
        <v>547</v>
      </c>
      <c r="E782" s="63" t="s">
        <v>37</v>
      </c>
      <c r="F782" s="46" t="s">
        <v>67</v>
      </c>
      <c r="G782" s="49">
        <v>118.0</v>
      </c>
      <c r="H782" s="49">
        <v>190.0</v>
      </c>
      <c r="I782" s="49" t="s">
        <v>354</v>
      </c>
      <c r="J782" s="46">
        <v>53.0</v>
      </c>
      <c r="K782" s="49">
        <v>0.0</v>
      </c>
      <c r="L782" s="49">
        <v>1.0</v>
      </c>
      <c r="M782" s="49" t="s">
        <v>354</v>
      </c>
      <c r="N782" s="101" t="s">
        <v>17</v>
      </c>
      <c r="O782" s="101" t="s">
        <v>17</v>
      </c>
      <c r="P782" s="24" t="s">
        <v>277</v>
      </c>
      <c r="Q782" s="24" t="s">
        <v>278</v>
      </c>
      <c r="R782" s="46"/>
      <c r="S782" s="46"/>
      <c r="T782" s="46"/>
      <c r="U782" s="46"/>
      <c r="V782" s="46"/>
      <c r="W782" s="46"/>
      <c r="X782" s="46"/>
      <c r="Y782" s="46"/>
      <c r="Z782" s="46"/>
      <c r="AA782" s="46"/>
      <c r="AB782" s="49" t="s">
        <v>933</v>
      </c>
      <c r="AC782" s="46">
        <v>36643.0</v>
      </c>
      <c r="AD782" s="46"/>
      <c r="AE782" s="46"/>
      <c r="AF782" s="55">
        <v>25.65</v>
      </c>
      <c r="AG782" s="56" t="s">
        <v>365</v>
      </c>
      <c r="AH782" s="49" t="s">
        <v>651</v>
      </c>
      <c r="AI782" s="58" t="s">
        <v>380</v>
      </c>
      <c r="AJ782" s="46"/>
      <c r="AK782" s="46"/>
      <c r="AL782" s="59" t="s">
        <v>357</v>
      </c>
      <c r="AM782" s="38" t="s">
        <v>357</v>
      </c>
      <c r="AN782" s="74" t="s">
        <v>361</v>
      </c>
    </row>
    <row r="783">
      <c r="A783" s="85" t="s">
        <v>931</v>
      </c>
      <c r="B783" s="98" t="s">
        <v>932</v>
      </c>
      <c r="C783" s="46" t="s">
        <v>275</v>
      </c>
      <c r="D783" s="47" t="s">
        <v>547</v>
      </c>
      <c r="E783" s="63" t="s">
        <v>37</v>
      </c>
      <c r="F783" s="46" t="s">
        <v>67</v>
      </c>
      <c r="G783" s="49" t="s">
        <v>354</v>
      </c>
      <c r="H783" s="49">
        <v>185.0</v>
      </c>
      <c r="I783" s="49" t="s">
        <v>354</v>
      </c>
      <c r="J783" s="46">
        <v>53.0</v>
      </c>
      <c r="K783" s="49">
        <v>0.0</v>
      </c>
      <c r="L783" s="49">
        <v>0.0</v>
      </c>
      <c r="M783" s="49" t="s">
        <v>354</v>
      </c>
      <c r="N783" s="101" t="s">
        <v>17</v>
      </c>
      <c r="O783" s="101" t="s">
        <v>17</v>
      </c>
      <c r="P783" s="24" t="s">
        <v>277</v>
      </c>
      <c r="Q783" s="24" t="s">
        <v>278</v>
      </c>
      <c r="R783" s="24" t="s">
        <v>278</v>
      </c>
      <c r="S783" s="46"/>
      <c r="T783" s="46"/>
      <c r="U783" s="46"/>
      <c r="V783" s="46"/>
      <c r="W783" s="46"/>
      <c r="X783" s="46"/>
      <c r="Y783" s="46"/>
      <c r="Z783" s="46"/>
      <c r="AA783" s="46"/>
      <c r="AB783" s="57" t="s">
        <v>354</v>
      </c>
      <c r="AC783" s="46"/>
      <c r="AD783" s="46"/>
      <c r="AE783" s="46"/>
      <c r="AF783" s="63">
        <v>0.0</v>
      </c>
      <c r="AG783" s="56" t="s">
        <v>365</v>
      </c>
      <c r="AH783" s="49" t="s">
        <v>829</v>
      </c>
      <c r="AI783" s="58" t="s">
        <v>380</v>
      </c>
      <c r="AJ783" s="46"/>
      <c r="AK783" s="46"/>
      <c r="AL783" s="80" t="s">
        <v>356</v>
      </c>
      <c r="AM783" s="58" t="s">
        <v>380</v>
      </c>
      <c r="AN783" s="76" t="s">
        <v>356</v>
      </c>
    </row>
    <row r="784">
      <c r="A784" s="85" t="s">
        <v>931</v>
      </c>
      <c r="B784" s="98" t="s">
        <v>932</v>
      </c>
      <c r="C784" s="46" t="s">
        <v>275</v>
      </c>
      <c r="D784" s="47" t="s">
        <v>547</v>
      </c>
      <c r="E784" s="63" t="s">
        <v>37</v>
      </c>
      <c r="F784" s="46" t="s">
        <v>67</v>
      </c>
      <c r="G784" s="49">
        <v>119.0</v>
      </c>
      <c r="H784" s="49">
        <v>195.0</v>
      </c>
      <c r="I784" s="49" t="s">
        <v>354</v>
      </c>
      <c r="J784" s="46">
        <v>1.0</v>
      </c>
      <c r="K784" s="49">
        <v>0.0</v>
      </c>
      <c r="L784" s="49">
        <v>0.0</v>
      </c>
      <c r="M784" s="49" t="s">
        <v>354</v>
      </c>
      <c r="N784" s="101" t="s">
        <v>17</v>
      </c>
      <c r="O784" s="101" t="s">
        <v>17</v>
      </c>
      <c r="P784" s="24" t="s">
        <v>277</v>
      </c>
      <c r="Q784" s="24" t="s">
        <v>278</v>
      </c>
      <c r="R784" s="24" t="s">
        <v>278</v>
      </c>
      <c r="S784" s="24" t="s">
        <v>279</v>
      </c>
      <c r="T784" s="46"/>
      <c r="U784" s="46"/>
      <c r="V784" s="46"/>
      <c r="W784" s="46"/>
      <c r="X784" s="46"/>
      <c r="Y784" s="46"/>
      <c r="Z784" s="46"/>
      <c r="AA784" s="46"/>
      <c r="AB784" s="57" t="s">
        <v>354</v>
      </c>
      <c r="AC784" s="46"/>
      <c r="AD784" s="46"/>
      <c r="AE784" s="46"/>
      <c r="AF784" s="63">
        <v>0.0</v>
      </c>
      <c r="AG784" s="63" t="s">
        <v>354</v>
      </c>
      <c r="AH784" s="63" t="s">
        <v>354</v>
      </c>
      <c r="AI784" s="63" t="s">
        <v>354</v>
      </c>
      <c r="AJ784" s="46"/>
      <c r="AK784" s="46"/>
      <c r="AL784" s="90" t="s">
        <v>413</v>
      </c>
      <c r="AM784" s="90" t="s">
        <v>413</v>
      </c>
      <c r="AN784" s="90" t="s">
        <v>413</v>
      </c>
    </row>
    <row r="785">
      <c r="A785" s="85" t="s">
        <v>931</v>
      </c>
      <c r="B785" s="98" t="s">
        <v>932</v>
      </c>
      <c r="C785" s="46" t="s">
        <v>275</v>
      </c>
      <c r="D785" s="47" t="s">
        <v>547</v>
      </c>
      <c r="E785" s="63" t="s">
        <v>37</v>
      </c>
      <c r="F785" s="46" t="s">
        <v>67</v>
      </c>
      <c r="G785" s="49">
        <v>121.0</v>
      </c>
      <c r="H785" s="49">
        <v>220.0</v>
      </c>
      <c r="I785" s="49" t="s">
        <v>354</v>
      </c>
      <c r="J785" s="46">
        <v>1.0</v>
      </c>
      <c r="K785" s="49">
        <v>0.0</v>
      </c>
      <c r="L785" s="49">
        <v>0.0</v>
      </c>
      <c r="M785" s="49" t="s">
        <v>354</v>
      </c>
      <c r="N785" s="101" t="s">
        <v>17</v>
      </c>
      <c r="O785" s="101" t="s">
        <v>17</v>
      </c>
      <c r="P785" s="24" t="s">
        <v>277</v>
      </c>
      <c r="Q785" s="24" t="s">
        <v>278</v>
      </c>
      <c r="R785" s="24" t="s">
        <v>278</v>
      </c>
      <c r="S785" s="24" t="s">
        <v>279</v>
      </c>
      <c r="T785" s="24" t="s">
        <v>280</v>
      </c>
      <c r="U785" s="49"/>
      <c r="V785" s="46"/>
      <c r="W785" s="46"/>
      <c r="X785" s="49"/>
      <c r="Y785" s="49"/>
      <c r="Z785" s="49"/>
      <c r="AA785" s="46"/>
      <c r="AB785" s="49" t="s">
        <v>442</v>
      </c>
      <c r="AC785" s="46"/>
      <c r="AD785" s="46"/>
      <c r="AE785" s="46"/>
      <c r="AF785" s="63">
        <v>0.0</v>
      </c>
      <c r="AG785" s="63" t="s">
        <v>354</v>
      </c>
      <c r="AH785" s="63"/>
      <c r="AI785" s="63" t="s">
        <v>354</v>
      </c>
      <c r="AJ785" s="46"/>
      <c r="AK785" s="46"/>
      <c r="AL785" s="90" t="s">
        <v>413</v>
      </c>
      <c r="AM785" s="90" t="s">
        <v>413</v>
      </c>
      <c r="AN785" s="90" t="s">
        <v>413</v>
      </c>
    </row>
    <row r="786">
      <c r="A786" s="85" t="s">
        <v>931</v>
      </c>
      <c r="B786" s="98" t="s">
        <v>932</v>
      </c>
      <c r="C786" s="46" t="s">
        <v>275</v>
      </c>
      <c r="D786" s="47" t="s">
        <v>547</v>
      </c>
      <c r="E786" s="63" t="s">
        <v>37</v>
      </c>
      <c r="F786" s="46" t="s">
        <v>67</v>
      </c>
      <c r="G786" s="49" t="s">
        <v>354</v>
      </c>
      <c r="H786" s="49">
        <v>230.0</v>
      </c>
      <c r="I786" s="49" t="s">
        <v>354</v>
      </c>
      <c r="J786" s="46">
        <v>1.0</v>
      </c>
      <c r="K786" s="49">
        <v>1.0</v>
      </c>
      <c r="L786" s="49">
        <v>0.0</v>
      </c>
      <c r="M786" s="49" t="s">
        <v>354</v>
      </c>
      <c r="N786" s="101" t="s">
        <v>17</v>
      </c>
      <c r="O786" s="101" t="s">
        <v>17</v>
      </c>
      <c r="P786" s="24" t="s">
        <v>277</v>
      </c>
      <c r="Q786" s="24" t="s">
        <v>278</v>
      </c>
      <c r="R786" s="24" t="s">
        <v>278</v>
      </c>
      <c r="S786" s="24" t="s">
        <v>279</v>
      </c>
      <c r="T786" s="24" t="s">
        <v>280</v>
      </c>
      <c r="U786" s="24" t="s">
        <v>280</v>
      </c>
      <c r="V786" s="46"/>
      <c r="W786" s="46"/>
      <c r="X786" s="49"/>
      <c r="Y786" s="49"/>
      <c r="Z786" s="49"/>
      <c r="AA786" s="46"/>
      <c r="AB786" s="57" t="s">
        <v>354</v>
      </c>
      <c r="AC786" s="46"/>
      <c r="AD786" s="46"/>
      <c r="AE786" s="46"/>
      <c r="AF786" s="140">
        <v>30.14</v>
      </c>
      <c r="AG786" s="63" t="s">
        <v>354</v>
      </c>
      <c r="AH786" s="63"/>
      <c r="AI786" s="63" t="s">
        <v>354</v>
      </c>
      <c r="AJ786" s="46"/>
      <c r="AK786" s="46"/>
      <c r="AL786" s="90" t="s">
        <v>413</v>
      </c>
      <c r="AM786" s="90" t="s">
        <v>413</v>
      </c>
      <c r="AN786" s="90" t="s">
        <v>413</v>
      </c>
    </row>
    <row r="787">
      <c r="A787" s="85" t="s">
        <v>931</v>
      </c>
      <c r="B787" s="98" t="s">
        <v>932</v>
      </c>
      <c r="C787" s="46" t="s">
        <v>275</v>
      </c>
      <c r="D787" s="47" t="s">
        <v>547</v>
      </c>
      <c r="E787" s="63" t="s">
        <v>37</v>
      </c>
      <c r="F787" s="46" t="s">
        <v>67</v>
      </c>
      <c r="G787" s="49" t="s">
        <v>354</v>
      </c>
      <c r="H787" s="49">
        <v>250.0</v>
      </c>
      <c r="I787" s="49" t="s">
        <v>354</v>
      </c>
      <c r="J787" s="46">
        <v>1.0</v>
      </c>
      <c r="K787" s="49">
        <v>0.0</v>
      </c>
      <c r="L787" s="49">
        <v>0.0</v>
      </c>
      <c r="M787" s="49" t="s">
        <v>354</v>
      </c>
      <c r="N787" s="101" t="s">
        <v>17</v>
      </c>
      <c r="O787" s="101" t="s">
        <v>17</v>
      </c>
      <c r="P787" s="24" t="s">
        <v>277</v>
      </c>
      <c r="Q787" s="24" t="s">
        <v>278</v>
      </c>
      <c r="R787" s="24" t="s">
        <v>278</v>
      </c>
      <c r="S787" s="24" t="s">
        <v>279</v>
      </c>
      <c r="T787" s="24" t="s">
        <v>280</v>
      </c>
      <c r="U787" s="24" t="s">
        <v>280</v>
      </c>
      <c r="V787" s="24" t="s">
        <v>280</v>
      </c>
      <c r="W787" s="44" t="s">
        <v>373</v>
      </c>
      <c r="X787" s="49"/>
      <c r="Y787" s="49"/>
      <c r="Z787" s="49"/>
      <c r="AA787" s="46"/>
      <c r="AB787" s="57" t="s">
        <v>354</v>
      </c>
      <c r="AC787" s="46"/>
      <c r="AD787" s="46"/>
      <c r="AE787" s="46"/>
      <c r="AF787" s="63">
        <v>0.0</v>
      </c>
      <c r="AG787" s="63" t="s">
        <v>354</v>
      </c>
      <c r="AH787" s="63"/>
      <c r="AI787" s="63" t="s">
        <v>354</v>
      </c>
      <c r="AJ787" s="46"/>
      <c r="AK787" s="46"/>
      <c r="AL787" s="80" t="s">
        <v>356</v>
      </c>
      <c r="AM787" s="80" t="s">
        <v>356</v>
      </c>
      <c r="AN787" s="80" t="s">
        <v>356</v>
      </c>
    </row>
    <row r="788">
      <c r="A788" s="85" t="s">
        <v>931</v>
      </c>
      <c r="B788" s="98" t="s">
        <v>932</v>
      </c>
      <c r="C788" s="46" t="s">
        <v>275</v>
      </c>
      <c r="D788" s="47" t="s">
        <v>547</v>
      </c>
      <c r="E788" s="63" t="s">
        <v>7</v>
      </c>
      <c r="F788" s="46" t="s">
        <v>67</v>
      </c>
      <c r="G788" s="57" t="s">
        <v>354</v>
      </c>
      <c r="H788" s="57" t="s">
        <v>354</v>
      </c>
      <c r="I788" s="57" t="s">
        <v>354</v>
      </c>
      <c r="J788" s="46">
        <v>1.0</v>
      </c>
      <c r="K788" s="49">
        <v>0.0</v>
      </c>
      <c r="L788" s="78">
        <v>1.0</v>
      </c>
      <c r="M788" s="78" t="s">
        <v>934</v>
      </c>
      <c r="N788" s="101" t="s">
        <v>17</v>
      </c>
      <c r="O788" s="101" t="s">
        <v>17</v>
      </c>
      <c r="P788" s="24" t="s">
        <v>277</v>
      </c>
      <c r="Q788" s="24" t="s">
        <v>278</v>
      </c>
      <c r="R788" s="24" t="s">
        <v>278</v>
      </c>
      <c r="S788" s="24" t="s">
        <v>279</v>
      </c>
      <c r="T788" s="24" t="s">
        <v>280</v>
      </c>
      <c r="U788" s="24" t="s">
        <v>280</v>
      </c>
      <c r="V788" s="24" t="s">
        <v>280</v>
      </c>
      <c r="W788" s="44" t="s">
        <v>373</v>
      </c>
      <c r="X788" s="24" t="s">
        <v>280</v>
      </c>
      <c r="Y788" s="49"/>
      <c r="Z788" s="49"/>
      <c r="AA788" s="46"/>
      <c r="AB788" s="158" t="s">
        <v>398</v>
      </c>
      <c r="AC788" s="46"/>
      <c r="AD788" s="46"/>
      <c r="AE788" s="46"/>
      <c r="AF788" s="63">
        <v>0.0</v>
      </c>
      <c r="AG788" s="63" t="s">
        <v>354</v>
      </c>
      <c r="AH788" s="63"/>
      <c r="AI788" s="63" t="s">
        <v>354</v>
      </c>
      <c r="AJ788" s="46"/>
      <c r="AK788" s="46"/>
      <c r="AL788" s="80" t="s">
        <v>356</v>
      </c>
      <c r="AM788" s="80" t="s">
        <v>356</v>
      </c>
      <c r="AN788" s="80" t="s">
        <v>356</v>
      </c>
    </row>
    <row r="789">
      <c r="A789" s="85" t="s">
        <v>931</v>
      </c>
      <c r="B789" s="98" t="s">
        <v>932</v>
      </c>
      <c r="C789" s="46" t="s">
        <v>275</v>
      </c>
      <c r="D789" s="47" t="s">
        <v>547</v>
      </c>
      <c r="E789" s="63" t="s">
        <v>7</v>
      </c>
      <c r="F789" s="46" t="s">
        <v>67</v>
      </c>
      <c r="G789" s="57" t="s">
        <v>354</v>
      </c>
      <c r="H789" s="57" t="s">
        <v>354</v>
      </c>
      <c r="I789" s="57" t="s">
        <v>354</v>
      </c>
      <c r="J789" s="46">
        <v>1.0</v>
      </c>
      <c r="K789" s="49">
        <v>1.0</v>
      </c>
      <c r="L789" s="78">
        <v>1.0</v>
      </c>
      <c r="M789" s="78" t="s">
        <v>934</v>
      </c>
      <c r="N789" s="101" t="s">
        <v>17</v>
      </c>
      <c r="O789" s="101" t="s">
        <v>17</v>
      </c>
      <c r="P789" s="24" t="s">
        <v>277</v>
      </c>
      <c r="Q789" s="24" t="s">
        <v>278</v>
      </c>
      <c r="R789" s="24" t="s">
        <v>278</v>
      </c>
      <c r="S789" s="24" t="s">
        <v>279</v>
      </c>
      <c r="T789" s="24" t="s">
        <v>280</v>
      </c>
      <c r="U789" s="24" t="s">
        <v>280</v>
      </c>
      <c r="V789" s="24" t="s">
        <v>280</v>
      </c>
      <c r="W789" s="44" t="s">
        <v>373</v>
      </c>
      <c r="X789" s="24" t="s">
        <v>280</v>
      </c>
      <c r="Y789" s="18" t="s">
        <v>935</v>
      </c>
      <c r="Z789" s="49"/>
      <c r="AA789" s="46"/>
      <c r="AB789" s="158" t="s">
        <v>398</v>
      </c>
      <c r="AC789" s="46"/>
      <c r="AD789" s="46"/>
      <c r="AE789" s="46"/>
      <c r="AF789" s="63">
        <v>0.0</v>
      </c>
      <c r="AG789" s="63" t="s">
        <v>354</v>
      </c>
      <c r="AH789" s="63"/>
      <c r="AI789" s="63" t="s">
        <v>354</v>
      </c>
      <c r="AJ789" s="46"/>
      <c r="AK789" s="46"/>
      <c r="AL789" s="80" t="s">
        <v>356</v>
      </c>
      <c r="AM789" s="80" t="s">
        <v>356</v>
      </c>
      <c r="AN789" s="80" t="s">
        <v>356</v>
      </c>
    </row>
    <row r="790">
      <c r="A790" s="85" t="s">
        <v>931</v>
      </c>
      <c r="B790" s="98" t="s">
        <v>932</v>
      </c>
      <c r="C790" s="46" t="s">
        <v>275</v>
      </c>
      <c r="D790" s="47" t="s">
        <v>547</v>
      </c>
      <c r="E790" s="63" t="s">
        <v>7</v>
      </c>
      <c r="F790" s="46" t="s">
        <v>67</v>
      </c>
      <c r="G790" s="57" t="s">
        <v>354</v>
      </c>
      <c r="H790" s="57" t="s">
        <v>354</v>
      </c>
      <c r="I790" s="57" t="s">
        <v>354</v>
      </c>
      <c r="J790" s="46">
        <v>1.0</v>
      </c>
      <c r="K790" s="49">
        <v>1.0</v>
      </c>
      <c r="L790" s="78">
        <v>1.0</v>
      </c>
      <c r="M790" s="78" t="s">
        <v>934</v>
      </c>
      <c r="N790" s="101" t="s">
        <v>17</v>
      </c>
      <c r="O790" s="101" t="s">
        <v>17</v>
      </c>
      <c r="P790" s="24" t="s">
        <v>277</v>
      </c>
      <c r="Q790" s="24" t="s">
        <v>278</v>
      </c>
      <c r="R790" s="24" t="s">
        <v>278</v>
      </c>
      <c r="S790" s="24" t="s">
        <v>279</v>
      </c>
      <c r="T790" s="24" t="s">
        <v>280</v>
      </c>
      <c r="U790" s="24" t="s">
        <v>280</v>
      </c>
      <c r="V790" s="24" t="s">
        <v>280</v>
      </c>
      <c r="W790" s="44" t="s">
        <v>373</v>
      </c>
      <c r="X790" s="24" t="s">
        <v>280</v>
      </c>
      <c r="Y790" s="18" t="s">
        <v>935</v>
      </c>
      <c r="Z790" s="18" t="s">
        <v>935</v>
      </c>
      <c r="AA790" s="46"/>
      <c r="AB790" s="158" t="s">
        <v>936</v>
      </c>
      <c r="AC790" s="46"/>
      <c r="AD790" s="46"/>
      <c r="AE790" s="46"/>
      <c r="AF790" s="55">
        <v>29.9479397949988</v>
      </c>
      <c r="AG790" s="63" t="s">
        <v>354</v>
      </c>
      <c r="AH790" s="63"/>
      <c r="AI790" s="63" t="s">
        <v>354</v>
      </c>
      <c r="AJ790" s="46"/>
      <c r="AK790" s="46"/>
      <c r="AL790" s="114" t="s">
        <v>413</v>
      </c>
      <c r="AM790" s="119" t="s">
        <v>413</v>
      </c>
      <c r="AN790" s="114" t="s">
        <v>413</v>
      </c>
    </row>
    <row r="791">
      <c r="A791" s="85" t="s">
        <v>931</v>
      </c>
      <c r="B791" s="98" t="s">
        <v>932</v>
      </c>
      <c r="C791" s="46" t="s">
        <v>275</v>
      </c>
      <c r="D791" s="47" t="s">
        <v>547</v>
      </c>
      <c r="E791" s="63" t="s">
        <v>7</v>
      </c>
      <c r="F791" s="46" t="s">
        <v>67</v>
      </c>
      <c r="G791" s="57" t="s">
        <v>354</v>
      </c>
      <c r="H791" s="57" t="s">
        <v>354</v>
      </c>
      <c r="I791" s="57" t="s">
        <v>354</v>
      </c>
      <c r="J791" s="46">
        <v>1.0</v>
      </c>
      <c r="K791" s="49">
        <v>1.0</v>
      </c>
      <c r="L791" s="78">
        <v>1.0</v>
      </c>
      <c r="M791" s="78" t="s">
        <v>934</v>
      </c>
      <c r="N791" s="101" t="s">
        <v>17</v>
      </c>
      <c r="O791" s="101" t="s">
        <v>17</v>
      </c>
      <c r="P791" s="24" t="s">
        <v>277</v>
      </c>
      <c r="Q791" s="24" t="s">
        <v>278</v>
      </c>
      <c r="R791" s="24" t="s">
        <v>278</v>
      </c>
      <c r="S791" s="24" t="s">
        <v>279</v>
      </c>
      <c r="T791" s="24" t="s">
        <v>280</v>
      </c>
      <c r="U791" s="24" t="s">
        <v>280</v>
      </c>
      <c r="V791" s="24" t="s">
        <v>280</v>
      </c>
      <c r="W791" s="44" t="s">
        <v>373</v>
      </c>
      <c r="X791" s="24" t="s">
        <v>280</v>
      </c>
      <c r="Y791" s="18" t="s">
        <v>935</v>
      </c>
      <c r="Z791" s="18" t="s">
        <v>935</v>
      </c>
      <c r="AA791" s="18" t="s">
        <v>935</v>
      </c>
      <c r="AB791" s="158" t="s">
        <v>398</v>
      </c>
      <c r="AC791" s="46"/>
      <c r="AD791" s="46"/>
      <c r="AE791" s="46"/>
      <c r="AF791" s="55">
        <v>31.3340032465535</v>
      </c>
      <c r="AG791" s="63" t="s">
        <v>354</v>
      </c>
      <c r="AH791" s="63"/>
      <c r="AI791" s="63" t="s">
        <v>354</v>
      </c>
      <c r="AJ791" s="46"/>
      <c r="AK791" s="46"/>
      <c r="AL791" s="119" t="s">
        <v>413</v>
      </c>
      <c r="AM791" s="119" t="s">
        <v>413</v>
      </c>
      <c r="AN791" s="28" t="s">
        <v>358</v>
      </c>
    </row>
    <row r="792">
      <c r="A792" s="17" t="s">
        <v>282</v>
      </c>
      <c r="B792" s="98" t="s">
        <v>937</v>
      </c>
      <c r="C792" s="19" t="s">
        <v>281</v>
      </c>
      <c r="D792" s="20" t="s">
        <v>547</v>
      </c>
      <c r="E792" s="21" t="s">
        <v>7</v>
      </c>
      <c r="F792" s="19" t="s">
        <v>67</v>
      </c>
      <c r="G792" s="23" t="s">
        <v>354</v>
      </c>
      <c r="H792" s="23">
        <v>315.0</v>
      </c>
      <c r="I792" s="23" t="s">
        <v>354</v>
      </c>
      <c r="J792" s="19">
        <v>114.0</v>
      </c>
      <c r="K792" s="23">
        <v>1.0</v>
      </c>
      <c r="L792" s="23">
        <v>0.0</v>
      </c>
      <c r="M792" s="23" t="s">
        <v>354</v>
      </c>
      <c r="N792" s="101" t="s">
        <v>17</v>
      </c>
      <c r="O792" s="101" t="s">
        <v>17</v>
      </c>
      <c r="P792" s="24" t="s">
        <v>283</v>
      </c>
      <c r="Q792" s="19"/>
      <c r="R792" s="19"/>
      <c r="S792" s="19"/>
      <c r="T792" s="19"/>
      <c r="U792" s="19"/>
      <c r="V792" s="19"/>
      <c r="W792" s="19"/>
      <c r="X792" s="19"/>
      <c r="Y792" s="19"/>
      <c r="Z792" s="19"/>
      <c r="AA792" s="19"/>
      <c r="AB792" s="22" t="s">
        <v>354</v>
      </c>
      <c r="AC792" s="19">
        <v>36569.0</v>
      </c>
      <c r="AD792" s="19"/>
      <c r="AE792" s="19"/>
      <c r="AF792" s="23">
        <v>0.0</v>
      </c>
      <c r="AG792" s="23" t="s">
        <v>356</v>
      </c>
      <c r="AH792" s="19"/>
      <c r="AI792" s="23" t="s">
        <v>356</v>
      </c>
      <c r="AJ792" s="19"/>
      <c r="AK792" s="19"/>
      <c r="AL792" s="73" t="s">
        <v>357</v>
      </c>
      <c r="AM792" s="31" t="s">
        <v>356</v>
      </c>
      <c r="AN792" s="88" t="s">
        <v>358</v>
      </c>
    </row>
    <row r="793">
      <c r="A793" s="17" t="s">
        <v>282</v>
      </c>
      <c r="B793" s="98" t="s">
        <v>937</v>
      </c>
      <c r="C793" s="19" t="s">
        <v>281</v>
      </c>
      <c r="D793" s="20" t="s">
        <v>547</v>
      </c>
      <c r="E793" s="21" t="s">
        <v>7</v>
      </c>
      <c r="F793" s="19" t="s">
        <v>67</v>
      </c>
      <c r="G793" s="23" t="s">
        <v>354</v>
      </c>
      <c r="H793" s="23">
        <v>275.0</v>
      </c>
      <c r="I793" s="23" t="s">
        <v>354</v>
      </c>
      <c r="J793" s="19">
        <v>54.0</v>
      </c>
      <c r="K793" s="23">
        <v>0.0</v>
      </c>
      <c r="L793" s="23">
        <v>1.0</v>
      </c>
      <c r="M793" s="23" t="s">
        <v>354</v>
      </c>
      <c r="N793" s="101" t="s">
        <v>17</v>
      </c>
      <c r="O793" s="101" t="s">
        <v>17</v>
      </c>
      <c r="P793" s="24" t="s">
        <v>283</v>
      </c>
      <c r="Q793" s="24" t="s">
        <v>282</v>
      </c>
      <c r="R793" s="19"/>
      <c r="S793" s="19"/>
      <c r="T793" s="19"/>
      <c r="U793" s="19"/>
      <c r="V793" s="19"/>
      <c r="W793" s="19"/>
      <c r="X793" s="19"/>
      <c r="Y793" s="19"/>
      <c r="Z793" s="19"/>
      <c r="AA793" s="19"/>
      <c r="AB793" s="22" t="s">
        <v>354</v>
      </c>
      <c r="AC793" s="19">
        <v>36644.0</v>
      </c>
      <c r="AD793" s="19"/>
      <c r="AE793" s="19"/>
      <c r="AF793" s="23">
        <v>0.0</v>
      </c>
      <c r="AG793" s="23" t="s">
        <v>356</v>
      </c>
      <c r="AH793" s="19"/>
      <c r="AI793" s="23" t="s">
        <v>356</v>
      </c>
      <c r="AJ793" s="19"/>
      <c r="AK793" s="19"/>
      <c r="AL793" s="82" t="s">
        <v>361</v>
      </c>
      <c r="AM793" s="142" t="s">
        <v>356</v>
      </c>
      <c r="AN793" s="75" t="s">
        <v>357</v>
      </c>
    </row>
    <row r="794">
      <c r="A794" s="17" t="s">
        <v>282</v>
      </c>
      <c r="B794" s="98" t="s">
        <v>937</v>
      </c>
      <c r="C794" s="19" t="s">
        <v>281</v>
      </c>
      <c r="D794" s="20" t="s">
        <v>547</v>
      </c>
      <c r="E794" s="21" t="s">
        <v>7</v>
      </c>
      <c r="F794" s="19" t="s">
        <v>67</v>
      </c>
      <c r="G794" s="23" t="s">
        <v>354</v>
      </c>
      <c r="H794" s="23">
        <v>210.0</v>
      </c>
      <c r="I794" s="23" t="s">
        <v>354</v>
      </c>
      <c r="J794" s="19">
        <v>54.0</v>
      </c>
      <c r="K794" s="23">
        <v>0.0</v>
      </c>
      <c r="L794" s="23">
        <v>0.0</v>
      </c>
      <c r="M794" s="23" t="s">
        <v>354</v>
      </c>
      <c r="N794" s="101" t="s">
        <v>17</v>
      </c>
      <c r="O794" s="101" t="s">
        <v>17</v>
      </c>
      <c r="P794" s="24" t="s">
        <v>283</v>
      </c>
      <c r="Q794" s="24" t="s">
        <v>282</v>
      </c>
      <c r="R794" s="24" t="s">
        <v>282</v>
      </c>
      <c r="S794" s="19"/>
      <c r="T794" s="19"/>
      <c r="U794" s="19"/>
      <c r="V794" s="19"/>
      <c r="W794" s="19"/>
      <c r="X794" s="19"/>
      <c r="Y794" s="19"/>
      <c r="Z794" s="19"/>
      <c r="AA794" s="19"/>
      <c r="AB794" s="23" t="s">
        <v>909</v>
      </c>
      <c r="AC794" s="19"/>
      <c r="AD794" s="19"/>
      <c r="AE794" s="19"/>
      <c r="AF794" s="23">
        <v>0.0</v>
      </c>
      <c r="AG794" s="23" t="s">
        <v>356</v>
      </c>
      <c r="AH794" s="19"/>
      <c r="AI794" s="23" t="s">
        <v>356</v>
      </c>
      <c r="AJ794" s="19"/>
      <c r="AK794" s="19"/>
      <c r="AL794" s="23" t="s">
        <v>356</v>
      </c>
      <c r="AM794" s="23" t="s">
        <v>356</v>
      </c>
      <c r="AN794" s="23" t="s">
        <v>356</v>
      </c>
    </row>
    <row r="795">
      <c r="A795" s="17" t="s">
        <v>282</v>
      </c>
      <c r="B795" s="98" t="s">
        <v>937</v>
      </c>
      <c r="C795" s="19" t="s">
        <v>281</v>
      </c>
      <c r="D795" s="20" t="s">
        <v>547</v>
      </c>
      <c r="E795" s="21" t="s">
        <v>7</v>
      </c>
      <c r="F795" s="19" t="s">
        <v>67</v>
      </c>
      <c r="G795" s="23" t="s">
        <v>354</v>
      </c>
      <c r="H795" s="23">
        <v>185.0</v>
      </c>
      <c r="I795" s="23" t="s">
        <v>354</v>
      </c>
      <c r="J795" s="19">
        <v>49.0</v>
      </c>
      <c r="K795" s="23">
        <v>0.0</v>
      </c>
      <c r="L795" s="23">
        <v>0.0</v>
      </c>
      <c r="M795" s="23" t="s">
        <v>354</v>
      </c>
      <c r="N795" s="101" t="s">
        <v>17</v>
      </c>
      <c r="O795" s="101" t="s">
        <v>17</v>
      </c>
      <c r="P795" s="24" t="s">
        <v>283</v>
      </c>
      <c r="Q795" s="24" t="s">
        <v>282</v>
      </c>
      <c r="R795" s="24" t="s">
        <v>282</v>
      </c>
      <c r="S795" s="24" t="s">
        <v>282</v>
      </c>
      <c r="T795" s="44" t="s">
        <v>373</v>
      </c>
      <c r="U795" s="61" t="s">
        <v>373</v>
      </c>
      <c r="V795" s="62" t="s">
        <v>381</v>
      </c>
      <c r="W795" s="62" t="s">
        <v>381</v>
      </c>
      <c r="X795" s="62" t="s">
        <v>381</v>
      </c>
      <c r="Y795" s="62" t="s">
        <v>381</v>
      </c>
      <c r="Z795" s="62" t="s">
        <v>381</v>
      </c>
      <c r="AA795" s="62" t="s">
        <v>381</v>
      </c>
      <c r="AB795" s="62" t="s">
        <v>938</v>
      </c>
      <c r="AC795" s="19"/>
      <c r="AD795" s="19"/>
      <c r="AE795" s="19"/>
      <c r="AF795" s="23">
        <v>0.0</v>
      </c>
      <c r="AG795" s="23" t="s">
        <v>354</v>
      </c>
      <c r="AH795" s="19"/>
      <c r="AI795" s="23" t="s">
        <v>354</v>
      </c>
      <c r="AJ795" s="19"/>
      <c r="AK795" s="19"/>
      <c r="AL795" s="23" t="s">
        <v>356</v>
      </c>
      <c r="AM795" s="23" t="s">
        <v>356</v>
      </c>
      <c r="AN795" s="23" t="s">
        <v>356</v>
      </c>
    </row>
    <row r="796">
      <c r="A796" s="85" t="s">
        <v>939</v>
      </c>
      <c r="B796" s="18" t="s">
        <v>940</v>
      </c>
      <c r="C796" s="46" t="s">
        <v>284</v>
      </c>
      <c r="D796" s="47" t="s">
        <v>547</v>
      </c>
      <c r="E796" s="48" t="s">
        <v>7</v>
      </c>
      <c r="F796" s="46" t="s">
        <v>67</v>
      </c>
      <c r="G796" s="49">
        <v>127.0</v>
      </c>
      <c r="H796" s="49">
        <v>315.0</v>
      </c>
      <c r="I796" s="49" t="s">
        <v>354</v>
      </c>
      <c r="J796" s="46">
        <v>115.0</v>
      </c>
      <c r="K796" s="49">
        <v>1.0</v>
      </c>
      <c r="L796" s="49">
        <v>0.0</v>
      </c>
      <c r="M796" s="49" t="s">
        <v>354</v>
      </c>
      <c r="N796" s="101" t="s">
        <v>17</v>
      </c>
      <c r="O796" s="101" t="s">
        <v>17</v>
      </c>
      <c r="P796" s="24" t="s">
        <v>286</v>
      </c>
      <c r="Q796" s="46"/>
      <c r="R796" s="46"/>
      <c r="S796" s="46"/>
      <c r="T796" s="46"/>
      <c r="U796" s="46"/>
      <c r="V796" s="46"/>
      <c r="W796" s="46"/>
      <c r="X796" s="46"/>
      <c r="Y796" s="46"/>
      <c r="Z796" s="46"/>
      <c r="AA796" s="46"/>
      <c r="AB796" s="57" t="s">
        <v>354</v>
      </c>
      <c r="AC796" s="46">
        <v>36570.0</v>
      </c>
      <c r="AD796" s="46"/>
      <c r="AE796" s="46"/>
      <c r="AF796" s="49">
        <v>0.0</v>
      </c>
      <c r="AG796" s="49" t="s">
        <v>356</v>
      </c>
      <c r="AH796" s="46"/>
      <c r="AI796" s="49" t="s">
        <v>356</v>
      </c>
      <c r="AJ796" s="46"/>
      <c r="AK796" s="46"/>
      <c r="AL796" s="54" t="s">
        <v>356</v>
      </c>
      <c r="AM796" s="54" t="s">
        <v>356</v>
      </c>
      <c r="AN796" s="88" t="s">
        <v>358</v>
      </c>
    </row>
    <row r="797">
      <c r="A797" s="85" t="s">
        <v>939</v>
      </c>
      <c r="B797" s="18" t="s">
        <v>940</v>
      </c>
      <c r="C797" s="46" t="s">
        <v>284</v>
      </c>
      <c r="D797" s="47" t="s">
        <v>547</v>
      </c>
      <c r="E797" s="48" t="s">
        <v>7</v>
      </c>
      <c r="F797" s="46" t="s">
        <v>67</v>
      </c>
      <c r="G797" s="49" t="s">
        <v>354</v>
      </c>
      <c r="H797" s="49">
        <v>270.0</v>
      </c>
      <c r="I797" s="49" t="s">
        <v>354</v>
      </c>
      <c r="J797" s="46">
        <v>55.0</v>
      </c>
      <c r="K797" s="49">
        <v>1.0</v>
      </c>
      <c r="L797" s="49">
        <v>1.0</v>
      </c>
      <c r="M797" s="49" t="s">
        <v>354</v>
      </c>
      <c r="N797" s="101" t="s">
        <v>17</v>
      </c>
      <c r="O797" s="101" t="s">
        <v>17</v>
      </c>
      <c r="P797" s="24" t="s">
        <v>286</v>
      </c>
      <c r="Q797" s="24" t="s">
        <v>287</v>
      </c>
      <c r="R797" s="46"/>
      <c r="S797" s="46"/>
      <c r="T797" s="46"/>
      <c r="U797" s="46"/>
      <c r="V797" s="46"/>
      <c r="W797" s="46"/>
      <c r="X797" s="46"/>
      <c r="Y797" s="46"/>
      <c r="Z797" s="46"/>
      <c r="AA797" s="46"/>
      <c r="AB797" s="57" t="s">
        <v>354</v>
      </c>
      <c r="AC797" s="46">
        <v>36645.0</v>
      </c>
      <c r="AD797" s="46"/>
      <c r="AE797" s="46"/>
      <c r="AF797" s="49">
        <v>0.0</v>
      </c>
      <c r="AG797" s="49" t="s">
        <v>356</v>
      </c>
      <c r="AH797" s="46"/>
      <c r="AI797" s="49" t="s">
        <v>356</v>
      </c>
      <c r="AJ797" s="46"/>
      <c r="AK797" s="46"/>
      <c r="AL797" s="54" t="s">
        <v>356</v>
      </c>
      <c r="AM797" s="54" t="s">
        <v>356</v>
      </c>
      <c r="AN797" s="37" t="s">
        <v>363</v>
      </c>
    </row>
    <row r="798">
      <c r="A798" s="85" t="s">
        <v>939</v>
      </c>
      <c r="B798" s="18" t="s">
        <v>940</v>
      </c>
      <c r="C798" s="46" t="s">
        <v>284</v>
      </c>
      <c r="D798" s="47" t="s">
        <v>547</v>
      </c>
      <c r="E798" s="48" t="s">
        <v>7</v>
      </c>
      <c r="F798" s="46" t="s">
        <v>67</v>
      </c>
      <c r="G798" s="49" t="s">
        <v>354</v>
      </c>
      <c r="H798" s="49">
        <v>185.0</v>
      </c>
      <c r="I798" s="49" t="s">
        <v>354</v>
      </c>
      <c r="J798" s="46">
        <v>55.0</v>
      </c>
      <c r="K798" s="49">
        <v>0.0</v>
      </c>
      <c r="L798" s="49">
        <v>0.0</v>
      </c>
      <c r="M798" s="49" t="s">
        <v>354</v>
      </c>
      <c r="N798" s="101" t="s">
        <v>17</v>
      </c>
      <c r="O798" s="101" t="s">
        <v>17</v>
      </c>
      <c r="P798" s="24" t="s">
        <v>286</v>
      </c>
      <c r="Q798" s="24" t="s">
        <v>287</v>
      </c>
      <c r="R798" s="24" t="s">
        <v>287</v>
      </c>
      <c r="S798" s="46"/>
      <c r="T798" s="46"/>
      <c r="U798" s="46"/>
      <c r="V798" s="46"/>
      <c r="W798" s="46"/>
      <c r="X798" s="46"/>
      <c r="Y798" s="46"/>
      <c r="Z798" s="46"/>
      <c r="AA798" s="46"/>
      <c r="AB798" s="49" t="s">
        <v>941</v>
      </c>
      <c r="AC798" s="46"/>
      <c r="AD798" s="46"/>
      <c r="AE798" s="46"/>
      <c r="AF798" s="49">
        <v>0.0</v>
      </c>
      <c r="AG798" s="49" t="s">
        <v>356</v>
      </c>
      <c r="AH798" s="46"/>
      <c r="AI798" s="54" t="s">
        <v>356</v>
      </c>
      <c r="AJ798" s="46"/>
      <c r="AK798" s="46"/>
      <c r="AL798" s="54" t="s">
        <v>356</v>
      </c>
      <c r="AM798" s="54" t="s">
        <v>356</v>
      </c>
      <c r="AN798" s="54" t="s">
        <v>356</v>
      </c>
    </row>
    <row r="799">
      <c r="A799" s="85" t="s">
        <v>939</v>
      </c>
      <c r="B799" s="18" t="s">
        <v>940</v>
      </c>
      <c r="C799" s="46" t="s">
        <v>284</v>
      </c>
      <c r="D799" s="47" t="s">
        <v>547</v>
      </c>
      <c r="E799" s="48" t="s">
        <v>7</v>
      </c>
      <c r="F799" s="46" t="s">
        <v>67</v>
      </c>
      <c r="G799" s="49" t="s">
        <v>354</v>
      </c>
      <c r="H799" s="49">
        <v>235.0</v>
      </c>
      <c r="I799" s="49" t="s">
        <v>354</v>
      </c>
      <c r="J799" s="46">
        <v>2.0</v>
      </c>
      <c r="K799" s="49">
        <v>0.0</v>
      </c>
      <c r="L799" s="49">
        <v>0.0</v>
      </c>
      <c r="M799" s="49" t="s">
        <v>354</v>
      </c>
      <c r="N799" s="101" t="s">
        <v>17</v>
      </c>
      <c r="O799" s="101" t="s">
        <v>17</v>
      </c>
      <c r="P799" s="24" t="s">
        <v>286</v>
      </c>
      <c r="Q799" s="24" t="s">
        <v>287</v>
      </c>
      <c r="R799" s="24" t="s">
        <v>287</v>
      </c>
      <c r="S799" s="24" t="s">
        <v>288</v>
      </c>
      <c r="T799" s="49"/>
      <c r="U799" s="49"/>
      <c r="V799" s="46"/>
      <c r="W799" s="49"/>
      <c r="X799" s="49"/>
      <c r="Y799" s="49"/>
      <c r="Z799" s="49"/>
      <c r="AA799" s="46"/>
      <c r="AB799" s="57" t="s">
        <v>354</v>
      </c>
      <c r="AC799" s="46"/>
      <c r="AD799" s="46"/>
      <c r="AE799" s="46"/>
      <c r="AF799" s="49">
        <v>0.0</v>
      </c>
      <c r="AG799" s="49" t="s">
        <v>354</v>
      </c>
      <c r="AH799" s="46"/>
      <c r="AI799" s="49" t="s">
        <v>354</v>
      </c>
      <c r="AJ799" s="46"/>
      <c r="AK799" s="46"/>
      <c r="AL799" s="54" t="s">
        <v>356</v>
      </c>
      <c r="AM799" s="54" t="s">
        <v>356</v>
      </c>
      <c r="AN799" s="54" t="s">
        <v>356</v>
      </c>
    </row>
    <row r="800">
      <c r="A800" s="85" t="s">
        <v>939</v>
      </c>
      <c r="B800" s="18" t="s">
        <v>940</v>
      </c>
      <c r="C800" s="46" t="s">
        <v>284</v>
      </c>
      <c r="D800" s="47" t="s">
        <v>547</v>
      </c>
      <c r="E800" s="48" t="s">
        <v>7</v>
      </c>
      <c r="F800" s="46" t="s">
        <v>67</v>
      </c>
      <c r="G800" s="49" t="s">
        <v>354</v>
      </c>
      <c r="H800" s="49">
        <v>260.0</v>
      </c>
      <c r="I800" s="49" t="s">
        <v>354</v>
      </c>
      <c r="J800" s="46">
        <v>2.0</v>
      </c>
      <c r="K800" s="49">
        <v>0.0</v>
      </c>
      <c r="L800" s="49">
        <v>0.0</v>
      </c>
      <c r="M800" s="49" t="s">
        <v>354</v>
      </c>
      <c r="N800" s="101" t="s">
        <v>17</v>
      </c>
      <c r="O800" s="101" t="s">
        <v>17</v>
      </c>
      <c r="P800" s="24" t="s">
        <v>286</v>
      </c>
      <c r="Q800" s="24" t="s">
        <v>287</v>
      </c>
      <c r="R800" s="24" t="s">
        <v>287</v>
      </c>
      <c r="S800" s="24" t="s">
        <v>288</v>
      </c>
      <c r="T800" s="18" t="s">
        <v>942</v>
      </c>
      <c r="U800" s="49"/>
      <c r="V800" s="46"/>
      <c r="W800" s="49"/>
      <c r="X800" s="49"/>
      <c r="Y800" s="49"/>
      <c r="Z800" s="49"/>
      <c r="AA800" s="46"/>
      <c r="AB800" s="57" t="s">
        <v>354</v>
      </c>
      <c r="AC800" s="46"/>
      <c r="AD800" s="46"/>
      <c r="AE800" s="46"/>
      <c r="AF800" s="49">
        <v>0.0</v>
      </c>
      <c r="AG800" s="49" t="s">
        <v>354</v>
      </c>
      <c r="AH800" s="49"/>
      <c r="AI800" s="49" t="s">
        <v>354</v>
      </c>
      <c r="AJ800" s="46"/>
      <c r="AK800" s="46"/>
      <c r="AL800" s="79" t="s">
        <v>361</v>
      </c>
      <c r="AM800" s="79" t="s">
        <v>361</v>
      </c>
      <c r="AN800" s="80" t="s">
        <v>356</v>
      </c>
    </row>
    <row r="801">
      <c r="A801" s="85" t="s">
        <v>939</v>
      </c>
      <c r="B801" s="18" t="s">
        <v>940</v>
      </c>
      <c r="C801" s="46" t="s">
        <v>284</v>
      </c>
      <c r="D801" s="47" t="s">
        <v>547</v>
      </c>
      <c r="E801" s="48" t="s">
        <v>7</v>
      </c>
      <c r="F801" s="46" t="s">
        <v>67</v>
      </c>
      <c r="G801" s="49" t="s">
        <v>354</v>
      </c>
      <c r="H801" s="49">
        <v>245.0</v>
      </c>
      <c r="I801" s="49" t="s">
        <v>354</v>
      </c>
      <c r="J801" s="46">
        <v>2.0</v>
      </c>
      <c r="K801" s="49">
        <v>0.0</v>
      </c>
      <c r="L801" s="49">
        <v>0.0</v>
      </c>
      <c r="M801" s="49" t="s">
        <v>354</v>
      </c>
      <c r="N801" s="101" t="s">
        <v>17</v>
      </c>
      <c r="O801" s="101" t="s">
        <v>17</v>
      </c>
      <c r="P801" s="24" t="s">
        <v>286</v>
      </c>
      <c r="Q801" s="24" t="s">
        <v>287</v>
      </c>
      <c r="R801" s="24" t="s">
        <v>287</v>
      </c>
      <c r="S801" s="24" t="s">
        <v>288</v>
      </c>
      <c r="T801" s="18" t="s">
        <v>942</v>
      </c>
      <c r="U801" s="18" t="s">
        <v>942</v>
      </c>
      <c r="V801" s="44" t="s">
        <v>373</v>
      </c>
      <c r="W801" s="49"/>
      <c r="X801" s="49"/>
      <c r="Y801" s="49"/>
      <c r="Z801" s="49"/>
      <c r="AA801" s="46"/>
      <c r="AB801" s="57" t="s">
        <v>354</v>
      </c>
      <c r="AC801" s="46"/>
      <c r="AD801" s="46"/>
      <c r="AE801" s="46"/>
      <c r="AF801" s="49">
        <v>0.0</v>
      </c>
      <c r="AG801" s="49" t="s">
        <v>354</v>
      </c>
      <c r="AH801" s="49"/>
      <c r="AI801" s="49" t="s">
        <v>354</v>
      </c>
      <c r="AJ801" s="46"/>
      <c r="AK801" s="46"/>
      <c r="AL801" s="54" t="s">
        <v>356</v>
      </c>
      <c r="AM801" s="54" t="s">
        <v>356</v>
      </c>
      <c r="AN801" s="54" t="s">
        <v>356</v>
      </c>
    </row>
    <row r="802">
      <c r="A802" s="85" t="s">
        <v>939</v>
      </c>
      <c r="B802" s="18" t="s">
        <v>940</v>
      </c>
      <c r="C802" s="46" t="s">
        <v>284</v>
      </c>
      <c r="D802" s="47" t="s">
        <v>547</v>
      </c>
      <c r="E802" s="48" t="s">
        <v>7</v>
      </c>
      <c r="F802" s="46" t="s">
        <v>67</v>
      </c>
      <c r="G802" s="49" t="s">
        <v>354</v>
      </c>
      <c r="H802" s="49">
        <v>225.0</v>
      </c>
      <c r="I802" s="49" t="s">
        <v>354</v>
      </c>
      <c r="J802" s="46">
        <v>2.0</v>
      </c>
      <c r="K802" s="49">
        <v>0.0</v>
      </c>
      <c r="L802" s="49">
        <v>0.0</v>
      </c>
      <c r="M802" s="49" t="s">
        <v>354</v>
      </c>
      <c r="N802" s="101" t="s">
        <v>17</v>
      </c>
      <c r="O802" s="101" t="s">
        <v>17</v>
      </c>
      <c r="P802" s="24" t="s">
        <v>286</v>
      </c>
      <c r="Q802" s="24" t="s">
        <v>287</v>
      </c>
      <c r="R802" s="24" t="s">
        <v>287</v>
      </c>
      <c r="S802" s="24" t="s">
        <v>288</v>
      </c>
      <c r="T802" s="18" t="s">
        <v>942</v>
      </c>
      <c r="U802" s="18" t="s">
        <v>942</v>
      </c>
      <c r="V802" s="44" t="s">
        <v>373</v>
      </c>
      <c r="W802" s="18" t="s">
        <v>943</v>
      </c>
      <c r="X802" s="49"/>
      <c r="Y802" s="49"/>
      <c r="Z802" s="49"/>
      <c r="AA802" s="46"/>
      <c r="AB802" s="158" t="s">
        <v>455</v>
      </c>
      <c r="AC802" s="46"/>
      <c r="AD802" s="46"/>
      <c r="AE802" s="46"/>
      <c r="AF802" s="49">
        <v>0.0</v>
      </c>
      <c r="AG802" s="49" t="s">
        <v>354</v>
      </c>
      <c r="AH802" s="49"/>
      <c r="AI802" s="49" t="s">
        <v>354</v>
      </c>
      <c r="AJ802" s="46"/>
      <c r="AK802" s="46"/>
      <c r="AL802" s="54" t="s">
        <v>356</v>
      </c>
      <c r="AM802" s="54" t="s">
        <v>356</v>
      </c>
      <c r="AN802" s="54" t="s">
        <v>356</v>
      </c>
    </row>
    <row r="803">
      <c r="A803" s="85" t="s">
        <v>939</v>
      </c>
      <c r="B803" s="18" t="s">
        <v>940</v>
      </c>
      <c r="C803" s="46" t="s">
        <v>284</v>
      </c>
      <c r="D803" s="47" t="s">
        <v>547</v>
      </c>
      <c r="E803" s="48" t="s">
        <v>7</v>
      </c>
      <c r="F803" s="46" t="s">
        <v>67</v>
      </c>
      <c r="G803" s="57" t="s">
        <v>354</v>
      </c>
      <c r="H803" s="57" t="s">
        <v>354</v>
      </c>
      <c r="I803" s="57" t="s">
        <v>354</v>
      </c>
      <c r="J803" s="46">
        <v>2.0</v>
      </c>
      <c r="K803" s="49">
        <v>1.0</v>
      </c>
      <c r="L803" s="78">
        <v>1.0</v>
      </c>
      <c r="M803" s="78" t="s">
        <v>944</v>
      </c>
      <c r="N803" s="101" t="s">
        <v>17</v>
      </c>
      <c r="O803" s="101" t="s">
        <v>17</v>
      </c>
      <c r="P803" s="24" t="s">
        <v>286</v>
      </c>
      <c r="Q803" s="24" t="s">
        <v>287</v>
      </c>
      <c r="R803" s="24" t="s">
        <v>287</v>
      </c>
      <c r="S803" s="24" t="s">
        <v>288</v>
      </c>
      <c r="T803" s="18" t="s">
        <v>942</v>
      </c>
      <c r="U803" s="18" t="s">
        <v>942</v>
      </c>
      <c r="V803" s="44" t="s">
        <v>373</v>
      </c>
      <c r="W803" s="18" t="s">
        <v>943</v>
      </c>
      <c r="X803" s="18" t="s">
        <v>942</v>
      </c>
      <c r="Y803" s="49"/>
      <c r="Z803" s="49"/>
      <c r="AA803" s="46"/>
      <c r="AB803" s="158" t="s">
        <v>455</v>
      </c>
      <c r="AC803" s="46"/>
      <c r="AD803" s="46"/>
      <c r="AE803" s="46"/>
      <c r="AF803" s="49">
        <v>0.0</v>
      </c>
      <c r="AG803" s="49" t="s">
        <v>354</v>
      </c>
      <c r="AH803" s="49"/>
      <c r="AI803" s="49" t="s">
        <v>354</v>
      </c>
      <c r="AJ803" s="46"/>
      <c r="AK803" s="46"/>
      <c r="AL803" s="54" t="s">
        <v>356</v>
      </c>
      <c r="AM803" s="54" t="s">
        <v>356</v>
      </c>
      <c r="AN803" s="54" t="s">
        <v>356</v>
      </c>
    </row>
    <row r="804">
      <c r="A804" s="85" t="s">
        <v>939</v>
      </c>
      <c r="B804" s="18" t="s">
        <v>940</v>
      </c>
      <c r="C804" s="46" t="s">
        <v>284</v>
      </c>
      <c r="D804" s="47" t="s">
        <v>547</v>
      </c>
      <c r="E804" s="48" t="s">
        <v>7</v>
      </c>
      <c r="F804" s="46" t="s">
        <v>67</v>
      </c>
      <c r="G804" s="57" t="s">
        <v>354</v>
      </c>
      <c r="H804" s="57" t="s">
        <v>354</v>
      </c>
      <c r="I804" s="57" t="s">
        <v>354</v>
      </c>
      <c r="J804" s="46">
        <v>2.0</v>
      </c>
      <c r="K804" s="49">
        <v>1.0</v>
      </c>
      <c r="L804" s="78">
        <v>1.0</v>
      </c>
      <c r="M804" s="78" t="s">
        <v>944</v>
      </c>
      <c r="N804" s="101" t="s">
        <v>17</v>
      </c>
      <c r="O804" s="101" t="s">
        <v>17</v>
      </c>
      <c r="P804" s="24" t="s">
        <v>286</v>
      </c>
      <c r="Q804" s="24" t="s">
        <v>287</v>
      </c>
      <c r="R804" s="24" t="s">
        <v>287</v>
      </c>
      <c r="S804" s="24" t="s">
        <v>288</v>
      </c>
      <c r="T804" s="18" t="s">
        <v>942</v>
      </c>
      <c r="U804" s="18" t="s">
        <v>942</v>
      </c>
      <c r="V804" s="44" t="s">
        <v>373</v>
      </c>
      <c r="W804" s="18" t="s">
        <v>943</v>
      </c>
      <c r="X804" s="18" t="s">
        <v>942</v>
      </c>
      <c r="Y804" s="18" t="s">
        <v>945</v>
      </c>
      <c r="Z804" s="49"/>
      <c r="AA804" s="46"/>
      <c r="AB804" s="158" t="s">
        <v>455</v>
      </c>
      <c r="AC804" s="46"/>
      <c r="AD804" s="46"/>
      <c r="AE804" s="46"/>
      <c r="AF804" s="49">
        <v>0.0</v>
      </c>
      <c r="AG804" s="49" t="s">
        <v>354</v>
      </c>
      <c r="AH804" s="49"/>
      <c r="AI804" s="49" t="s">
        <v>354</v>
      </c>
      <c r="AJ804" s="46"/>
      <c r="AK804" s="46"/>
      <c r="AL804" s="54" t="s">
        <v>356</v>
      </c>
      <c r="AM804" s="54" t="s">
        <v>356</v>
      </c>
      <c r="AN804" s="54" t="s">
        <v>356</v>
      </c>
    </row>
    <row r="805">
      <c r="A805" s="85" t="s">
        <v>939</v>
      </c>
      <c r="B805" s="18" t="s">
        <v>940</v>
      </c>
      <c r="C805" s="46" t="s">
        <v>284</v>
      </c>
      <c r="D805" s="47" t="s">
        <v>547</v>
      </c>
      <c r="E805" s="48" t="s">
        <v>7</v>
      </c>
      <c r="F805" s="46" t="s">
        <v>67</v>
      </c>
      <c r="G805" s="57" t="s">
        <v>354</v>
      </c>
      <c r="H805" s="57" t="s">
        <v>354</v>
      </c>
      <c r="I805" s="57" t="s">
        <v>354</v>
      </c>
      <c r="J805" s="46">
        <v>2.0</v>
      </c>
      <c r="K805" s="49">
        <v>1.0</v>
      </c>
      <c r="L805" s="78">
        <v>1.0</v>
      </c>
      <c r="M805" s="78" t="s">
        <v>944</v>
      </c>
      <c r="N805" s="101" t="s">
        <v>17</v>
      </c>
      <c r="O805" s="101" t="s">
        <v>17</v>
      </c>
      <c r="P805" s="24" t="s">
        <v>286</v>
      </c>
      <c r="Q805" s="24" t="s">
        <v>287</v>
      </c>
      <c r="R805" s="24" t="s">
        <v>287</v>
      </c>
      <c r="S805" s="24" t="s">
        <v>288</v>
      </c>
      <c r="T805" s="18" t="s">
        <v>942</v>
      </c>
      <c r="U805" s="18" t="s">
        <v>942</v>
      </c>
      <c r="V805" s="44" t="s">
        <v>373</v>
      </c>
      <c r="W805" s="18" t="s">
        <v>943</v>
      </c>
      <c r="X805" s="18" t="s">
        <v>942</v>
      </c>
      <c r="Y805" s="18" t="s">
        <v>945</v>
      </c>
      <c r="Z805" s="18" t="s">
        <v>946</v>
      </c>
      <c r="AA805" s="46"/>
      <c r="AB805" s="158" t="s">
        <v>455</v>
      </c>
      <c r="AC805" s="46"/>
      <c r="AD805" s="46"/>
      <c r="AE805" s="46"/>
      <c r="AF805" s="49">
        <v>0.0</v>
      </c>
      <c r="AG805" s="49" t="s">
        <v>356</v>
      </c>
      <c r="AH805" s="46"/>
      <c r="AI805" s="49" t="s">
        <v>356</v>
      </c>
      <c r="AJ805" s="49" t="s">
        <v>356</v>
      </c>
      <c r="AK805" s="49" t="s">
        <v>356</v>
      </c>
      <c r="AL805" s="120" t="s">
        <v>356</v>
      </c>
      <c r="AM805" s="79" t="s">
        <v>361</v>
      </c>
      <c r="AN805" s="93" t="s">
        <v>356</v>
      </c>
    </row>
    <row r="806">
      <c r="A806" s="85" t="s">
        <v>939</v>
      </c>
      <c r="B806" s="18" t="s">
        <v>940</v>
      </c>
      <c r="C806" s="46" t="s">
        <v>284</v>
      </c>
      <c r="D806" s="47" t="s">
        <v>547</v>
      </c>
      <c r="E806" s="48" t="s">
        <v>7</v>
      </c>
      <c r="F806" s="46" t="s">
        <v>67</v>
      </c>
      <c r="G806" s="57" t="s">
        <v>354</v>
      </c>
      <c r="H806" s="57" t="s">
        <v>354</v>
      </c>
      <c r="I806" s="57" t="s">
        <v>354</v>
      </c>
      <c r="J806" s="46">
        <v>2.0</v>
      </c>
      <c r="K806" s="49">
        <v>1.0</v>
      </c>
      <c r="L806" s="78">
        <v>1.0</v>
      </c>
      <c r="M806" s="78" t="s">
        <v>944</v>
      </c>
      <c r="N806" s="101" t="s">
        <v>17</v>
      </c>
      <c r="O806" s="101" t="s">
        <v>17</v>
      </c>
      <c r="P806" s="24" t="s">
        <v>286</v>
      </c>
      <c r="Q806" s="24" t="s">
        <v>287</v>
      </c>
      <c r="R806" s="24" t="s">
        <v>287</v>
      </c>
      <c r="S806" s="24" t="s">
        <v>288</v>
      </c>
      <c r="T806" s="18" t="s">
        <v>942</v>
      </c>
      <c r="U806" s="18" t="s">
        <v>942</v>
      </c>
      <c r="V806" s="44" t="s">
        <v>373</v>
      </c>
      <c r="W806" s="18" t="s">
        <v>943</v>
      </c>
      <c r="X806" s="18" t="s">
        <v>942</v>
      </c>
      <c r="Y806" s="18" t="s">
        <v>945</v>
      </c>
      <c r="Z806" s="18" t="s">
        <v>946</v>
      </c>
      <c r="AA806" s="18" t="s">
        <v>942</v>
      </c>
      <c r="AB806" s="158" t="s">
        <v>455</v>
      </c>
      <c r="AC806" s="46"/>
      <c r="AD806" s="46"/>
      <c r="AE806" s="46"/>
      <c r="AF806" s="49">
        <v>0.0</v>
      </c>
      <c r="AG806" s="49" t="s">
        <v>354</v>
      </c>
      <c r="AH806" s="49"/>
      <c r="AI806" s="49" t="s">
        <v>354</v>
      </c>
      <c r="AJ806" s="46"/>
      <c r="AK806" s="46"/>
      <c r="AL806" s="54" t="s">
        <v>356</v>
      </c>
      <c r="AM806" s="54" t="s">
        <v>356</v>
      </c>
      <c r="AN806" s="54" t="s">
        <v>356</v>
      </c>
    </row>
    <row r="807">
      <c r="A807" s="95" t="s">
        <v>947</v>
      </c>
      <c r="B807" s="18" t="s">
        <v>948</v>
      </c>
      <c r="C807" s="19" t="s">
        <v>324</v>
      </c>
      <c r="D807" s="230" t="s">
        <v>490</v>
      </c>
      <c r="E807" s="33" t="s">
        <v>62</v>
      </c>
      <c r="F807" s="19" t="s">
        <v>67</v>
      </c>
      <c r="G807" s="23" t="s">
        <v>354</v>
      </c>
      <c r="H807" s="23">
        <v>100.0</v>
      </c>
      <c r="I807" s="23" t="s">
        <v>354</v>
      </c>
      <c r="J807" s="19">
        <v>57.0</v>
      </c>
      <c r="K807" s="23">
        <v>0.0</v>
      </c>
      <c r="L807" s="23">
        <v>0.0</v>
      </c>
      <c r="M807" s="23" t="s">
        <v>354</v>
      </c>
      <c r="N807" s="101" t="s">
        <v>17</v>
      </c>
      <c r="O807" s="101" t="s">
        <v>17</v>
      </c>
      <c r="P807" s="101" t="s">
        <v>17</v>
      </c>
      <c r="Q807" s="101" t="s">
        <v>17</v>
      </c>
      <c r="R807" s="101" t="s">
        <v>17</v>
      </c>
      <c r="S807" s="24" t="s">
        <v>325</v>
      </c>
      <c r="T807" s="19"/>
      <c r="U807" s="19"/>
      <c r="V807" s="19"/>
      <c r="W807" s="19"/>
      <c r="X807" s="19"/>
      <c r="Y807" s="19"/>
      <c r="Z807" s="19"/>
      <c r="AA807" s="19"/>
      <c r="AB807" s="22" t="s">
        <v>354</v>
      </c>
      <c r="AC807" s="19"/>
      <c r="AD807" s="19"/>
      <c r="AE807" s="19"/>
      <c r="AF807" s="36">
        <v>33.58</v>
      </c>
      <c r="AG807" s="23" t="s">
        <v>354</v>
      </c>
      <c r="AH807" s="19"/>
      <c r="AI807" s="23" t="s">
        <v>354</v>
      </c>
      <c r="AJ807" s="19"/>
      <c r="AK807" s="19"/>
      <c r="AL807" s="89" t="s">
        <v>356</v>
      </c>
      <c r="AM807" s="58" t="s">
        <v>380</v>
      </c>
      <c r="AN807" s="89" t="s">
        <v>356</v>
      </c>
    </row>
    <row r="808">
      <c r="A808" s="95" t="s">
        <v>947</v>
      </c>
      <c r="B808" s="18" t="s">
        <v>948</v>
      </c>
      <c r="C808" s="19" t="s">
        <v>324</v>
      </c>
      <c r="D808" s="230" t="s">
        <v>490</v>
      </c>
      <c r="E808" s="33" t="s">
        <v>62</v>
      </c>
      <c r="F808" s="19" t="s">
        <v>67</v>
      </c>
      <c r="G808" s="23">
        <v>104.0</v>
      </c>
      <c r="H808" s="23">
        <v>140.0</v>
      </c>
      <c r="I808" s="22" t="s">
        <v>354</v>
      </c>
      <c r="J808" s="19">
        <v>57.0</v>
      </c>
      <c r="K808" s="22">
        <v>0.0</v>
      </c>
      <c r="L808" s="22">
        <v>0.0</v>
      </c>
      <c r="M808" s="22" t="s">
        <v>354</v>
      </c>
      <c r="N808" s="101" t="s">
        <v>17</v>
      </c>
      <c r="O808" s="101" t="s">
        <v>17</v>
      </c>
      <c r="P808" s="101" t="s">
        <v>17</v>
      </c>
      <c r="Q808" s="101" t="s">
        <v>17</v>
      </c>
      <c r="R808" s="101" t="s">
        <v>17</v>
      </c>
      <c r="S808" s="24" t="s">
        <v>325</v>
      </c>
      <c r="T808" s="24" t="s">
        <v>326</v>
      </c>
      <c r="U808" s="19"/>
      <c r="V808" s="19"/>
      <c r="W808" s="19"/>
      <c r="X808" s="19"/>
      <c r="Y808" s="19"/>
      <c r="Z808" s="19"/>
      <c r="AA808" s="19"/>
      <c r="AB808" s="23" t="s">
        <v>949</v>
      </c>
      <c r="AC808" s="19"/>
      <c r="AD808" s="19"/>
      <c r="AE808" s="19"/>
      <c r="AF808" s="23">
        <v>0.0</v>
      </c>
      <c r="AG808" s="23" t="s">
        <v>354</v>
      </c>
      <c r="AH808" s="19"/>
      <c r="AI808" s="23" t="s">
        <v>354</v>
      </c>
      <c r="AJ808" s="19"/>
      <c r="AK808" s="19"/>
      <c r="AL808" s="32" t="s">
        <v>361</v>
      </c>
      <c r="AM808" s="19" t="s">
        <v>356</v>
      </c>
      <c r="AN808" s="19" t="s">
        <v>356</v>
      </c>
    </row>
    <row r="809">
      <c r="A809" s="95" t="s">
        <v>947</v>
      </c>
      <c r="B809" s="18" t="s">
        <v>948</v>
      </c>
      <c r="C809" s="19" t="s">
        <v>324</v>
      </c>
      <c r="D809" s="230" t="s">
        <v>490</v>
      </c>
      <c r="E809" s="33" t="s">
        <v>37</v>
      </c>
      <c r="F809" s="19" t="s">
        <v>67</v>
      </c>
      <c r="G809" s="23">
        <v>108.0</v>
      </c>
      <c r="H809" s="23">
        <v>170.0</v>
      </c>
      <c r="I809" s="22" t="s">
        <v>354</v>
      </c>
      <c r="J809" s="19">
        <v>57.0</v>
      </c>
      <c r="K809" s="22">
        <v>0.0</v>
      </c>
      <c r="L809" s="22">
        <v>0.0</v>
      </c>
      <c r="M809" s="22" t="s">
        <v>354</v>
      </c>
      <c r="N809" s="101" t="s">
        <v>17</v>
      </c>
      <c r="O809" s="101" t="s">
        <v>17</v>
      </c>
      <c r="P809" s="101" t="s">
        <v>17</v>
      </c>
      <c r="Q809" s="101" t="s">
        <v>17</v>
      </c>
      <c r="R809" s="101" t="s">
        <v>17</v>
      </c>
      <c r="S809" s="24" t="s">
        <v>325</v>
      </c>
      <c r="T809" s="24" t="s">
        <v>326</v>
      </c>
      <c r="U809" s="18" t="s">
        <v>950</v>
      </c>
      <c r="V809" s="19"/>
      <c r="W809" s="19"/>
      <c r="X809" s="19"/>
      <c r="Y809" s="19"/>
      <c r="Z809" s="19"/>
      <c r="AA809" s="19"/>
      <c r="AB809" s="22" t="s">
        <v>354</v>
      </c>
      <c r="AC809" s="19"/>
      <c r="AD809" s="19"/>
      <c r="AE809" s="19"/>
      <c r="AF809" s="23">
        <v>0.0</v>
      </c>
      <c r="AG809" s="23" t="s">
        <v>354</v>
      </c>
      <c r="AH809" s="19"/>
      <c r="AI809" s="23" t="s">
        <v>354</v>
      </c>
      <c r="AJ809" s="19"/>
      <c r="AK809" s="19"/>
      <c r="AL809" s="89" t="s">
        <v>356</v>
      </c>
      <c r="AM809" s="58" t="s">
        <v>380</v>
      </c>
      <c r="AN809" s="89" t="s">
        <v>356</v>
      </c>
    </row>
    <row r="810">
      <c r="A810" s="95" t="s">
        <v>947</v>
      </c>
      <c r="B810" s="18" t="s">
        <v>948</v>
      </c>
      <c r="C810" s="19" t="s">
        <v>324</v>
      </c>
      <c r="D810" s="230" t="s">
        <v>490</v>
      </c>
      <c r="E810" s="33" t="s">
        <v>37</v>
      </c>
      <c r="F810" s="19" t="s">
        <v>67</v>
      </c>
      <c r="G810" s="23" t="s">
        <v>354</v>
      </c>
      <c r="H810" s="23">
        <v>210.0</v>
      </c>
      <c r="I810" s="142" t="s">
        <v>354</v>
      </c>
      <c r="J810" s="142">
        <v>57.0</v>
      </c>
      <c r="K810" s="142">
        <v>0.0</v>
      </c>
      <c r="L810" s="142">
        <v>0.0</v>
      </c>
      <c r="M810" s="142" t="s">
        <v>354</v>
      </c>
      <c r="N810" s="101" t="s">
        <v>17</v>
      </c>
      <c r="O810" s="101" t="s">
        <v>17</v>
      </c>
      <c r="P810" s="101" t="s">
        <v>17</v>
      </c>
      <c r="Q810" s="101" t="s">
        <v>17</v>
      </c>
      <c r="R810" s="101" t="s">
        <v>17</v>
      </c>
      <c r="S810" s="24" t="s">
        <v>325</v>
      </c>
      <c r="T810" s="24" t="s">
        <v>326</v>
      </c>
      <c r="U810" s="18" t="s">
        <v>950</v>
      </c>
      <c r="V810" s="18" t="s">
        <v>951</v>
      </c>
      <c r="W810" s="19"/>
      <c r="X810" s="19"/>
      <c r="Y810" s="19"/>
      <c r="Z810" s="19"/>
      <c r="AA810" s="19"/>
      <c r="AB810" s="22" t="s">
        <v>354</v>
      </c>
      <c r="AC810" s="19"/>
      <c r="AD810" s="19"/>
      <c r="AE810" s="19"/>
      <c r="AF810" s="23">
        <v>0.0</v>
      </c>
      <c r="AG810" s="23" t="s">
        <v>354</v>
      </c>
      <c r="AH810" s="19"/>
      <c r="AI810" s="23" t="s">
        <v>354</v>
      </c>
      <c r="AJ810" s="19"/>
      <c r="AK810" s="19"/>
      <c r="AL810" s="19" t="s">
        <v>356</v>
      </c>
      <c r="AM810" s="58" t="s">
        <v>380</v>
      </c>
      <c r="AN810" s="19" t="s">
        <v>356</v>
      </c>
    </row>
    <row r="811">
      <c r="A811" s="95" t="s">
        <v>947</v>
      </c>
      <c r="B811" s="18" t="s">
        <v>948</v>
      </c>
      <c r="C811" s="19" t="s">
        <v>324</v>
      </c>
      <c r="D811" s="230" t="s">
        <v>490</v>
      </c>
      <c r="E811" s="33" t="s">
        <v>37</v>
      </c>
      <c r="F811" s="19" t="s">
        <v>67</v>
      </c>
      <c r="G811" s="23">
        <v>118.0</v>
      </c>
      <c r="H811" s="23">
        <v>225.0</v>
      </c>
      <c r="I811" s="142" t="s">
        <v>354</v>
      </c>
      <c r="J811" s="142">
        <v>57.0</v>
      </c>
      <c r="K811" s="142">
        <v>0.0</v>
      </c>
      <c r="L811" s="142">
        <v>0.0</v>
      </c>
      <c r="M811" s="142" t="s">
        <v>354</v>
      </c>
      <c r="N811" s="101" t="s">
        <v>17</v>
      </c>
      <c r="O811" s="101" t="s">
        <v>17</v>
      </c>
      <c r="P811" s="101" t="s">
        <v>17</v>
      </c>
      <c r="Q811" s="101" t="s">
        <v>17</v>
      </c>
      <c r="R811" s="101" t="s">
        <v>17</v>
      </c>
      <c r="S811" s="24" t="s">
        <v>325</v>
      </c>
      <c r="T811" s="24" t="s">
        <v>326</v>
      </c>
      <c r="U811" s="18" t="s">
        <v>950</v>
      </c>
      <c r="V811" s="18" t="s">
        <v>951</v>
      </c>
      <c r="W811" s="18" t="s">
        <v>952</v>
      </c>
      <c r="X811" s="19"/>
      <c r="Y811" s="19"/>
      <c r="Z811" s="19"/>
      <c r="AA811" s="19"/>
      <c r="AB811" s="184" t="s">
        <v>371</v>
      </c>
      <c r="AC811" s="19"/>
      <c r="AD811" s="19"/>
      <c r="AE811" s="19"/>
      <c r="AF811" s="23">
        <v>0.0</v>
      </c>
      <c r="AG811" s="23" t="s">
        <v>354</v>
      </c>
      <c r="AH811" s="19"/>
      <c r="AI811" s="23" t="s">
        <v>354</v>
      </c>
      <c r="AJ811" s="19"/>
      <c r="AK811" s="19"/>
      <c r="AL811" s="19" t="s">
        <v>356</v>
      </c>
      <c r="AM811" s="19" t="s">
        <v>356</v>
      </c>
      <c r="AN811" s="19" t="s">
        <v>356</v>
      </c>
    </row>
    <row r="812">
      <c r="A812" s="95" t="s">
        <v>947</v>
      </c>
      <c r="B812" s="18" t="s">
        <v>948</v>
      </c>
      <c r="C812" s="19" t="s">
        <v>324</v>
      </c>
      <c r="D812" s="230" t="s">
        <v>490</v>
      </c>
      <c r="E812" s="33" t="s">
        <v>37</v>
      </c>
      <c r="F812" s="19" t="s">
        <v>67</v>
      </c>
      <c r="G812" s="22" t="s">
        <v>354</v>
      </c>
      <c r="H812" s="22" t="s">
        <v>354</v>
      </c>
      <c r="I812" s="22" t="s">
        <v>354</v>
      </c>
      <c r="J812" s="19"/>
      <c r="K812" s="23">
        <v>0.0</v>
      </c>
      <c r="L812" s="41">
        <v>0.0</v>
      </c>
      <c r="M812" s="41" t="s">
        <v>354</v>
      </c>
      <c r="N812" s="101" t="s">
        <v>17</v>
      </c>
      <c r="O812" s="101" t="s">
        <v>17</v>
      </c>
      <c r="P812" s="101" t="s">
        <v>17</v>
      </c>
      <c r="Q812" s="101" t="s">
        <v>17</v>
      </c>
      <c r="R812" s="101" t="s">
        <v>17</v>
      </c>
      <c r="S812" s="24" t="s">
        <v>325</v>
      </c>
      <c r="T812" s="24" t="s">
        <v>326</v>
      </c>
      <c r="U812" s="18" t="s">
        <v>950</v>
      </c>
      <c r="V812" s="18" t="s">
        <v>951</v>
      </c>
      <c r="W812" s="18" t="s">
        <v>952</v>
      </c>
      <c r="X812" s="18" t="s">
        <v>951</v>
      </c>
      <c r="Y812" s="23"/>
      <c r="Z812" s="23"/>
      <c r="AA812" s="19"/>
      <c r="AB812" s="184" t="s">
        <v>371</v>
      </c>
      <c r="AC812" s="19"/>
      <c r="AD812" s="19"/>
      <c r="AE812" s="19"/>
      <c r="AF812" s="23">
        <v>0.0</v>
      </c>
      <c r="AG812" s="23" t="s">
        <v>354</v>
      </c>
      <c r="AH812" s="19"/>
      <c r="AI812" s="23" t="s">
        <v>354</v>
      </c>
      <c r="AJ812" s="19"/>
      <c r="AK812" s="19"/>
      <c r="AL812" s="119" t="s">
        <v>413</v>
      </c>
      <c r="AM812" s="109" t="s">
        <v>420</v>
      </c>
      <c r="AN812" s="91" t="s">
        <v>413</v>
      </c>
    </row>
    <row r="813">
      <c r="A813" s="95" t="s">
        <v>947</v>
      </c>
      <c r="B813" s="18" t="s">
        <v>948</v>
      </c>
      <c r="C813" s="19" t="s">
        <v>324</v>
      </c>
      <c r="D813" s="230" t="s">
        <v>490</v>
      </c>
      <c r="E813" s="33" t="s">
        <v>37</v>
      </c>
      <c r="F813" s="19" t="s">
        <v>67</v>
      </c>
      <c r="G813" s="22" t="s">
        <v>354</v>
      </c>
      <c r="H813" s="22" t="s">
        <v>354</v>
      </c>
      <c r="I813" s="22" t="s">
        <v>354</v>
      </c>
      <c r="J813" s="19"/>
      <c r="K813" s="23">
        <v>0.0</v>
      </c>
      <c r="L813" s="41">
        <v>0.0</v>
      </c>
      <c r="M813" s="41" t="s">
        <v>354</v>
      </c>
      <c r="N813" s="101" t="s">
        <v>17</v>
      </c>
      <c r="O813" s="101" t="s">
        <v>17</v>
      </c>
      <c r="P813" s="101" t="s">
        <v>17</v>
      </c>
      <c r="Q813" s="101" t="s">
        <v>17</v>
      </c>
      <c r="R813" s="101" t="s">
        <v>17</v>
      </c>
      <c r="S813" s="24" t="s">
        <v>325</v>
      </c>
      <c r="T813" s="24" t="s">
        <v>326</v>
      </c>
      <c r="U813" s="18" t="s">
        <v>950</v>
      </c>
      <c r="V813" s="18" t="s">
        <v>951</v>
      </c>
      <c r="W813" s="18" t="s">
        <v>952</v>
      </c>
      <c r="X813" s="18" t="s">
        <v>951</v>
      </c>
      <c r="Y813" s="18" t="s">
        <v>951</v>
      </c>
      <c r="Z813" s="23"/>
      <c r="AA813" s="19"/>
      <c r="AB813" s="184" t="s">
        <v>371</v>
      </c>
      <c r="AC813" s="19"/>
      <c r="AD813" s="19"/>
      <c r="AE813" s="19"/>
      <c r="AF813" s="66">
        <v>25.5873191689799</v>
      </c>
      <c r="AG813" s="23" t="s">
        <v>354</v>
      </c>
      <c r="AH813" s="19"/>
      <c r="AI813" s="23" t="s">
        <v>354</v>
      </c>
      <c r="AJ813" s="19"/>
      <c r="AK813" s="19"/>
      <c r="AL813" s="119" t="s">
        <v>413</v>
      </c>
      <c r="AM813" s="119" t="s">
        <v>413</v>
      </c>
      <c r="AN813" s="91" t="s">
        <v>413</v>
      </c>
    </row>
    <row r="814">
      <c r="A814" s="95" t="s">
        <v>947</v>
      </c>
      <c r="B814" s="18" t="s">
        <v>948</v>
      </c>
      <c r="C814" s="19" t="s">
        <v>324</v>
      </c>
      <c r="D814" s="230" t="s">
        <v>490</v>
      </c>
      <c r="E814" s="33" t="s">
        <v>37</v>
      </c>
      <c r="F814" s="19" t="s">
        <v>67</v>
      </c>
      <c r="G814" s="22" t="s">
        <v>354</v>
      </c>
      <c r="H814" s="22" t="s">
        <v>354</v>
      </c>
      <c r="I814" s="22" t="s">
        <v>354</v>
      </c>
      <c r="J814" s="19"/>
      <c r="K814" s="23">
        <v>1.0</v>
      </c>
      <c r="L814" s="78">
        <v>1.0</v>
      </c>
      <c r="M814" s="78" t="s">
        <v>354</v>
      </c>
      <c r="N814" s="101" t="s">
        <v>17</v>
      </c>
      <c r="O814" s="101" t="s">
        <v>17</v>
      </c>
      <c r="P814" s="101" t="s">
        <v>17</v>
      </c>
      <c r="Q814" s="101" t="s">
        <v>17</v>
      </c>
      <c r="R814" s="101" t="s">
        <v>17</v>
      </c>
      <c r="S814" s="24" t="s">
        <v>325</v>
      </c>
      <c r="T814" s="24" t="s">
        <v>326</v>
      </c>
      <c r="U814" s="18" t="s">
        <v>950</v>
      </c>
      <c r="V814" s="18" t="s">
        <v>951</v>
      </c>
      <c r="W814" s="18" t="s">
        <v>952</v>
      </c>
      <c r="X814" s="18" t="s">
        <v>951</v>
      </c>
      <c r="Y814" s="18" t="s">
        <v>951</v>
      </c>
      <c r="Z814" s="18" t="s">
        <v>951</v>
      </c>
      <c r="AA814" s="19"/>
      <c r="AB814" s="184" t="s">
        <v>953</v>
      </c>
      <c r="AC814" s="19"/>
      <c r="AD814" s="19"/>
      <c r="AE814" s="19"/>
      <c r="AF814" s="66">
        <v>33.6778225221767</v>
      </c>
      <c r="AG814" s="36" t="s">
        <v>365</v>
      </c>
      <c r="AH814" s="19"/>
      <c r="AI814" s="164" t="s">
        <v>413</v>
      </c>
      <c r="AJ814" s="164" t="s">
        <v>413</v>
      </c>
      <c r="AK814" s="164" t="s">
        <v>413</v>
      </c>
      <c r="AL814" s="105" t="s">
        <v>413</v>
      </c>
      <c r="AM814" s="105" t="s">
        <v>413</v>
      </c>
      <c r="AN814" s="105" t="s">
        <v>413</v>
      </c>
    </row>
    <row r="815">
      <c r="A815" s="95" t="s">
        <v>947</v>
      </c>
      <c r="B815" s="18" t="s">
        <v>948</v>
      </c>
      <c r="C815" s="19" t="s">
        <v>324</v>
      </c>
      <c r="D815" s="230" t="s">
        <v>490</v>
      </c>
      <c r="E815" s="33" t="s">
        <v>37</v>
      </c>
      <c r="F815" s="19" t="s">
        <v>67</v>
      </c>
      <c r="G815" s="22" t="s">
        <v>354</v>
      </c>
      <c r="H815" s="22" t="s">
        <v>354</v>
      </c>
      <c r="I815" s="22" t="s">
        <v>354</v>
      </c>
      <c r="J815" s="19"/>
      <c r="K815" s="23">
        <v>1.0</v>
      </c>
      <c r="L815" s="41">
        <v>0.0</v>
      </c>
      <c r="M815" s="41" t="s">
        <v>354</v>
      </c>
      <c r="N815" s="101" t="s">
        <v>17</v>
      </c>
      <c r="O815" s="101" t="s">
        <v>17</v>
      </c>
      <c r="P815" s="101" t="s">
        <v>17</v>
      </c>
      <c r="Q815" s="101" t="s">
        <v>17</v>
      </c>
      <c r="R815" s="101" t="s">
        <v>17</v>
      </c>
      <c r="S815" s="24" t="s">
        <v>325</v>
      </c>
      <c r="T815" s="24" t="s">
        <v>326</v>
      </c>
      <c r="U815" s="18" t="s">
        <v>950</v>
      </c>
      <c r="V815" s="18" t="s">
        <v>951</v>
      </c>
      <c r="W815" s="18" t="s">
        <v>952</v>
      </c>
      <c r="X815" s="18" t="s">
        <v>951</v>
      </c>
      <c r="Y815" s="18" t="s">
        <v>951</v>
      </c>
      <c r="Z815" s="18" t="s">
        <v>951</v>
      </c>
      <c r="AA815" s="18" t="s">
        <v>951</v>
      </c>
      <c r="AB815" s="184" t="s">
        <v>371</v>
      </c>
      <c r="AC815" s="19"/>
      <c r="AD815" s="19"/>
      <c r="AE815" s="19"/>
      <c r="AF815" s="66">
        <v>29.9522924793096</v>
      </c>
      <c r="AG815" s="23" t="s">
        <v>354</v>
      </c>
      <c r="AH815" s="19"/>
      <c r="AI815" s="23" t="s">
        <v>354</v>
      </c>
      <c r="AJ815" s="19"/>
      <c r="AK815" s="19"/>
      <c r="AL815" s="29" t="s">
        <v>954</v>
      </c>
      <c r="AM815" s="75" t="s">
        <v>357</v>
      </c>
      <c r="AN815" s="115" t="s">
        <v>358</v>
      </c>
    </row>
    <row r="816">
      <c r="A816" s="237" t="s">
        <v>955</v>
      </c>
      <c r="B816" s="18" t="s">
        <v>956</v>
      </c>
      <c r="C816" s="46"/>
      <c r="D816" s="238" t="s">
        <v>736</v>
      </c>
      <c r="E816" s="239" t="s">
        <v>62</v>
      </c>
      <c r="F816" s="240" t="s">
        <v>8</v>
      </c>
      <c r="G816" s="240" t="s">
        <v>354</v>
      </c>
      <c r="H816" s="240" t="s">
        <v>354</v>
      </c>
      <c r="I816" s="240" t="s">
        <v>354</v>
      </c>
      <c r="J816" s="240" t="s">
        <v>354</v>
      </c>
      <c r="K816" s="240" t="s">
        <v>354</v>
      </c>
      <c r="L816" s="240">
        <v>0.0</v>
      </c>
      <c r="M816" s="240" t="s">
        <v>354</v>
      </c>
      <c r="N816" s="101" t="s">
        <v>17</v>
      </c>
      <c r="O816" s="101" t="s">
        <v>17</v>
      </c>
      <c r="P816" s="101" t="s">
        <v>17</v>
      </c>
      <c r="Q816" s="101" t="s">
        <v>17</v>
      </c>
      <c r="R816" s="101" t="s">
        <v>17</v>
      </c>
      <c r="S816" s="101" t="s">
        <v>17</v>
      </c>
      <c r="T816" s="101" t="s">
        <v>17</v>
      </c>
      <c r="U816" s="101" t="s">
        <v>17</v>
      </c>
      <c r="V816" s="101" t="s">
        <v>17</v>
      </c>
      <c r="W816" s="130" t="s">
        <v>957</v>
      </c>
      <c r="X816" s="240"/>
      <c r="Y816" s="240"/>
      <c r="Z816" s="241"/>
      <c r="AA816" s="183"/>
      <c r="AB816" s="184" t="s">
        <v>371</v>
      </c>
      <c r="AC816" s="46"/>
      <c r="AD816" s="46"/>
      <c r="AE816" s="46"/>
      <c r="AF816" s="242">
        <v>0.0</v>
      </c>
      <c r="AG816" s="242" t="s">
        <v>354</v>
      </c>
      <c r="AH816" s="243"/>
      <c r="AI816" s="242" t="s">
        <v>354</v>
      </c>
      <c r="AJ816" s="243"/>
      <c r="AK816" s="243"/>
      <c r="AL816" s="242" t="s">
        <v>356</v>
      </c>
      <c r="AM816" s="242" t="s">
        <v>356</v>
      </c>
      <c r="AN816" s="242" t="s">
        <v>356</v>
      </c>
    </row>
    <row r="817">
      <c r="A817" s="237" t="s">
        <v>955</v>
      </c>
      <c r="B817" s="18" t="s">
        <v>956</v>
      </c>
      <c r="C817" s="46"/>
      <c r="D817" s="238" t="s">
        <v>736</v>
      </c>
      <c r="E817" s="239" t="s">
        <v>37</v>
      </c>
      <c r="F817" s="240" t="s">
        <v>8</v>
      </c>
      <c r="G817" s="240" t="s">
        <v>354</v>
      </c>
      <c r="H817" s="240" t="s">
        <v>354</v>
      </c>
      <c r="I817" s="240" t="s">
        <v>354</v>
      </c>
      <c r="J817" s="240" t="s">
        <v>354</v>
      </c>
      <c r="K817" s="240" t="s">
        <v>354</v>
      </c>
      <c r="L817" s="41">
        <v>0.0</v>
      </c>
      <c r="M817" s="41" t="s">
        <v>354</v>
      </c>
      <c r="N817" s="101" t="s">
        <v>17</v>
      </c>
      <c r="O817" s="101" t="s">
        <v>17</v>
      </c>
      <c r="P817" s="101" t="s">
        <v>17</v>
      </c>
      <c r="Q817" s="101" t="s">
        <v>17</v>
      </c>
      <c r="R817" s="101" t="s">
        <v>17</v>
      </c>
      <c r="S817" s="101" t="s">
        <v>17</v>
      </c>
      <c r="T817" s="101" t="s">
        <v>17</v>
      </c>
      <c r="U817" s="101" t="s">
        <v>17</v>
      </c>
      <c r="V817" s="101" t="s">
        <v>17</v>
      </c>
      <c r="W817" s="130" t="s">
        <v>957</v>
      </c>
      <c r="X817" s="18">
        <v>1046.0</v>
      </c>
      <c r="Y817" s="183"/>
      <c r="Z817" s="240"/>
      <c r="AA817" s="183"/>
      <c r="AB817" s="184" t="s">
        <v>371</v>
      </c>
      <c r="AC817" s="46"/>
      <c r="AD817" s="46"/>
      <c r="AE817" s="46"/>
      <c r="AF817" s="242">
        <v>0.0</v>
      </c>
      <c r="AG817" s="242" t="s">
        <v>354</v>
      </c>
      <c r="AH817" s="243"/>
      <c r="AI817" s="242" t="s">
        <v>354</v>
      </c>
      <c r="AJ817" s="243"/>
      <c r="AK817" s="243"/>
      <c r="AL817" s="242" t="s">
        <v>356</v>
      </c>
      <c r="AM817" s="242" t="s">
        <v>356</v>
      </c>
      <c r="AN817" s="242" t="s">
        <v>356</v>
      </c>
    </row>
    <row r="818">
      <c r="A818" s="237" t="s">
        <v>955</v>
      </c>
      <c r="B818" s="18" t="s">
        <v>956</v>
      </c>
      <c r="C818" s="46"/>
      <c r="D818" s="238" t="s">
        <v>736</v>
      </c>
      <c r="E818" s="239" t="s">
        <v>37</v>
      </c>
      <c r="F818" s="240" t="s">
        <v>8</v>
      </c>
      <c r="G818" s="240" t="s">
        <v>354</v>
      </c>
      <c r="H818" s="240" t="s">
        <v>354</v>
      </c>
      <c r="I818" s="240" t="s">
        <v>354</v>
      </c>
      <c r="J818" s="240" t="s">
        <v>354</v>
      </c>
      <c r="K818" s="240" t="s">
        <v>354</v>
      </c>
      <c r="L818" s="41">
        <v>0.0</v>
      </c>
      <c r="M818" s="41" t="s">
        <v>354</v>
      </c>
      <c r="N818" s="101" t="s">
        <v>17</v>
      </c>
      <c r="O818" s="101" t="s">
        <v>17</v>
      </c>
      <c r="P818" s="101" t="s">
        <v>17</v>
      </c>
      <c r="Q818" s="101" t="s">
        <v>17</v>
      </c>
      <c r="R818" s="101" t="s">
        <v>17</v>
      </c>
      <c r="S818" s="101" t="s">
        <v>17</v>
      </c>
      <c r="T818" s="101" t="s">
        <v>17</v>
      </c>
      <c r="U818" s="101" t="s">
        <v>17</v>
      </c>
      <c r="V818" s="101" t="s">
        <v>17</v>
      </c>
      <c r="W818" s="130" t="s">
        <v>957</v>
      </c>
      <c r="X818" s="18">
        <v>1046.0</v>
      </c>
      <c r="Y818" s="130" t="s">
        <v>958</v>
      </c>
      <c r="Z818" s="44" t="s">
        <v>373</v>
      </c>
      <c r="AA818" s="183"/>
      <c r="AB818" s="184" t="s">
        <v>371</v>
      </c>
      <c r="AC818" s="46"/>
      <c r="AD818" s="46"/>
      <c r="AE818" s="46"/>
      <c r="AF818" s="244">
        <v>32.5463624051681</v>
      </c>
      <c r="AG818" s="242" t="s">
        <v>354</v>
      </c>
      <c r="AH818" s="243"/>
      <c r="AI818" s="242" t="s">
        <v>354</v>
      </c>
      <c r="AJ818" s="245"/>
      <c r="AK818" s="240"/>
      <c r="AL818" s="91" t="s">
        <v>413</v>
      </c>
      <c r="AM818" s="119" t="s">
        <v>413</v>
      </c>
      <c r="AN818" s="91" t="s">
        <v>413</v>
      </c>
    </row>
    <row r="819">
      <c r="A819" s="237" t="s">
        <v>955</v>
      </c>
      <c r="B819" s="18" t="s">
        <v>956</v>
      </c>
      <c r="C819" s="46"/>
      <c r="D819" s="238" t="s">
        <v>736</v>
      </c>
      <c r="E819" s="239" t="s">
        <v>37</v>
      </c>
      <c r="F819" s="240" t="s">
        <v>8</v>
      </c>
      <c r="G819" s="240" t="s">
        <v>354</v>
      </c>
      <c r="H819" s="240" t="s">
        <v>354</v>
      </c>
      <c r="I819" s="240" t="s">
        <v>354</v>
      </c>
      <c r="J819" s="240" t="s">
        <v>354</v>
      </c>
      <c r="K819" s="240" t="s">
        <v>354</v>
      </c>
      <c r="L819" s="41">
        <v>0.0</v>
      </c>
      <c r="M819" s="41" t="s">
        <v>354</v>
      </c>
      <c r="N819" s="101" t="s">
        <v>17</v>
      </c>
      <c r="O819" s="101" t="s">
        <v>17</v>
      </c>
      <c r="P819" s="101" t="s">
        <v>17</v>
      </c>
      <c r="Q819" s="101" t="s">
        <v>17</v>
      </c>
      <c r="R819" s="101" t="s">
        <v>17</v>
      </c>
      <c r="S819" s="101" t="s">
        <v>17</v>
      </c>
      <c r="T819" s="101" t="s">
        <v>17</v>
      </c>
      <c r="U819" s="101" t="s">
        <v>17</v>
      </c>
      <c r="V819" s="101" t="s">
        <v>17</v>
      </c>
      <c r="W819" s="130" t="s">
        <v>957</v>
      </c>
      <c r="X819" s="18">
        <v>1046.0</v>
      </c>
      <c r="Y819" s="130" t="s">
        <v>958</v>
      </c>
      <c r="Z819" s="44" t="s">
        <v>373</v>
      </c>
      <c r="AA819" s="130" t="s">
        <v>958</v>
      </c>
      <c r="AB819" s="184" t="s">
        <v>371</v>
      </c>
      <c r="AC819" s="46"/>
      <c r="AD819" s="46"/>
      <c r="AE819" s="46"/>
      <c r="AF819" s="244">
        <v>33.4474249775915</v>
      </c>
      <c r="AG819" s="242" t="s">
        <v>354</v>
      </c>
      <c r="AH819" s="243"/>
      <c r="AI819" s="242" t="s">
        <v>354</v>
      </c>
      <c r="AJ819" s="245"/>
      <c r="AK819" s="240"/>
      <c r="AL819" s="132" t="s">
        <v>420</v>
      </c>
      <c r="AM819" s="109" t="s">
        <v>420</v>
      </c>
      <c r="AN819" s="132" t="s">
        <v>420</v>
      </c>
    </row>
    <row r="820">
      <c r="A820" s="246" t="s">
        <v>959</v>
      </c>
      <c r="B820" s="18" t="s">
        <v>960</v>
      </c>
      <c r="C820" s="19"/>
      <c r="D820" s="247" t="s">
        <v>736</v>
      </c>
      <c r="E820" s="248" t="s">
        <v>62</v>
      </c>
      <c r="F820" s="246" t="s">
        <v>67</v>
      </c>
      <c r="G820" s="246">
        <v>100.0</v>
      </c>
      <c r="H820" s="246">
        <v>85.0</v>
      </c>
      <c r="I820" s="246" t="s">
        <v>354</v>
      </c>
      <c r="J820" s="249"/>
      <c r="K820" s="246">
        <v>0.0</v>
      </c>
      <c r="L820" s="23">
        <v>0.0</v>
      </c>
      <c r="M820" s="23" t="s">
        <v>354</v>
      </c>
      <c r="N820" s="101" t="s">
        <v>17</v>
      </c>
      <c r="O820" s="101" t="s">
        <v>17</v>
      </c>
      <c r="P820" s="101" t="s">
        <v>17</v>
      </c>
      <c r="Q820" s="101" t="s">
        <v>17</v>
      </c>
      <c r="R820" s="101" t="s">
        <v>17</v>
      </c>
      <c r="S820" s="101" t="s">
        <v>17</v>
      </c>
      <c r="T820" s="101" t="s">
        <v>17</v>
      </c>
      <c r="U820" s="101" t="s">
        <v>17</v>
      </c>
      <c r="V820" s="101" t="s">
        <v>17</v>
      </c>
      <c r="W820" s="18">
        <v>890.0</v>
      </c>
      <c r="X820" s="249"/>
      <c r="Y820" s="249"/>
      <c r="Z820" s="249"/>
      <c r="AA820" s="249"/>
      <c r="AB820" s="250" t="s">
        <v>354</v>
      </c>
      <c r="AC820" s="19"/>
      <c r="AD820" s="19"/>
      <c r="AE820" s="19"/>
      <c r="AF820" s="249">
        <v>0.0</v>
      </c>
      <c r="AG820" s="249" t="s">
        <v>354</v>
      </c>
      <c r="AH820" s="249"/>
      <c r="AI820" s="249" t="s">
        <v>354</v>
      </c>
      <c r="AJ820" s="249"/>
      <c r="AK820" s="249"/>
      <c r="AL820" s="249" t="s">
        <v>356</v>
      </c>
      <c r="AM820" s="249" t="s">
        <v>356</v>
      </c>
      <c r="AN820" s="249" t="s">
        <v>356</v>
      </c>
    </row>
    <row r="821">
      <c r="A821" s="246" t="s">
        <v>959</v>
      </c>
      <c r="B821" s="18" t="s">
        <v>960</v>
      </c>
      <c r="C821" s="19"/>
      <c r="D821" s="247" t="s">
        <v>736</v>
      </c>
      <c r="E821" s="248" t="s">
        <v>37</v>
      </c>
      <c r="F821" s="246" t="s">
        <v>67</v>
      </c>
      <c r="G821" s="246" t="s">
        <v>354</v>
      </c>
      <c r="H821" s="250" t="s">
        <v>354</v>
      </c>
      <c r="I821" s="250" t="s">
        <v>354</v>
      </c>
      <c r="J821" s="249"/>
      <c r="K821" s="246">
        <v>0.0</v>
      </c>
      <c r="L821" s="41">
        <v>0.0</v>
      </c>
      <c r="M821" s="41" t="s">
        <v>354</v>
      </c>
      <c r="N821" s="101" t="s">
        <v>17</v>
      </c>
      <c r="O821" s="101" t="s">
        <v>17</v>
      </c>
      <c r="P821" s="101" t="s">
        <v>17</v>
      </c>
      <c r="Q821" s="101" t="s">
        <v>17</v>
      </c>
      <c r="R821" s="101" t="s">
        <v>17</v>
      </c>
      <c r="S821" s="101" t="s">
        <v>17</v>
      </c>
      <c r="T821" s="101" t="s">
        <v>17</v>
      </c>
      <c r="U821" s="101" t="s">
        <v>17</v>
      </c>
      <c r="V821" s="101" t="s">
        <v>17</v>
      </c>
      <c r="W821" s="18">
        <v>890.0</v>
      </c>
      <c r="X821" s="18">
        <v>890.0</v>
      </c>
      <c r="Y821" s="246"/>
      <c r="Z821" s="246"/>
      <c r="AA821" s="249"/>
      <c r="AB821" s="184" t="s">
        <v>371</v>
      </c>
      <c r="AC821" s="19"/>
      <c r="AD821" s="19"/>
      <c r="AE821" s="19"/>
      <c r="AF821" s="249">
        <v>0.0</v>
      </c>
      <c r="AG821" s="249" t="s">
        <v>354</v>
      </c>
      <c r="AH821" s="249"/>
      <c r="AI821" s="249" t="s">
        <v>354</v>
      </c>
      <c r="AJ821" s="249"/>
      <c r="AK821" s="249"/>
      <c r="AL821" s="249" t="s">
        <v>356</v>
      </c>
      <c r="AM821" s="249" t="s">
        <v>356</v>
      </c>
      <c r="AN821" s="249" t="s">
        <v>356</v>
      </c>
    </row>
    <row r="822">
      <c r="A822" s="246" t="s">
        <v>959</v>
      </c>
      <c r="B822" s="18" t="s">
        <v>960</v>
      </c>
      <c r="C822" s="19"/>
      <c r="D822" s="247" t="s">
        <v>736</v>
      </c>
      <c r="E822" s="248" t="s">
        <v>37</v>
      </c>
      <c r="F822" s="246" t="s">
        <v>67</v>
      </c>
      <c r="G822" s="250" t="s">
        <v>354</v>
      </c>
      <c r="H822" s="250" t="s">
        <v>354</v>
      </c>
      <c r="I822" s="250" t="s">
        <v>354</v>
      </c>
      <c r="J822" s="249"/>
      <c r="K822" s="246">
        <v>0.0</v>
      </c>
      <c r="L822" s="41">
        <v>0.0</v>
      </c>
      <c r="M822" s="41" t="s">
        <v>354</v>
      </c>
      <c r="N822" s="101" t="s">
        <v>17</v>
      </c>
      <c r="O822" s="101" t="s">
        <v>17</v>
      </c>
      <c r="P822" s="101" t="s">
        <v>17</v>
      </c>
      <c r="Q822" s="101" t="s">
        <v>17</v>
      </c>
      <c r="R822" s="101" t="s">
        <v>17</v>
      </c>
      <c r="S822" s="101" t="s">
        <v>17</v>
      </c>
      <c r="T822" s="101" t="s">
        <v>17</v>
      </c>
      <c r="U822" s="101" t="s">
        <v>17</v>
      </c>
      <c r="V822" s="101" t="s">
        <v>17</v>
      </c>
      <c r="W822" s="18">
        <v>890.0</v>
      </c>
      <c r="X822" s="18">
        <v>890.0</v>
      </c>
      <c r="Y822" s="18" t="s">
        <v>961</v>
      </c>
      <c r="Z822" s="246"/>
      <c r="AA822" s="249"/>
      <c r="AB822" s="184" t="s">
        <v>371</v>
      </c>
      <c r="AC822" s="19"/>
      <c r="AD822" s="19"/>
      <c r="AE822" s="19"/>
      <c r="AF822" s="249">
        <v>0.0</v>
      </c>
      <c r="AG822" s="249" t="s">
        <v>354</v>
      </c>
      <c r="AH822" s="249"/>
      <c r="AI822" s="249" t="s">
        <v>354</v>
      </c>
      <c r="AJ822" s="249"/>
      <c r="AK822" s="249"/>
      <c r="AL822" s="249" t="s">
        <v>356</v>
      </c>
      <c r="AM822" s="249" t="s">
        <v>356</v>
      </c>
      <c r="AN822" s="249" t="s">
        <v>356</v>
      </c>
    </row>
    <row r="823">
      <c r="A823" s="246" t="s">
        <v>959</v>
      </c>
      <c r="B823" s="18" t="s">
        <v>960</v>
      </c>
      <c r="C823" s="19"/>
      <c r="D823" s="247" t="s">
        <v>736</v>
      </c>
      <c r="E823" s="248" t="s">
        <v>37</v>
      </c>
      <c r="F823" s="246" t="s">
        <v>67</v>
      </c>
      <c r="G823" s="250" t="s">
        <v>354</v>
      </c>
      <c r="H823" s="250" t="s">
        <v>354</v>
      </c>
      <c r="I823" s="250" t="s">
        <v>354</v>
      </c>
      <c r="J823" s="249"/>
      <c r="K823" s="246">
        <v>0.0</v>
      </c>
      <c r="L823" s="78">
        <v>1.0</v>
      </c>
      <c r="M823" s="78" t="s">
        <v>354</v>
      </c>
      <c r="N823" s="101" t="s">
        <v>17</v>
      </c>
      <c r="O823" s="101" t="s">
        <v>17</v>
      </c>
      <c r="P823" s="101" t="s">
        <v>17</v>
      </c>
      <c r="Q823" s="101" t="s">
        <v>17</v>
      </c>
      <c r="R823" s="101" t="s">
        <v>17</v>
      </c>
      <c r="S823" s="101" t="s">
        <v>17</v>
      </c>
      <c r="T823" s="101" t="s">
        <v>17</v>
      </c>
      <c r="U823" s="101" t="s">
        <v>17</v>
      </c>
      <c r="V823" s="101" t="s">
        <v>17</v>
      </c>
      <c r="W823" s="18">
        <v>890.0</v>
      </c>
      <c r="X823" s="18">
        <v>890.0</v>
      </c>
      <c r="Y823" s="18" t="s">
        <v>961</v>
      </c>
      <c r="Z823" s="18" t="s">
        <v>962</v>
      </c>
      <c r="AA823" s="249"/>
      <c r="AB823" s="184" t="s">
        <v>963</v>
      </c>
      <c r="AC823" s="19"/>
      <c r="AD823" s="19"/>
      <c r="AE823" s="19"/>
      <c r="AF823" s="246">
        <v>0.0</v>
      </c>
      <c r="AG823" s="246" t="s">
        <v>356</v>
      </c>
      <c r="AH823" s="249"/>
      <c r="AI823" s="246" t="s">
        <v>356</v>
      </c>
      <c r="AJ823" s="251" t="s">
        <v>361</v>
      </c>
      <c r="AK823" s="246" t="s">
        <v>356</v>
      </c>
      <c r="AL823" s="251" t="s">
        <v>361</v>
      </c>
      <c r="AM823" s="249" t="s">
        <v>356</v>
      </c>
      <c r="AN823" s="252" t="s">
        <v>356</v>
      </c>
    </row>
    <row r="824">
      <c r="A824" s="246" t="s">
        <v>959</v>
      </c>
      <c r="B824" s="18" t="s">
        <v>960</v>
      </c>
      <c r="C824" s="19"/>
      <c r="D824" s="247" t="s">
        <v>736</v>
      </c>
      <c r="E824" s="248" t="s">
        <v>37</v>
      </c>
      <c r="F824" s="246" t="s">
        <v>67</v>
      </c>
      <c r="G824" s="250" t="s">
        <v>354</v>
      </c>
      <c r="H824" s="250" t="s">
        <v>354</v>
      </c>
      <c r="I824" s="250" t="s">
        <v>354</v>
      </c>
      <c r="J824" s="249"/>
      <c r="K824" s="246">
        <v>0.0</v>
      </c>
      <c r="L824" s="41">
        <v>0.0</v>
      </c>
      <c r="M824" s="41" t="s">
        <v>354</v>
      </c>
      <c r="N824" s="101" t="s">
        <v>17</v>
      </c>
      <c r="O824" s="101" t="s">
        <v>17</v>
      </c>
      <c r="P824" s="101" t="s">
        <v>17</v>
      </c>
      <c r="Q824" s="101" t="s">
        <v>17</v>
      </c>
      <c r="R824" s="101" t="s">
        <v>17</v>
      </c>
      <c r="S824" s="101" t="s">
        <v>17</v>
      </c>
      <c r="T824" s="101" t="s">
        <v>17</v>
      </c>
      <c r="U824" s="101" t="s">
        <v>17</v>
      </c>
      <c r="V824" s="101" t="s">
        <v>17</v>
      </c>
      <c r="W824" s="18">
        <v>890.0</v>
      </c>
      <c r="X824" s="18">
        <v>890.0</v>
      </c>
      <c r="Y824" s="18" t="s">
        <v>961</v>
      </c>
      <c r="Z824" s="18" t="s">
        <v>962</v>
      </c>
      <c r="AA824" s="18" t="s">
        <v>961</v>
      </c>
      <c r="AB824" s="184" t="s">
        <v>371</v>
      </c>
      <c r="AC824" s="19"/>
      <c r="AD824" s="19"/>
      <c r="AE824" s="19"/>
      <c r="AF824" s="253">
        <v>31.3805180334373</v>
      </c>
      <c r="AG824" s="249" t="s">
        <v>354</v>
      </c>
      <c r="AH824" s="249"/>
      <c r="AI824" s="249" t="s">
        <v>354</v>
      </c>
      <c r="AJ824" s="251"/>
      <c r="AK824" s="246"/>
      <c r="AL824" s="132" t="s">
        <v>420</v>
      </c>
      <c r="AM824" s="103" t="s">
        <v>389</v>
      </c>
      <c r="AN824" s="115" t="s">
        <v>358</v>
      </c>
    </row>
    <row r="825">
      <c r="A825" s="240" t="s">
        <v>964</v>
      </c>
      <c r="B825" s="18" t="s">
        <v>965</v>
      </c>
      <c r="C825" s="136"/>
      <c r="D825" s="238" t="s">
        <v>736</v>
      </c>
      <c r="E825" s="239" t="s">
        <v>62</v>
      </c>
      <c r="F825" s="240" t="s">
        <v>67</v>
      </c>
      <c r="G825" s="240" t="s">
        <v>354</v>
      </c>
      <c r="H825" s="240" t="s">
        <v>354</v>
      </c>
      <c r="I825" s="240" t="s">
        <v>354</v>
      </c>
      <c r="J825" s="183"/>
      <c r="K825" s="240">
        <v>0.0</v>
      </c>
      <c r="L825" s="240">
        <v>0.0</v>
      </c>
      <c r="M825" s="240" t="s">
        <v>354</v>
      </c>
      <c r="N825" s="174" t="s">
        <v>17</v>
      </c>
      <c r="O825" s="174" t="s">
        <v>17</v>
      </c>
      <c r="P825" s="174" t="s">
        <v>17</v>
      </c>
      <c r="Q825" s="174" t="s">
        <v>17</v>
      </c>
      <c r="R825" s="174" t="s">
        <v>17</v>
      </c>
      <c r="S825" s="174" t="s">
        <v>17</v>
      </c>
      <c r="T825" s="174" t="s">
        <v>17</v>
      </c>
      <c r="U825" s="174" t="s">
        <v>17</v>
      </c>
      <c r="V825" s="174" t="s">
        <v>17</v>
      </c>
      <c r="W825" s="18" t="s">
        <v>255</v>
      </c>
      <c r="X825" s="240"/>
      <c r="Y825" s="240"/>
      <c r="Z825" s="240"/>
      <c r="AA825" s="240"/>
      <c r="AB825" s="240" t="s">
        <v>966</v>
      </c>
      <c r="AC825" s="183"/>
      <c r="AD825" s="183"/>
      <c r="AE825" s="183"/>
      <c r="AF825" s="242">
        <v>0.0</v>
      </c>
      <c r="AG825" s="242" t="s">
        <v>354</v>
      </c>
      <c r="AH825" s="243"/>
      <c r="AI825" s="242" t="s">
        <v>354</v>
      </c>
      <c r="AJ825" s="245"/>
      <c r="AK825" s="240"/>
      <c r="AL825" s="254" t="s">
        <v>356</v>
      </c>
      <c r="AM825" s="254" t="s">
        <v>356</v>
      </c>
      <c r="AN825" s="254" t="s">
        <v>356</v>
      </c>
    </row>
    <row r="826">
      <c r="A826" s="240" t="s">
        <v>964</v>
      </c>
      <c r="B826" s="18" t="s">
        <v>965</v>
      </c>
      <c r="C826" s="46"/>
      <c r="D826" s="238" t="s">
        <v>736</v>
      </c>
      <c r="E826" s="240" t="s">
        <v>37</v>
      </c>
      <c r="F826" s="240" t="s">
        <v>67</v>
      </c>
      <c r="G826" s="255" t="s">
        <v>354</v>
      </c>
      <c r="H826" s="255" t="s">
        <v>354</v>
      </c>
      <c r="I826" s="255" t="s">
        <v>354</v>
      </c>
      <c r="J826" s="183"/>
      <c r="K826" s="240">
        <v>0.0</v>
      </c>
      <c r="L826" s="78">
        <v>1.0</v>
      </c>
      <c r="M826" s="78" t="s">
        <v>967</v>
      </c>
      <c r="N826" s="101" t="s">
        <v>17</v>
      </c>
      <c r="O826" s="101" t="s">
        <v>17</v>
      </c>
      <c r="P826" s="101" t="s">
        <v>17</v>
      </c>
      <c r="Q826" s="101" t="s">
        <v>17</v>
      </c>
      <c r="R826" s="101" t="s">
        <v>17</v>
      </c>
      <c r="S826" s="101" t="s">
        <v>17</v>
      </c>
      <c r="T826" s="101" t="s">
        <v>17</v>
      </c>
      <c r="U826" s="101" t="s">
        <v>17</v>
      </c>
      <c r="V826" s="101" t="s">
        <v>17</v>
      </c>
      <c r="W826" s="18" t="s">
        <v>255</v>
      </c>
      <c r="X826" s="18" t="s">
        <v>968</v>
      </c>
      <c r="Y826" s="240"/>
      <c r="Z826" s="240"/>
      <c r="AA826" s="183"/>
      <c r="AB826" s="158" t="s">
        <v>455</v>
      </c>
      <c r="AC826" s="46"/>
      <c r="AD826" s="46"/>
      <c r="AE826" s="46"/>
      <c r="AF826" s="242">
        <v>0.0</v>
      </c>
      <c r="AG826" s="242" t="s">
        <v>354</v>
      </c>
      <c r="AH826" s="243"/>
      <c r="AI826" s="242" t="s">
        <v>354</v>
      </c>
      <c r="AJ826" s="245"/>
      <c r="AK826" s="240"/>
      <c r="AL826" s="256" t="s">
        <v>361</v>
      </c>
      <c r="AM826" s="254" t="s">
        <v>356</v>
      </c>
      <c r="AN826" s="257" t="s">
        <v>356</v>
      </c>
    </row>
    <row r="827">
      <c r="A827" s="240" t="s">
        <v>964</v>
      </c>
      <c r="B827" s="18" t="s">
        <v>965</v>
      </c>
      <c r="C827" s="46"/>
      <c r="D827" s="238" t="s">
        <v>736</v>
      </c>
      <c r="E827" s="240" t="s">
        <v>37</v>
      </c>
      <c r="F827" s="240" t="s">
        <v>67</v>
      </c>
      <c r="G827" s="255" t="s">
        <v>354</v>
      </c>
      <c r="H827" s="255" t="s">
        <v>354</v>
      </c>
      <c r="I827" s="255" t="s">
        <v>354</v>
      </c>
      <c r="J827" s="183"/>
      <c r="K827" s="240">
        <v>0.0</v>
      </c>
      <c r="L827" s="78">
        <v>1.0</v>
      </c>
      <c r="M827" s="78" t="s">
        <v>967</v>
      </c>
      <c r="N827" s="101" t="s">
        <v>17</v>
      </c>
      <c r="O827" s="101" t="s">
        <v>17</v>
      </c>
      <c r="P827" s="101" t="s">
        <v>17</v>
      </c>
      <c r="Q827" s="101" t="s">
        <v>17</v>
      </c>
      <c r="R827" s="101" t="s">
        <v>17</v>
      </c>
      <c r="S827" s="101" t="s">
        <v>17</v>
      </c>
      <c r="T827" s="101" t="s">
        <v>17</v>
      </c>
      <c r="U827" s="101" t="s">
        <v>17</v>
      </c>
      <c r="V827" s="101" t="s">
        <v>17</v>
      </c>
      <c r="W827" s="18" t="s">
        <v>255</v>
      </c>
      <c r="X827" s="18" t="s">
        <v>968</v>
      </c>
      <c r="Y827" s="18" t="s">
        <v>968</v>
      </c>
      <c r="Z827" s="240"/>
      <c r="AA827" s="183"/>
      <c r="AB827" s="158" t="s">
        <v>455</v>
      </c>
      <c r="AC827" s="46"/>
      <c r="AD827" s="46"/>
      <c r="AE827" s="46"/>
      <c r="AF827" s="242">
        <v>0.0</v>
      </c>
      <c r="AG827" s="242" t="s">
        <v>354</v>
      </c>
      <c r="AH827" s="243"/>
      <c r="AI827" s="242" t="s">
        <v>354</v>
      </c>
      <c r="AJ827" s="245"/>
      <c r="AK827" s="240"/>
      <c r="AL827" s="254" t="s">
        <v>356</v>
      </c>
      <c r="AM827" s="254" t="s">
        <v>356</v>
      </c>
      <c r="AN827" s="257" t="s">
        <v>356</v>
      </c>
    </row>
    <row r="828">
      <c r="A828" s="240" t="s">
        <v>964</v>
      </c>
      <c r="B828" s="18" t="s">
        <v>965</v>
      </c>
      <c r="C828" s="46"/>
      <c r="D828" s="238" t="s">
        <v>736</v>
      </c>
      <c r="E828" s="240" t="s">
        <v>37</v>
      </c>
      <c r="F828" s="240" t="s">
        <v>67</v>
      </c>
      <c r="G828" s="255" t="s">
        <v>354</v>
      </c>
      <c r="H828" s="255" t="s">
        <v>354</v>
      </c>
      <c r="I828" s="255" t="s">
        <v>354</v>
      </c>
      <c r="J828" s="183"/>
      <c r="K828" s="240">
        <v>0.0</v>
      </c>
      <c r="L828" s="78">
        <v>1.0</v>
      </c>
      <c r="M828" s="78" t="s">
        <v>967</v>
      </c>
      <c r="N828" s="101" t="s">
        <v>17</v>
      </c>
      <c r="O828" s="101" t="s">
        <v>17</v>
      </c>
      <c r="P828" s="101" t="s">
        <v>17</v>
      </c>
      <c r="Q828" s="101" t="s">
        <v>17</v>
      </c>
      <c r="R828" s="101" t="s">
        <v>17</v>
      </c>
      <c r="S828" s="101" t="s">
        <v>17</v>
      </c>
      <c r="T828" s="101" t="s">
        <v>17</v>
      </c>
      <c r="U828" s="101" t="s">
        <v>17</v>
      </c>
      <c r="V828" s="101" t="s">
        <v>17</v>
      </c>
      <c r="W828" s="18" t="s">
        <v>255</v>
      </c>
      <c r="X828" s="18" t="s">
        <v>968</v>
      </c>
      <c r="Y828" s="18" t="s">
        <v>968</v>
      </c>
      <c r="Z828" s="18" t="s">
        <v>968</v>
      </c>
      <c r="AA828" s="183"/>
      <c r="AB828" s="158" t="s">
        <v>969</v>
      </c>
      <c r="AC828" s="46"/>
      <c r="AD828" s="46"/>
      <c r="AE828" s="46"/>
      <c r="AF828" s="242">
        <v>0.0</v>
      </c>
      <c r="AG828" s="240" t="s">
        <v>356</v>
      </c>
      <c r="AH828" s="183"/>
      <c r="AI828" s="240" t="s">
        <v>356</v>
      </c>
      <c r="AJ828" s="245" t="s">
        <v>361</v>
      </c>
      <c r="AK828" s="240" t="s">
        <v>356</v>
      </c>
      <c r="AL828" s="258" t="s">
        <v>356</v>
      </c>
      <c r="AM828" s="259" t="s">
        <v>361</v>
      </c>
      <c r="AN828" s="91" t="s">
        <v>413</v>
      </c>
    </row>
    <row r="829">
      <c r="A829" s="240" t="s">
        <v>964</v>
      </c>
      <c r="B829" s="18" t="s">
        <v>965</v>
      </c>
      <c r="C829" s="46"/>
      <c r="D829" s="238" t="s">
        <v>736</v>
      </c>
      <c r="E829" s="240" t="s">
        <v>37</v>
      </c>
      <c r="F829" s="240" t="s">
        <v>67</v>
      </c>
      <c r="G829" s="255" t="s">
        <v>354</v>
      </c>
      <c r="H829" s="255" t="s">
        <v>354</v>
      </c>
      <c r="I829" s="255" t="s">
        <v>354</v>
      </c>
      <c r="J829" s="183"/>
      <c r="K829" s="240">
        <v>0.0</v>
      </c>
      <c r="L829" s="78">
        <v>1.0</v>
      </c>
      <c r="M829" s="78" t="s">
        <v>967</v>
      </c>
      <c r="N829" s="101" t="s">
        <v>17</v>
      </c>
      <c r="O829" s="101" t="s">
        <v>17</v>
      </c>
      <c r="P829" s="101" t="s">
        <v>17</v>
      </c>
      <c r="Q829" s="101" t="s">
        <v>17</v>
      </c>
      <c r="R829" s="101" t="s">
        <v>17</v>
      </c>
      <c r="S829" s="101" t="s">
        <v>17</v>
      </c>
      <c r="T829" s="101" t="s">
        <v>17</v>
      </c>
      <c r="U829" s="101" t="s">
        <v>17</v>
      </c>
      <c r="V829" s="101" t="s">
        <v>17</v>
      </c>
      <c r="W829" s="18" t="s">
        <v>255</v>
      </c>
      <c r="X829" s="18" t="s">
        <v>968</v>
      </c>
      <c r="Y829" s="18" t="s">
        <v>968</v>
      </c>
      <c r="Z829" s="18" t="s">
        <v>968</v>
      </c>
      <c r="AA829" s="18" t="s">
        <v>968</v>
      </c>
      <c r="AB829" s="158" t="s">
        <v>455</v>
      </c>
      <c r="AC829" s="46"/>
      <c r="AD829" s="46"/>
      <c r="AE829" s="46"/>
      <c r="AF829" s="244">
        <v>30.8354050987718</v>
      </c>
      <c r="AG829" s="242" t="s">
        <v>354</v>
      </c>
      <c r="AH829" s="243"/>
      <c r="AI829" s="242" t="s">
        <v>354</v>
      </c>
      <c r="AJ829" s="245"/>
      <c r="AK829" s="240"/>
      <c r="AL829" s="91" t="s">
        <v>413</v>
      </c>
      <c r="AM829" s="119" t="s">
        <v>413</v>
      </c>
      <c r="AN829" s="91" t="s">
        <v>413</v>
      </c>
    </row>
    <row r="830">
      <c r="A830" s="246" t="s">
        <v>970</v>
      </c>
      <c r="B830" s="18" t="s">
        <v>971</v>
      </c>
      <c r="C830" s="46"/>
      <c r="D830" s="247" t="s">
        <v>736</v>
      </c>
      <c r="E830" s="248" t="s">
        <v>62</v>
      </c>
      <c r="F830" s="246" t="s">
        <v>67</v>
      </c>
      <c r="G830" s="250" t="s">
        <v>354</v>
      </c>
      <c r="H830" s="250" t="s">
        <v>354</v>
      </c>
      <c r="I830" s="250" t="s">
        <v>354</v>
      </c>
      <c r="J830" s="249"/>
      <c r="K830" s="250">
        <v>0.0</v>
      </c>
      <c r="L830" s="250">
        <v>0.0</v>
      </c>
      <c r="M830" s="250" t="s">
        <v>354</v>
      </c>
      <c r="N830" s="101" t="s">
        <v>17</v>
      </c>
      <c r="O830" s="101" t="s">
        <v>17</v>
      </c>
      <c r="P830" s="101" t="s">
        <v>17</v>
      </c>
      <c r="Q830" s="101" t="s">
        <v>17</v>
      </c>
      <c r="R830" s="101" t="s">
        <v>17</v>
      </c>
      <c r="S830" s="101" t="s">
        <v>17</v>
      </c>
      <c r="T830" s="101" t="s">
        <v>17</v>
      </c>
      <c r="U830" s="101" t="s">
        <v>17</v>
      </c>
      <c r="V830" s="101" t="s">
        <v>17</v>
      </c>
      <c r="W830" s="18" t="s">
        <v>972</v>
      </c>
      <c r="X830" s="246"/>
      <c r="Y830" s="246"/>
      <c r="Z830" s="246"/>
      <c r="AA830" s="249"/>
      <c r="AB830" s="246" t="s">
        <v>973</v>
      </c>
      <c r="AC830" s="19"/>
      <c r="AD830" s="19"/>
      <c r="AE830" s="19"/>
      <c r="AF830" s="260">
        <v>0.0</v>
      </c>
      <c r="AG830" s="260" t="s">
        <v>354</v>
      </c>
      <c r="AH830" s="261"/>
      <c r="AI830" s="260" t="s">
        <v>354</v>
      </c>
      <c r="AJ830" s="262"/>
      <c r="AK830" s="246"/>
      <c r="AL830" s="263" t="s">
        <v>356</v>
      </c>
      <c r="AM830" s="263" t="s">
        <v>356</v>
      </c>
      <c r="AN830" s="263" t="s">
        <v>356</v>
      </c>
    </row>
    <row r="831">
      <c r="A831" s="246" t="s">
        <v>970</v>
      </c>
      <c r="B831" s="18" t="s">
        <v>971</v>
      </c>
      <c r="C831" s="136"/>
      <c r="D831" s="247" t="s">
        <v>736</v>
      </c>
      <c r="E831" s="248" t="s">
        <v>37</v>
      </c>
      <c r="F831" s="246" t="s">
        <v>67</v>
      </c>
      <c r="G831" s="250" t="s">
        <v>354</v>
      </c>
      <c r="H831" s="250" t="s">
        <v>354</v>
      </c>
      <c r="I831" s="250" t="s">
        <v>354</v>
      </c>
      <c r="J831" s="249"/>
      <c r="K831" s="250">
        <v>0.0</v>
      </c>
      <c r="L831" s="41">
        <v>0.0</v>
      </c>
      <c r="M831" s="41" t="s">
        <v>354</v>
      </c>
      <c r="N831" s="174" t="s">
        <v>17</v>
      </c>
      <c r="O831" s="174" t="s">
        <v>17</v>
      </c>
      <c r="P831" s="174" t="s">
        <v>17</v>
      </c>
      <c r="Q831" s="174" t="s">
        <v>17</v>
      </c>
      <c r="R831" s="174" t="s">
        <v>17</v>
      </c>
      <c r="S831" s="174" t="s">
        <v>17</v>
      </c>
      <c r="T831" s="174" t="s">
        <v>17</v>
      </c>
      <c r="U831" s="174" t="s">
        <v>17</v>
      </c>
      <c r="V831" s="174" t="s">
        <v>17</v>
      </c>
      <c r="W831" s="18" t="s">
        <v>972</v>
      </c>
      <c r="X831" s="18" t="s">
        <v>974</v>
      </c>
      <c r="Y831" s="246"/>
      <c r="Z831" s="246"/>
      <c r="AA831" s="246"/>
      <c r="AB831" s="184" t="s">
        <v>371</v>
      </c>
      <c r="AC831" s="183"/>
      <c r="AD831" s="183"/>
      <c r="AE831" s="183"/>
      <c r="AF831" s="260">
        <v>0.0</v>
      </c>
      <c r="AG831" s="260" t="s">
        <v>354</v>
      </c>
      <c r="AH831" s="261"/>
      <c r="AI831" s="260" t="s">
        <v>354</v>
      </c>
      <c r="AJ831" s="262"/>
      <c r="AK831" s="246"/>
      <c r="AL831" s="263" t="s">
        <v>356</v>
      </c>
      <c r="AM831" s="263" t="s">
        <v>356</v>
      </c>
      <c r="AN831" s="263" t="s">
        <v>356</v>
      </c>
    </row>
    <row r="832">
      <c r="A832" s="246" t="s">
        <v>970</v>
      </c>
      <c r="B832" s="18" t="s">
        <v>971</v>
      </c>
      <c r="C832" s="46"/>
      <c r="D832" s="247" t="s">
        <v>736</v>
      </c>
      <c r="E832" s="248" t="s">
        <v>37</v>
      </c>
      <c r="F832" s="246" t="s">
        <v>67</v>
      </c>
      <c r="G832" s="250" t="s">
        <v>354</v>
      </c>
      <c r="H832" s="250" t="s">
        <v>354</v>
      </c>
      <c r="I832" s="250" t="s">
        <v>354</v>
      </c>
      <c r="J832" s="249"/>
      <c r="K832" s="250">
        <v>0.0</v>
      </c>
      <c r="L832" s="41">
        <v>0.0</v>
      </c>
      <c r="M832" s="41" t="s">
        <v>354</v>
      </c>
      <c r="N832" s="101" t="s">
        <v>17</v>
      </c>
      <c r="O832" s="101" t="s">
        <v>17</v>
      </c>
      <c r="P832" s="101" t="s">
        <v>17</v>
      </c>
      <c r="Q832" s="101" t="s">
        <v>17</v>
      </c>
      <c r="R832" s="101" t="s">
        <v>17</v>
      </c>
      <c r="S832" s="101" t="s">
        <v>17</v>
      </c>
      <c r="T832" s="101" t="s">
        <v>17</v>
      </c>
      <c r="U832" s="101" t="s">
        <v>17</v>
      </c>
      <c r="V832" s="101" t="s">
        <v>17</v>
      </c>
      <c r="W832" s="18" t="s">
        <v>972</v>
      </c>
      <c r="X832" s="18" t="s">
        <v>974</v>
      </c>
      <c r="Y832" s="18" t="s">
        <v>975</v>
      </c>
      <c r="Z832" s="246"/>
      <c r="AA832" s="249"/>
      <c r="AB832" s="184" t="s">
        <v>371</v>
      </c>
      <c r="AC832" s="19"/>
      <c r="AD832" s="19"/>
      <c r="AE832" s="19"/>
      <c r="AF832" s="253">
        <v>27.5023922410173</v>
      </c>
      <c r="AG832" s="264" t="s">
        <v>354</v>
      </c>
      <c r="AH832" s="265"/>
      <c r="AI832" s="260" t="s">
        <v>354</v>
      </c>
      <c r="AJ832" s="246"/>
      <c r="AK832" s="246"/>
      <c r="AL832" s="104" t="s">
        <v>389</v>
      </c>
      <c r="AM832" s="119" t="s">
        <v>413</v>
      </c>
      <c r="AN832" s="91" t="s">
        <v>413</v>
      </c>
    </row>
    <row r="833">
      <c r="A833" s="246" t="s">
        <v>970</v>
      </c>
      <c r="B833" s="18" t="s">
        <v>971</v>
      </c>
      <c r="C833" s="46"/>
      <c r="D833" s="247" t="s">
        <v>736</v>
      </c>
      <c r="E833" s="248" t="s">
        <v>37</v>
      </c>
      <c r="F833" s="246" t="s">
        <v>67</v>
      </c>
      <c r="G833" s="250" t="s">
        <v>354</v>
      </c>
      <c r="H833" s="250" t="s">
        <v>354</v>
      </c>
      <c r="I833" s="250" t="s">
        <v>354</v>
      </c>
      <c r="J833" s="249"/>
      <c r="K833" s="250">
        <v>0.0</v>
      </c>
      <c r="L833" s="41">
        <v>0.0</v>
      </c>
      <c r="M833" s="41" t="s">
        <v>354</v>
      </c>
      <c r="N833" s="101" t="s">
        <v>17</v>
      </c>
      <c r="O833" s="101" t="s">
        <v>17</v>
      </c>
      <c r="P833" s="101" t="s">
        <v>17</v>
      </c>
      <c r="Q833" s="101" t="s">
        <v>17</v>
      </c>
      <c r="R833" s="101" t="s">
        <v>17</v>
      </c>
      <c r="S833" s="101" t="s">
        <v>17</v>
      </c>
      <c r="T833" s="101" t="s">
        <v>17</v>
      </c>
      <c r="U833" s="101" t="s">
        <v>17</v>
      </c>
      <c r="V833" s="101" t="s">
        <v>17</v>
      </c>
      <c r="W833" s="18" t="s">
        <v>972</v>
      </c>
      <c r="X833" s="18" t="s">
        <v>974</v>
      </c>
      <c r="Y833" s="18" t="s">
        <v>975</v>
      </c>
      <c r="Z833" s="18" t="s">
        <v>976</v>
      </c>
      <c r="AA833" s="44" t="s">
        <v>373</v>
      </c>
      <c r="AB833" s="184" t="s">
        <v>371</v>
      </c>
      <c r="AC833" s="19"/>
      <c r="AD833" s="19"/>
      <c r="AE833" s="19"/>
      <c r="AF833" s="266">
        <v>35.8893409680081</v>
      </c>
      <c r="AG833" s="56" t="s">
        <v>365</v>
      </c>
      <c r="AH833" s="46"/>
      <c r="AI833" s="62" t="s">
        <v>389</v>
      </c>
      <c r="AJ833" s="164" t="s">
        <v>413</v>
      </c>
      <c r="AK833" s="246" t="s">
        <v>356</v>
      </c>
      <c r="AL833" s="104" t="s">
        <v>389</v>
      </c>
      <c r="AM833" s="103" t="s">
        <v>389</v>
      </c>
      <c r="AN833" s="91" t="s">
        <v>413</v>
      </c>
    </row>
    <row r="834">
      <c r="A834" s="240" t="s">
        <v>259</v>
      </c>
      <c r="B834" s="18" t="s">
        <v>977</v>
      </c>
      <c r="C834" s="19"/>
      <c r="D834" s="238" t="s">
        <v>736</v>
      </c>
      <c r="E834" s="239" t="s">
        <v>62</v>
      </c>
      <c r="F834" s="240" t="s">
        <v>67</v>
      </c>
      <c r="G834" s="240">
        <v>108.0</v>
      </c>
      <c r="H834" s="240">
        <v>130.0</v>
      </c>
      <c r="I834" s="240" t="s">
        <v>354</v>
      </c>
      <c r="J834" s="183"/>
      <c r="K834" s="240">
        <v>0.0</v>
      </c>
      <c r="L834" s="240">
        <v>0.0</v>
      </c>
      <c r="M834" s="240" t="s">
        <v>354</v>
      </c>
      <c r="N834" s="174" t="s">
        <v>17</v>
      </c>
      <c r="O834" s="174" t="s">
        <v>17</v>
      </c>
      <c r="P834" s="174" t="s">
        <v>17</v>
      </c>
      <c r="Q834" s="174" t="s">
        <v>17</v>
      </c>
      <c r="R834" s="174" t="s">
        <v>17</v>
      </c>
      <c r="S834" s="174" t="s">
        <v>17</v>
      </c>
      <c r="T834" s="174" t="s">
        <v>17</v>
      </c>
      <c r="U834" s="174" t="s">
        <v>17</v>
      </c>
      <c r="V834" s="174" t="s">
        <v>17</v>
      </c>
      <c r="W834" s="18" t="s">
        <v>978</v>
      </c>
      <c r="X834" s="240"/>
      <c r="Y834" s="240"/>
      <c r="Z834" s="240"/>
      <c r="AA834" s="183"/>
      <c r="AB834" s="184" t="s">
        <v>371</v>
      </c>
      <c r="AC834" s="19"/>
      <c r="AD834" s="19"/>
      <c r="AE834" s="19"/>
      <c r="AF834" s="242">
        <v>0.0</v>
      </c>
      <c r="AG834" s="242" t="s">
        <v>354</v>
      </c>
      <c r="AH834" s="243"/>
      <c r="AI834" s="242" t="s">
        <v>354</v>
      </c>
      <c r="AJ834" s="243"/>
      <c r="AK834" s="243"/>
      <c r="AL834" s="243" t="s">
        <v>356</v>
      </c>
      <c r="AM834" s="243" t="s">
        <v>356</v>
      </c>
      <c r="AN834" s="243" t="s">
        <v>356</v>
      </c>
    </row>
    <row r="835">
      <c r="A835" s="240" t="s">
        <v>259</v>
      </c>
      <c r="B835" s="18" t="s">
        <v>977</v>
      </c>
      <c r="C835" s="19"/>
      <c r="D835" s="238" t="s">
        <v>736</v>
      </c>
      <c r="E835" s="239" t="s">
        <v>37</v>
      </c>
      <c r="F835" s="240" t="s">
        <v>67</v>
      </c>
      <c r="G835" s="240" t="s">
        <v>354</v>
      </c>
      <c r="H835" s="255" t="s">
        <v>354</v>
      </c>
      <c r="I835" s="255" t="s">
        <v>354</v>
      </c>
      <c r="J835" s="255" t="s">
        <v>354</v>
      </c>
      <c r="K835" s="255">
        <v>0.0</v>
      </c>
      <c r="L835" s="41">
        <v>0.0</v>
      </c>
      <c r="M835" s="41" t="s">
        <v>354</v>
      </c>
      <c r="N835" s="174" t="s">
        <v>17</v>
      </c>
      <c r="O835" s="174" t="s">
        <v>17</v>
      </c>
      <c r="P835" s="174" t="s">
        <v>17</v>
      </c>
      <c r="Q835" s="174" t="s">
        <v>17</v>
      </c>
      <c r="R835" s="174" t="s">
        <v>17</v>
      </c>
      <c r="S835" s="174" t="s">
        <v>17</v>
      </c>
      <c r="T835" s="174" t="s">
        <v>17</v>
      </c>
      <c r="U835" s="174" t="s">
        <v>17</v>
      </c>
      <c r="V835" s="174" t="s">
        <v>17</v>
      </c>
      <c r="W835" s="18" t="s">
        <v>978</v>
      </c>
      <c r="X835" s="18" t="s">
        <v>259</v>
      </c>
      <c r="Y835" s="240"/>
      <c r="Z835" s="240"/>
      <c r="AA835" s="183"/>
      <c r="AB835" s="184" t="s">
        <v>371</v>
      </c>
      <c r="AC835" s="19"/>
      <c r="AD835" s="19"/>
      <c r="AE835" s="19"/>
      <c r="AF835" s="242">
        <v>0.0</v>
      </c>
      <c r="AG835" s="242" t="s">
        <v>354</v>
      </c>
      <c r="AH835" s="243"/>
      <c r="AI835" s="242" t="s">
        <v>354</v>
      </c>
      <c r="AJ835" s="183"/>
      <c r="AK835" s="183"/>
      <c r="AL835" s="257" t="s">
        <v>356</v>
      </c>
      <c r="AM835" s="254" t="s">
        <v>356</v>
      </c>
      <c r="AN835" s="256" t="s">
        <v>361</v>
      </c>
    </row>
    <row r="836">
      <c r="A836" s="240" t="s">
        <v>259</v>
      </c>
      <c r="B836" s="18" t="s">
        <v>977</v>
      </c>
      <c r="C836" s="19"/>
      <c r="D836" s="238" t="s">
        <v>736</v>
      </c>
      <c r="E836" s="239" t="s">
        <v>37</v>
      </c>
      <c r="F836" s="240" t="s">
        <v>67</v>
      </c>
      <c r="G836" s="255" t="s">
        <v>354</v>
      </c>
      <c r="H836" s="255" t="s">
        <v>354</v>
      </c>
      <c r="I836" s="255" t="s">
        <v>354</v>
      </c>
      <c r="J836" s="255" t="s">
        <v>354</v>
      </c>
      <c r="K836" s="255">
        <v>0.0</v>
      </c>
      <c r="L836" s="41">
        <v>0.0</v>
      </c>
      <c r="M836" s="41" t="s">
        <v>354</v>
      </c>
      <c r="N836" s="174" t="s">
        <v>17</v>
      </c>
      <c r="O836" s="174" t="s">
        <v>17</v>
      </c>
      <c r="P836" s="174" t="s">
        <v>17</v>
      </c>
      <c r="Q836" s="174" t="s">
        <v>17</v>
      </c>
      <c r="R836" s="174" t="s">
        <v>17</v>
      </c>
      <c r="S836" s="174" t="s">
        <v>17</v>
      </c>
      <c r="T836" s="174" t="s">
        <v>17</v>
      </c>
      <c r="U836" s="174" t="s">
        <v>17</v>
      </c>
      <c r="V836" s="174" t="s">
        <v>17</v>
      </c>
      <c r="W836" s="18" t="s">
        <v>978</v>
      </c>
      <c r="X836" s="18" t="s">
        <v>259</v>
      </c>
      <c r="Y836" s="18" t="s">
        <v>259</v>
      </c>
      <c r="Z836" s="240"/>
      <c r="AA836" s="183"/>
      <c r="AB836" s="184" t="s">
        <v>371</v>
      </c>
      <c r="AC836" s="19"/>
      <c r="AD836" s="19"/>
      <c r="AE836" s="19"/>
      <c r="AF836" s="242">
        <v>0.0</v>
      </c>
      <c r="AG836" s="242" t="s">
        <v>354</v>
      </c>
      <c r="AH836" s="243"/>
      <c r="AI836" s="242" t="s">
        <v>354</v>
      </c>
      <c r="AJ836" s="243"/>
      <c r="AK836" s="243"/>
      <c r="AL836" s="243" t="s">
        <v>356</v>
      </c>
      <c r="AM836" s="243" t="s">
        <v>356</v>
      </c>
      <c r="AN836" s="243" t="s">
        <v>356</v>
      </c>
    </row>
    <row r="837">
      <c r="A837" s="240" t="s">
        <v>259</v>
      </c>
      <c r="B837" s="18" t="s">
        <v>977</v>
      </c>
      <c r="C837" s="19"/>
      <c r="D837" s="238" t="s">
        <v>736</v>
      </c>
      <c r="E837" s="239" t="s">
        <v>37</v>
      </c>
      <c r="F837" s="240" t="s">
        <v>67</v>
      </c>
      <c r="G837" s="255" t="s">
        <v>354</v>
      </c>
      <c r="H837" s="255" t="s">
        <v>354</v>
      </c>
      <c r="I837" s="255" t="s">
        <v>354</v>
      </c>
      <c r="J837" s="255" t="s">
        <v>354</v>
      </c>
      <c r="K837" s="255">
        <v>0.0</v>
      </c>
      <c r="L837" s="41">
        <v>0.0</v>
      </c>
      <c r="M837" s="41" t="s">
        <v>354</v>
      </c>
      <c r="N837" s="174" t="s">
        <v>17</v>
      </c>
      <c r="O837" s="174" t="s">
        <v>17</v>
      </c>
      <c r="P837" s="174" t="s">
        <v>17</v>
      </c>
      <c r="Q837" s="174" t="s">
        <v>17</v>
      </c>
      <c r="R837" s="174" t="s">
        <v>17</v>
      </c>
      <c r="S837" s="174" t="s">
        <v>17</v>
      </c>
      <c r="T837" s="174" t="s">
        <v>17</v>
      </c>
      <c r="U837" s="174" t="s">
        <v>17</v>
      </c>
      <c r="V837" s="174" t="s">
        <v>17</v>
      </c>
      <c r="W837" s="18" t="s">
        <v>978</v>
      </c>
      <c r="X837" s="18" t="s">
        <v>259</v>
      </c>
      <c r="Y837" s="18" t="s">
        <v>259</v>
      </c>
      <c r="Z837" s="18" t="s">
        <v>978</v>
      </c>
      <c r="AA837" s="183"/>
      <c r="AB837" s="184" t="s">
        <v>371</v>
      </c>
      <c r="AC837" s="19"/>
      <c r="AD837" s="19"/>
      <c r="AE837" s="19"/>
      <c r="AF837" s="242">
        <v>0.0</v>
      </c>
      <c r="AG837" s="240" t="s">
        <v>356</v>
      </c>
      <c r="AH837" s="243"/>
      <c r="AI837" s="240" t="s">
        <v>356</v>
      </c>
      <c r="AJ837" s="240" t="s">
        <v>356</v>
      </c>
      <c r="AK837" s="240" t="s">
        <v>356</v>
      </c>
      <c r="AL837" s="258" t="s">
        <v>356</v>
      </c>
      <c r="AM837" s="254" t="s">
        <v>356</v>
      </c>
      <c r="AN837" s="62" t="s">
        <v>389</v>
      </c>
    </row>
    <row r="838">
      <c r="A838" s="240" t="s">
        <v>259</v>
      </c>
      <c r="B838" s="18" t="s">
        <v>977</v>
      </c>
      <c r="C838" s="19"/>
      <c r="D838" s="238" t="s">
        <v>736</v>
      </c>
      <c r="E838" s="239" t="s">
        <v>37</v>
      </c>
      <c r="F838" s="240" t="s">
        <v>67</v>
      </c>
      <c r="G838" s="255" t="s">
        <v>354</v>
      </c>
      <c r="H838" s="255" t="s">
        <v>354</v>
      </c>
      <c r="I838" s="255" t="s">
        <v>354</v>
      </c>
      <c r="J838" s="255" t="s">
        <v>354</v>
      </c>
      <c r="K838" s="255">
        <v>0.0</v>
      </c>
      <c r="L838" s="41">
        <v>0.0</v>
      </c>
      <c r="M838" s="41" t="s">
        <v>354</v>
      </c>
      <c r="N838" s="174" t="s">
        <v>17</v>
      </c>
      <c r="O838" s="174" t="s">
        <v>17</v>
      </c>
      <c r="P838" s="174" t="s">
        <v>17</v>
      </c>
      <c r="Q838" s="174" t="s">
        <v>17</v>
      </c>
      <c r="R838" s="174" t="s">
        <v>17</v>
      </c>
      <c r="S838" s="174" t="s">
        <v>17</v>
      </c>
      <c r="T838" s="174" t="s">
        <v>17</v>
      </c>
      <c r="U838" s="174" t="s">
        <v>17</v>
      </c>
      <c r="V838" s="174" t="s">
        <v>17</v>
      </c>
      <c r="W838" s="18" t="s">
        <v>978</v>
      </c>
      <c r="X838" s="18" t="s">
        <v>259</v>
      </c>
      <c r="Y838" s="18" t="s">
        <v>259</v>
      </c>
      <c r="Z838" s="18" t="s">
        <v>978</v>
      </c>
      <c r="AA838" s="18" t="s">
        <v>259</v>
      </c>
      <c r="AB838" s="184" t="s">
        <v>371</v>
      </c>
      <c r="AC838" s="19"/>
      <c r="AD838" s="19"/>
      <c r="AE838" s="19"/>
      <c r="AF838" s="244">
        <v>31.5327813092929</v>
      </c>
      <c r="AG838" s="242" t="s">
        <v>354</v>
      </c>
      <c r="AH838" s="243"/>
      <c r="AI838" s="242" t="s">
        <v>354</v>
      </c>
      <c r="AJ838" s="243"/>
      <c r="AK838" s="243"/>
      <c r="AL838" s="91" t="s">
        <v>413</v>
      </c>
      <c r="AM838" s="119" t="s">
        <v>413</v>
      </c>
      <c r="AN838" s="115" t="s">
        <v>358</v>
      </c>
    </row>
    <row r="839">
      <c r="A839" s="246" t="s">
        <v>979</v>
      </c>
      <c r="B839" s="18" t="s">
        <v>980</v>
      </c>
      <c r="C839" s="136"/>
      <c r="D839" s="247" t="s">
        <v>736</v>
      </c>
      <c r="E839" s="248" t="s">
        <v>62</v>
      </c>
      <c r="F839" s="246" t="s">
        <v>8</v>
      </c>
      <c r="G839" s="250" t="s">
        <v>354</v>
      </c>
      <c r="H839" s="250" t="s">
        <v>354</v>
      </c>
      <c r="I839" s="250" t="s">
        <v>354</v>
      </c>
      <c r="J839" s="250" t="s">
        <v>354</v>
      </c>
      <c r="K839" s="250" t="s">
        <v>354</v>
      </c>
      <c r="L839" s="246">
        <v>0.0</v>
      </c>
      <c r="M839" s="246" t="s">
        <v>354</v>
      </c>
      <c r="N839" s="174" t="s">
        <v>17</v>
      </c>
      <c r="O839" s="174" t="s">
        <v>17</v>
      </c>
      <c r="P839" s="174" t="s">
        <v>17</v>
      </c>
      <c r="Q839" s="174" t="s">
        <v>17</v>
      </c>
      <c r="R839" s="174" t="s">
        <v>17</v>
      </c>
      <c r="S839" s="174" t="s">
        <v>17</v>
      </c>
      <c r="T839" s="174" t="s">
        <v>17</v>
      </c>
      <c r="U839" s="174" t="s">
        <v>17</v>
      </c>
      <c r="V839" s="174" t="s">
        <v>17</v>
      </c>
      <c r="W839" s="18" t="s">
        <v>981</v>
      </c>
      <c r="X839" s="44" t="s">
        <v>373</v>
      </c>
      <c r="Y839" s="249"/>
      <c r="Z839" s="249"/>
      <c r="AA839" s="249"/>
      <c r="AB839" s="246" t="s">
        <v>354</v>
      </c>
      <c r="AC839" s="249"/>
      <c r="AD839" s="249"/>
      <c r="AE839" s="249"/>
      <c r="AF839" s="250">
        <v>0.0</v>
      </c>
      <c r="AG839" s="250" t="s">
        <v>354</v>
      </c>
      <c r="AH839" s="249"/>
      <c r="AI839" s="250" t="s">
        <v>354</v>
      </c>
      <c r="AJ839" s="249"/>
      <c r="AK839" s="249"/>
      <c r="AL839" s="250" t="s">
        <v>356</v>
      </c>
      <c r="AM839" s="250" t="s">
        <v>356</v>
      </c>
      <c r="AN839" s="250" t="s">
        <v>356</v>
      </c>
    </row>
    <row r="840">
      <c r="A840" s="246" t="s">
        <v>979</v>
      </c>
      <c r="B840" s="18" t="s">
        <v>980</v>
      </c>
      <c r="C840" s="19"/>
      <c r="D840" s="247" t="s">
        <v>736</v>
      </c>
      <c r="E840" s="248" t="s">
        <v>37</v>
      </c>
      <c r="F840" s="246" t="s">
        <v>8</v>
      </c>
      <c r="G840" s="250" t="s">
        <v>354</v>
      </c>
      <c r="H840" s="250" t="s">
        <v>354</v>
      </c>
      <c r="I840" s="250" t="s">
        <v>354</v>
      </c>
      <c r="J840" s="250" t="s">
        <v>354</v>
      </c>
      <c r="K840" s="250" t="s">
        <v>354</v>
      </c>
      <c r="L840" s="246">
        <v>0.0</v>
      </c>
      <c r="M840" s="246" t="s">
        <v>354</v>
      </c>
      <c r="N840" s="174" t="s">
        <v>17</v>
      </c>
      <c r="O840" s="174" t="s">
        <v>17</v>
      </c>
      <c r="P840" s="174" t="s">
        <v>17</v>
      </c>
      <c r="Q840" s="174" t="s">
        <v>17</v>
      </c>
      <c r="R840" s="174" t="s">
        <v>17</v>
      </c>
      <c r="S840" s="174" t="s">
        <v>17</v>
      </c>
      <c r="T840" s="174" t="s">
        <v>17</v>
      </c>
      <c r="U840" s="174" t="s">
        <v>17</v>
      </c>
      <c r="V840" s="174" t="s">
        <v>17</v>
      </c>
      <c r="W840" s="18" t="s">
        <v>981</v>
      </c>
      <c r="X840" s="44" t="s">
        <v>373</v>
      </c>
      <c r="Y840" s="18" t="s">
        <v>982</v>
      </c>
      <c r="Z840" s="246"/>
      <c r="AA840" s="249"/>
      <c r="AB840" s="246" t="s">
        <v>354</v>
      </c>
      <c r="AC840" s="19"/>
      <c r="AD840" s="19"/>
      <c r="AE840" s="19"/>
      <c r="AF840" s="246">
        <v>0.0</v>
      </c>
      <c r="AG840" s="250" t="s">
        <v>354</v>
      </c>
      <c r="AH840" s="249"/>
      <c r="AI840" s="250" t="s">
        <v>354</v>
      </c>
      <c r="AJ840" s="249"/>
      <c r="AK840" s="249"/>
      <c r="AL840" s="246" t="s">
        <v>356</v>
      </c>
      <c r="AM840" s="246" t="s">
        <v>356</v>
      </c>
      <c r="AN840" s="246" t="s">
        <v>356</v>
      </c>
    </row>
    <row r="841">
      <c r="A841" s="246" t="s">
        <v>979</v>
      </c>
      <c r="B841" s="18" t="s">
        <v>980</v>
      </c>
      <c r="C841" s="19"/>
      <c r="D841" s="247" t="s">
        <v>736</v>
      </c>
      <c r="E841" s="248" t="s">
        <v>37</v>
      </c>
      <c r="F841" s="246" t="s">
        <v>8</v>
      </c>
      <c r="G841" s="250" t="s">
        <v>354</v>
      </c>
      <c r="H841" s="250" t="s">
        <v>354</v>
      </c>
      <c r="I841" s="250" t="s">
        <v>354</v>
      </c>
      <c r="J841" s="250" t="s">
        <v>354</v>
      </c>
      <c r="K841" s="250" t="s">
        <v>354</v>
      </c>
      <c r="L841" s="246">
        <v>0.0</v>
      </c>
      <c r="M841" s="246" t="s">
        <v>354</v>
      </c>
      <c r="N841" s="174" t="s">
        <v>17</v>
      </c>
      <c r="O841" s="174" t="s">
        <v>17</v>
      </c>
      <c r="P841" s="174" t="s">
        <v>17</v>
      </c>
      <c r="Q841" s="174" t="s">
        <v>17</v>
      </c>
      <c r="R841" s="174" t="s">
        <v>17</v>
      </c>
      <c r="S841" s="174" t="s">
        <v>17</v>
      </c>
      <c r="T841" s="174" t="s">
        <v>17</v>
      </c>
      <c r="U841" s="174" t="s">
        <v>17</v>
      </c>
      <c r="V841" s="174" t="s">
        <v>17</v>
      </c>
      <c r="W841" s="18" t="s">
        <v>981</v>
      </c>
      <c r="X841" s="44" t="s">
        <v>373</v>
      </c>
      <c r="Y841" s="18" t="s">
        <v>982</v>
      </c>
      <c r="Z841" s="18" t="s">
        <v>983</v>
      </c>
      <c r="AA841" s="249"/>
      <c r="AB841" s="246" t="s">
        <v>354</v>
      </c>
      <c r="AC841" s="19"/>
      <c r="AD841" s="19"/>
      <c r="AE841" s="19"/>
      <c r="AF841" s="246">
        <v>0.0</v>
      </c>
      <c r="AG841" s="246" t="s">
        <v>356</v>
      </c>
      <c r="AH841" s="249"/>
      <c r="AI841" s="246" t="s">
        <v>356</v>
      </c>
      <c r="AJ841" s="246" t="s">
        <v>356</v>
      </c>
      <c r="AK841" s="246" t="s">
        <v>356</v>
      </c>
      <c r="AL841" s="246" t="s">
        <v>356</v>
      </c>
      <c r="AM841" s="246" t="s">
        <v>356</v>
      </c>
      <c r="AN841" s="246" t="s">
        <v>356</v>
      </c>
    </row>
    <row r="842">
      <c r="A842" s="246" t="s">
        <v>979</v>
      </c>
      <c r="B842" s="18" t="s">
        <v>980</v>
      </c>
      <c r="C842" s="19"/>
      <c r="D842" s="247" t="s">
        <v>736</v>
      </c>
      <c r="E842" s="248" t="s">
        <v>37</v>
      </c>
      <c r="F842" s="246" t="s">
        <v>8</v>
      </c>
      <c r="G842" s="250" t="s">
        <v>354</v>
      </c>
      <c r="H842" s="250" t="s">
        <v>354</v>
      </c>
      <c r="I842" s="250" t="s">
        <v>354</v>
      </c>
      <c r="J842" s="250" t="s">
        <v>354</v>
      </c>
      <c r="K842" s="250" t="s">
        <v>354</v>
      </c>
      <c r="L842" s="246">
        <v>0.0</v>
      </c>
      <c r="M842" s="246" t="s">
        <v>354</v>
      </c>
      <c r="N842" s="174" t="s">
        <v>17</v>
      </c>
      <c r="O842" s="174" t="s">
        <v>17</v>
      </c>
      <c r="P842" s="174" t="s">
        <v>17</v>
      </c>
      <c r="Q842" s="174" t="s">
        <v>17</v>
      </c>
      <c r="R842" s="174" t="s">
        <v>17</v>
      </c>
      <c r="S842" s="174" t="s">
        <v>17</v>
      </c>
      <c r="T842" s="174" t="s">
        <v>17</v>
      </c>
      <c r="U842" s="174" t="s">
        <v>17</v>
      </c>
      <c r="V842" s="174" t="s">
        <v>17</v>
      </c>
      <c r="W842" s="18" t="s">
        <v>981</v>
      </c>
      <c r="X842" s="44" t="s">
        <v>373</v>
      </c>
      <c r="Y842" s="18" t="s">
        <v>982</v>
      </c>
      <c r="Z842" s="18" t="s">
        <v>983</v>
      </c>
      <c r="AA842" s="18" t="s">
        <v>982</v>
      </c>
      <c r="AB842" s="246" t="s">
        <v>354</v>
      </c>
      <c r="AC842" s="19"/>
      <c r="AD842" s="19"/>
      <c r="AE842" s="19"/>
      <c r="AF842" s="253">
        <v>31.5993832387245</v>
      </c>
      <c r="AG842" s="250" t="s">
        <v>354</v>
      </c>
      <c r="AH842" s="249"/>
      <c r="AI842" s="250" t="s">
        <v>354</v>
      </c>
      <c r="AJ842" s="246"/>
      <c r="AK842" s="246"/>
      <c r="AL842" s="91" t="s">
        <v>413</v>
      </c>
      <c r="AM842" s="91" t="s">
        <v>413</v>
      </c>
      <c r="AN842" s="115" t="s">
        <v>358</v>
      </c>
    </row>
    <row r="843">
      <c r="A843" s="240" t="s">
        <v>984</v>
      </c>
      <c r="B843" s="18" t="s">
        <v>985</v>
      </c>
      <c r="C843" s="136"/>
      <c r="D843" s="238" t="s">
        <v>736</v>
      </c>
      <c r="E843" s="239" t="s">
        <v>62</v>
      </c>
      <c r="F843" s="240" t="s">
        <v>8</v>
      </c>
      <c r="G843" s="240">
        <v>88.0</v>
      </c>
      <c r="H843" s="240">
        <v>65.0</v>
      </c>
      <c r="I843" s="255" t="s">
        <v>354</v>
      </c>
      <c r="J843" s="255" t="s">
        <v>354</v>
      </c>
      <c r="K843" s="255" t="s">
        <v>354</v>
      </c>
      <c r="L843" s="255">
        <v>0.0</v>
      </c>
      <c r="M843" s="255" t="s">
        <v>354</v>
      </c>
      <c r="N843" s="174" t="s">
        <v>17</v>
      </c>
      <c r="O843" s="174" t="s">
        <v>17</v>
      </c>
      <c r="P843" s="174" t="s">
        <v>17</v>
      </c>
      <c r="Q843" s="174" t="s">
        <v>17</v>
      </c>
      <c r="R843" s="174" t="s">
        <v>17</v>
      </c>
      <c r="S843" s="174" t="s">
        <v>17</v>
      </c>
      <c r="T843" s="174" t="s">
        <v>17</v>
      </c>
      <c r="U843" s="174" t="s">
        <v>17</v>
      </c>
      <c r="V843" s="174" t="s">
        <v>17</v>
      </c>
      <c r="W843" s="18" t="s">
        <v>986</v>
      </c>
      <c r="X843" s="183"/>
      <c r="Y843" s="183"/>
      <c r="Z843" s="183"/>
      <c r="AA843" s="183"/>
      <c r="AB843" s="240" t="s">
        <v>354</v>
      </c>
      <c r="AC843" s="183"/>
      <c r="AD843" s="183"/>
      <c r="AE843" s="183"/>
      <c r="AF843" s="255">
        <v>0.0</v>
      </c>
      <c r="AG843" s="255" t="s">
        <v>354</v>
      </c>
      <c r="AH843" s="183"/>
      <c r="AI843" s="255" t="s">
        <v>354</v>
      </c>
      <c r="AJ843" s="183"/>
      <c r="AK843" s="183"/>
      <c r="AL843" s="255" t="s">
        <v>356</v>
      </c>
      <c r="AM843" s="255" t="s">
        <v>356</v>
      </c>
      <c r="AN843" s="255" t="s">
        <v>356</v>
      </c>
    </row>
    <row r="844">
      <c r="A844" s="240" t="s">
        <v>984</v>
      </c>
      <c r="B844" s="18" t="s">
        <v>985</v>
      </c>
      <c r="C844" s="46"/>
      <c r="D844" s="238" t="s">
        <v>736</v>
      </c>
      <c r="E844" s="239" t="s">
        <v>37</v>
      </c>
      <c r="F844" s="240" t="s">
        <v>8</v>
      </c>
      <c r="G844" s="255" t="s">
        <v>354</v>
      </c>
      <c r="H844" s="255" t="s">
        <v>354</v>
      </c>
      <c r="I844" s="255" t="s">
        <v>354</v>
      </c>
      <c r="J844" s="255" t="s">
        <v>354</v>
      </c>
      <c r="K844" s="255" t="s">
        <v>354</v>
      </c>
      <c r="L844" s="41">
        <v>0.0</v>
      </c>
      <c r="M844" s="41" t="s">
        <v>354</v>
      </c>
      <c r="N844" s="174" t="s">
        <v>17</v>
      </c>
      <c r="O844" s="174" t="s">
        <v>17</v>
      </c>
      <c r="P844" s="174" t="s">
        <v>17</v>
      </c>
      <c r="Q844" s="174" t="s">
        <v>17</v>
      </c>
      <c r="R844" s="174" t="s">
        <v>17</v>
      </c>
      <c r="S844" s="174" t="s">
        <v>17</v>
      </c>
      <c r="T844" s="174" t="s">
        <v>17</v>
      </c>
      <c r="U844" s="174" t="s">
        <v>17</v>
      </c>
      <c r="V844" s="174" t="s">
        <v>17</v>
      </c>
      <c r="W844" s="18" t="s">
        <v>986</v>
      </c>
      <c r="X844" s="18" t="s">
        <v>987</v>
      </c>
      <c r="Y844" s="240"/>
      <c r="Z844" s="240"/>
      <c r="AA844" s="183"/>
      <c r="AB844" s="184" t="s">
        <v>371</v>
      </c>
      <c r="AC844" s="46"/>
      <c r="AD844" s="46"/>
      <c r="AE844" s="46"/>
      <c r="AF844" s="242">
        <v>0.0</v>
      </c>
      <c r="AG844" s="242" t="s">
        <v>354</v>
      </c>
      <c r="AH844" s="243"/>
      <c r="AI844" s="242" t="s">
        <v>354</v>
      </c>
      <c r="AJ844" s="243"/>
      <c r="AK844" s="243"/>
      <c r="AL844" s="243" t="s">
        <v>356</v>
      </c>
      <c r="AM844" s="243" t="s">
        <v>356</v>
      </c>
      <c r="AN844" s="243" t="s">
        <v>356</v>
      </c>
    </row>
    <row r="845">
      <c r="A845" s="240" t="s">
        <v>984</v>
      </c>
      <c r="B845" s="18" t="s">
        <v>985</v>
      </c>
      <c r="C845" s="46"/>
      <c r="D845" s="238" t="s">
        <v>736</v>
      </c>
      <c r="E845" s="239" t="s">
        <v>37</v>
      </c>
      <c r="F845" s="240" t="s">
        <v>8</v>
      </c>
      <c r="G845" s="255" t="s">
        <v>354</v>
      </c>
      <c r="H845" s="255" t="s">
        <v>354</v>
      </c>
      <c r="I845" s="255" t="s">
        <v>354</v>
      </c>
      <c r="J845" s="255" t="s">
        <v>354</v>
      </c>
      <c r="K845" s="255" t="s">
        <v>354</v>
      </c>
      <c r="L845" s="41">
        <v>0.0</v>
      </c>
      <c r="M845" s="41" t="s">
        <v>354</v>
      </c>
      <c r="N845" s="174" t="s">
        <v>17</v>
      </c>
      <c r="O845" s="174" t="s">
        <v>17</v>
      </c>
      <c r="P845" s="174" t="s">
        <v>17</v>
      </c>
      <c r="Q845" s="174" t="s">
        <v>17</v>
      </c>
      <c r="R845" s="174" t="s">
        <v>17</v>
      </c>
      <c r="S845" s="174" t="s">
        <v>17</v>
      </c>
      <c r="T845" s="174" t="s">
        <v>17</v>
      </c>
      <c r="U845" s="174" t="s">
        <v>17</v>
      </c>
      <c r="V845" s="174" t="s">
        <v>17</v>
      </c>
      <c r="W845" s="18" t="s">
        <v>986</v>
      </c>
      <c r="X845" s="18" t="s">
        <v>987</v>
      </c>
      <c r="Y845" s="18" t="s">
        <v>988</v>
      </c>
      <c r="Z845" s="240"/>
      <c r="AA845" s="183"/>
      <c r="AB845" s="184" t="s">
        <v>371</v>
      </c>
      <c r="AC845" s="46"/>
      <c r="AD845" s="46"/>
      <c r="AE845" s="46"/>
      <c r="AF845" s="242">
        <v>0.0</v>
      </c>
      <c r="AG845" s="242" t="s">
        <v>354</v>
      </c>
      <c r="AH845" s="243"/>
      <c r="AI845" s="242" t="s">
        <v>354</v>
      </c>
      <c r="AJ845" s="243"/>
      <c r="AK845" s="243"/>
      <c r="AL845" s="243" t="s">
        <v>356</v>
      </c>
      <c r="AM845" s="243" t="s">
        <v>356</v>
      </c>
      <c r="AN845" s="243" t="s">
        <v>356</v>
      </c>
    </row>
    <row r="846">
      <c r="A846" s="240" t="s">
        <v>984</v>
      </c>
      <c r="B846" s="18" t="s">
        <v>985</v>
      </c>
      <c r="C846" s="46"/>
      <c r="D846" s="238" t="s">
        <v>736</v>
      </c>
      <c r="E846" s="239" t="s">
        <v>37</v>
      </c>
      <c r="F846" s="240" t="s">
        <v>8</v>
      </c>
      <c r="G846" s="255" t="s">
        <v>354</v>
      </c>
      <c r="H846" s="255" t="s">
        <v>354</v>
      </c>
      <c r="I846" s="255" t="s">
        <v>354</v>
      </c>
      <c r="J846" s="255" t="s">
        <v>354</v>
      </c>
      <c r="K846" s="255" t="s">
        <v>354</v>
      </c>
      <c r="L846" s="41">
        <v>0.0</v>
      </c>
      <c r="M846" s="41" t="s">
        <v>354</v>
      </c>
      <c r="N846" s="174" t="s">
        <v>17</v>
      </c>
      <c r="O846" s="174" t="s">
        <v>17</v>
      </c>
      <c r="P846" s="174" t="s">
        <v>17</v>
      </c>
      <c r="Q846" s="174" t="s">
        <v>17</v>
      </c>
      <c r="R846" s="174" t="s">
        <v>17</v>
      </c>
      <c r="S846" s="174" t="s">
        <v>17</v>
      </c>
      <c r="T846" s="174" t="s">
        <v>17</v>
      </c>
      <c r="U846" s="174" t="s">
        <v>17</v>
      </c>
      <c r="V846" s="174" t="s">
        <v>17</v>
      </c>
      <c r="W846" s="18" t="s">
        <v>986</v>
      </c>
      <c r="X846" s="18" t="s">
        <v>987</v>
      </c>
      <c r="Y846" s="18" t="s">
        <v>988</v>
      </c>
      <c r="Z846" s="18" t="s">
        <v>989</v>
      </c>
      <c r="AA846" s="44" t="s">
        <v>373</v>
      </c>
      <c r="AB846" s="184" t="s">
        <v>371</v>
      </c>
      <c r="AC846" s="46"/>
      <c r="AD846" s="46"/>
      <c r="AE846" s="46"/>
      <c r="AF846" s="240">
        <v>0.0</v>
      </c>
      <c r="AG846" s="240" t="s">
        <v>356</v>
      </c>
      <c r="AH846" s="183"/>
      <c r="AI846" s="240" t="s">
        <v>356</v>
      </c>
      <c r="AJ846" s="240" t="s">
        <v>356</v>
      </c>
      <c r="AK846" s="240" t="s">
        <v>356</v>
      </c>
      <c r="AL846" s="44" t="s">
        <v>420</v>
      </c>
      <c r="AM846" s="243" t="s">
        <v>356</v>
      </c>
      <c r="AN846" s="243" t="s">
        <v>356</v>
      </c>
    </row>
    <row r="847">
      <c r="A847" s="246" t="s">
        <v>990</v>
      </c>
      <c r="B847" s="18" t="s">
        <v>991</v>
      </c>
      <c r="C847" s="136"/>
      <c r="D847" s="247" t="s">
        <v>736</v>
      </c>
      <c r="E847" s="248" t="s">
        <v>62</v>
      </c>
      <c r="F847" s="246" t="s">
        <v>67</v>
      </c>
      <c r="G847" s="246">
        <v>98.0</v>
      </c>
      <c r="H847" s="246">
        <v>75.0</v>
      </c>
      <c r="I847" s="246" t="s">
        <v>354</v>
      </c>
      <c r="J847" s="249"/>
      <c r="K847" s="246">
        <v>0.0</v>
      </c>
      <c r="L847" s="246">
        <v>0.0</v>
      </c>
      <c r="M847" s="246" t="s">
        <v>354</v>
      </c>
      <c r="N847" s="174" t="s">
        <v>17</v>
      </c>
      <c r="O847" s="174" t="s">
        <v>17</v>
      </c>
      <c r="P847" s="174" t="s">
        <v>17</v>
      </c>
      <c r="Q847" s="174" t="s">
        <v>17</v>
      </c>
      <c r="R847" s="174" t="s">
        <v>17</v>
      </c>
      <c r="S847" s="174" t="s">
        <v>17</v>
      </c>
      <c r="T847" s="174" t="s">
        <v>17</v>
      </c>
      <c r="U847" s="174" t="s">
        <v>17</v>
      </c>
      <c r="V847" s="174" t="s">
        <v>17</v>
      </c>
      <c r="W847" s="18" t="s">
        <v>992</v>
      </c>
      <c r="X847" s="246"/>
      <c r="Y847" s="246"/>
      <c r="Z847" s="246"/>
      <c r="AA847" s="246"/>
      <c r="AB847" s="246" t="s">
        <v>354</v>
      </c>
      <c r="AC847" s="183"/>
      <c r="AD847" s="183"/>
      <c r="AE847" s="183"/>
      <c r="AF847" s="246">
        <v>0.0</v>
      </c>
      <c r="AG847" s="250" t="s">
        <v>354</v>
      </c>
      <c r="AH847" s="249"/>
      <c r="AI847" s="250" t="s">
        <v>354</v>
      </c>
      <c r="AJ847" s="249"/>
      <c r="AK847" s="249"/>
      <c r="AL847" s="246" t="s">
        <v>356</v>
      </c>
      <c r="AM847" s="246" t="s">
        <v>356</v>
      </c>
      <c r="AN847" s="246" t="s">
        <v>356</v>
      </c>
    </row>
    <row r="848">
      <c r="A848" s="246" t="s">
        <v>990</v>
      </c>
      <c r="B848" s="18" t="s">
        <v>991</v>
      </c>
      <c r="C848" s="19"/>
      <c r="D848" s="247" t="s">
        <v>736</v>
      </c>
      <c r="E848" s="248" t="s">
        <v>37</v>
      </c>
      <c r="F848" s="246" t="s">
        <v>67</v>
      </c>
      <c r="G848" s="250" t="s">
        <v>354</v>
      </c>
      <c r="H848" s="250" t="s">
        <v>354</v>
      </c>
      <c r="I848" s="250" t="s">
        <v>354</v>
      </c>
      <c r="J848" s="250" t="s">
        <v>354</v>
      </c>
      <c r="K848" s="250">
        <v>0.0</v>
      </c>
      <c r="L848" s="78">
        <v>1.0</v>
      </c>
      <c r="M848" s="78" t="s">
        <v>993</v>
      </c>
      <c r="N848" s="174" t="s">
        <v>17</v>
      </c>
      <c r="O848" s="174" t="s">
        <v>17</v>
      </c>
      <c r="P848" s="174" t="s">
        <v>17</v>
      </c>
      <c r="Q848" s="174" t="s">
        <v>17</v>
      </c>
      <c r="R848" s="174" t="s">
        <v>17</v>
      </c>
      <c r="S848" s="174" t="s">
        <v>17</v>
      </c>
      <c r="T848" s="174" t="s">
        <v>17</v>
      </c>
      <c r="U848" s="174" t="s">
        <v>17</v>
      </c>
      <c r="V848" s="174" t="s">
        <v>17</v>
      </c>
      <c r="W848" s="18" t="s">
        <v>992</v>
      </c>
      <c r="X848" s="18" t="s">
        <v>994</v>
      </c>
      <c r="Y848" s="246"/>
      <c r="Z848" s="246"/>
      <c r="AA848" s="249"/>
      <c r="AB848" s="158" t="s">
        <v>398</v>
      </c>
      <c r="AC848" s="19"/>
      <c r="AD848" s="19"/>
      <c r="AE848" s="19"/>
      <c r="AF848" s="246">
        <v>0.0</v>
      </c>
      <c r="AG848" s="250" t="s">
        <v>354</v>
      </c>
      <c r="AH848" s="249"/>
      <c r="AI848" s="250" t="s">
        <v>354</v>
      </c>
      <c r="AJ848" s="249"/>
      <c r="AK848" s="249"/>
      <c r="AL848" s="246" t="s">
        <v>356</v>
      </c>
      <c r="AM848" s="246" t="s">
        <v>356</v>
      </c>
      <c r="AN848" s="115" t="s">
        <v>358</v>
      </c>
    </row>
    <row r="849">
      <c r="A849" s="246" t="s">
        <v>990</v>
      </c>
      <c r="B849" s="18" t="s">
        <v>991</v>
      </c>
      <c r="C849" s="19"/>
      <c r="D849" s="247" t="s">
        <v>736</v>
      </c>
      <c r="E849" s="248" t="s">
        <v>37</v>
      </c>
      <c r="F849" s="246" t="s">
        <v>67</v>
      </c>
      <c r="G849" s="250" t="s">
        <v>354</v>
      </c>
      <c r="H849" s="250" t="s">
        <v>354</v>
      </c>
      <c r="I849" s="250" t="s">
        <v>354</v>
      </c>
      <c r="J849" s="250" t="s">
        <v>354</v>
      </c>
      <c r="K849" s="250">
        <v>0.0</v>
      </c>
      <c r="L849" s="78">
        <v>1.0</v>
      </c>
      <c r="M849" s="78" t="s">
        <v>993</v>
      </c>
      <c r="N849" s="174" t="s">
        <v>17</v>
      </c>
      <c r="O849" s="174" t="s">
        <v>17</v>
      </c>
      <c r="P849" s="174" t="s">
        <v>17</v>
      </c>
      <c r="Q849" s="174" t="s">
        <v>17</v>
      </c>
      <c r="R849" s="174" t="s">
        <v>17</v>
      </c>
      <c r="S849" s="174" t="s">
        <v>17</v>
      </c>
      <c r="T849" s="174" t="s">
        <v>17</v>
      </c>
      <c r="U849" s="174" t="s">
        <v>17</v>
      </c>
      <c r="V849" s="174" t="s">
        <v>17</v>
      </c>
      <c r="W849" s="18" t="s">
        <v>992</v>
      </c>
      <c r="X849" s="18" t="s">
        <v>994</v>
      </c>
      <c r="Y849" s="18" t="s">
        <v>994</v>
      </c>
      <c r="Z849" s="246"/>
      <c r="AA849" s="249"/>
      <c r="AB849" s="158" t="s">
        <v>398</v>
      </c>
      <c r="AC849" s="19"/>
      <c r="AD849" s="19"/>
      <c r="AE849" s="19"/>
      <c r="AF849" s="246">
        <v>0.0</v>
      </c>
      <c r="AG849" s="250" t="s">
        <v>354</v>
      </c>
      <c r="AH849" s="249"/>
      <c r="AI849" s="250" t="s">
        <v>354</v>
      </c>
      <c r="AJ849" s="249"/>
      <c r="AK849" s="249"/>
      <c r="AL849" s="246" t="s">
        <v>356</v>
      </c>
      <c r="AM849" s="246" t="s">
        <v>356</v>
      </c>
      <c r="AN849" s="246" t="s">
        <v>356</v>
      </c>
    </row>
    <row r="850">
      <c r="A850" s="246" t="s">
        <v>990</v>
      </c>
      <c r="B850" s="18" t="s">
        <v>991</v>
      </c>
      <c r="C850" s="19"/>
      <c r="D850" s="247" t="s">
        <v>736</v>
      </c>
      <c r="E850" s="248" t="s">
        <v>37</v>
      </c>
      <c r="F850" s="246" t="s">
        <v>67</v>
      </c>
      <c r="G850" s="250" t="s">
        <v>354</v>
      </c>
      <c r="H850" s="250" t="s">
        <v>354</v>
      </c>
      <c r="I850" s="250" t="s">
        <v>354</v>
      </c>
      <c r="J850" s="250" t="s">
        <v>354</v>
      </c>
      <c r="K850" s="250">
        <v>0.0</v>
      </c>
      <c r="L850" s="78">
        <v>1.0</v>
      </c>
      <c r="M850" s="78" t="s">
        <v>993</v>
      </c>
      <c r="N850" s="174" t="s">
        <v>17</v>
      </c>
      <c r="O850" s="174" t="s">
        <v>17</v>
      </c>
      <c r="P850" s="174" t="s">
        <v>17</v>
      </c>
      <c r="Q850" s="174" t="s">
        <v>17</v>
      </c>
      <c r="R850" s="174" t="s">
        <v>17</v>
      </c>
      <c r="S850" s="174" t="s">
        <v>17</v>
      </c>
      <c r="T850" s="174" t="s">
        <v>17</v>
      </c>
      <c r="U850" s="174" t="s">
        <v>17</v>
      </c>
      <c r="V850" s="174" t="s">
        <v>17</v>
      </c>
      <c r="W850" s="18" t="s">
        <v>992</v>
      </c>
      <c r="X850" s="18" t="s">
        <v>994</v>
      </c>
      <c r="Y850" s="18" t="s">
        <v>994</v>
      </c>
      <c r="Z850" s="18" t="s">
        <v>994</v>
      </c>
      <c r="AA850" s="249"/>
      <c r="AB850" s="158" t="s">
        <v>398</v>
      </c>
      <c r="AC850" s="19"/>
      <c r="AD850" s="19"/>
      <c r="AE850" s="19"/>
      <c r="AF850" s="246">
        <v>0.0</v>
      </c>
      <c r="AG850" s="246" t="s">
        <v>356</v>
      </c>
      <c r="AH850" s="249"/>
      <c r="AI850" s="246" t="s">
        <v>356</v>
      </c>
      <c r="AJ850" s="246" t="s">
        <v>356</v>
      </c>
      <c r="AK850" s="246" t="s">
        <v>356</v>
      </c>
      <c r="AL850" s="246" t="s">
        <v>356</v>
      </c>
      <c r="AM850" s="267" t="s">
        <v>361</v>
      </c>
      <c r="AN850" s="246" t="s">
        <v>356</v>
      </c>
    </row>
    <row r="851">
      <c r="A851" s="246" t="s">
        <v>990</v>
      </c>
      <c r="B851" s="18" t="s">
        <v>991</v>
      </c>
      <c r="C851" s="19"/>
      <c r="D851" s="247" t="s">
        <v>736</v>
      </c>
      <c r="E851" s="248" t="s">
        <v>37</v>
      </c>
      <c r="F851" s="246" t="s">
        <v>67</v>
      </c>
      <c r="G851" s="250" t="s">
        <v>354</v>
      </c>
      <c r="H851" s="250" t="s">
        <v>354</v>
      </c>
      <c r="I851" s="250" t="s">
        <v>354</v>
      </c>
      <c r="J851" s="250" t="s">
        <v>354</v>
      </c>
      <c r="K851" s="250">
        <v>0.0</v>
      </c>
      <c r="L851" s="78">
        <v>1.0</v>
      </c>
      <c r="M851" s="78" t="s">
        <v>993</v>
      </c>
      <c r="N851" s="174" t="s">
        <v>17</v>
      </c>
      <c r="O851" s="174" t="s">
        <v>17</v>
      </c>
      <c r="P851" s="174" t="s">
        <v>17</v>
      </c>
      <c r="Q851" s="174" t="s">
        <v>17</v>
      </c>
      <c r="R851" s="174" t="s">
        <v>17</v>
      </c>
      <c r="S851" s="174" t="s">
        <v>17</v>
      </c>
      <c r="T851" s="174" t="s">
        <v>17</v>
      </c>
      <c r="U851" s="174" t="s">
        <v>17</v>
      </c>
      <c r="V851" s="174" t="s">
        <v>17</v>
      </c>
      <c r="W851" s="18" t="s">
        <v>992</v>
      </c>
      <c r="X851" s="18" t="s">
        <v>994</v>
      </c>
      <c r="Y851" s="18" t="s">
        <v>994</v>
      </c>
      <c r="Z851" s="18" t="s">
        <v>994</v>
      </c>
      <c r="AA851" s="18" t="s">
        <v>994</v>
      </c>
      <c r="AB851" s="158" t="s">
        <v>398</v>
      </c>
      <c r="AC851" s="19"/>
      <c r="AD851" s="19"/>
      <c r="AE851" s="19"/>
      <c r="AF851" s="246">
        <v>0.0</v>
      </c>
      <c r="AG851" s="250" t="s">
        <v>354</v>
      </c>
      <c r="AH851" s="249"/>
      <c r="AI851" s="250" t="s">
        <v>354</v>
      </c>
      <c r="AJ851" s="246"/>
      <c r="AK851" s="246"/>
      <c r="AL851" s="91" t="s">
        <v>413</v>
      </c>
      <c r="AM851" s="91" t="s">
        <v>413</v>
      </c>
      <c r="AN851" s="268" t="s">
        <v>356</v>
      </c>
    </row>
    <row r="852">
      <c r="A852" s="240" t="s">
        <v>995</v>
      </c>
      <c r="B852" s="18" t="s">
        <v>996</v>
      </c>
      <c r="C852" s="136"/>
      <c r="D852" s="238" t="s">
        <v>736</v>
      </c>
      <c r="E852" s="239" t="s">
        <v>62</v>
      </c>
      <c r="F852" s="240" t="s">
        <v>67</v>
      </c>
      <c r="G852" s="240" t="s">
        <v>354</v>
      </c>
      <c r="H852" s="240" t="s">
        <v>354</v>
      </c>
      <c r="I852" s="240" t="s">
        <v>354</v>
      </c>
      <c r="J852" s="183"/>
      <c r="K852" s="240">
        <v>0.0</v>
      </c>
      <c r="L852" s="240">
        <v>0.0</v>
      </c>
      <c r="M852" s="240" t="s">
        <v>354</v>
      </c>
      <c r="N852" s="174" t="s">
        <v>17</v>
      </c>
      <c r="O852" s="174" t="s">
        <v>17</v>
      </c>
      <c r="P852" s="174" t="s">
        <v>17</v>
      </c>
      <c r="Q852" s="174" t="s">
        <v>17</v>
      </c>
      <c r="R852" s="174" t="s">
        <v>17</v>
      </c>
      <c r="S852" s="174" t="s">
        <v>17</v>
      </c>
      <c r="T852" s="174" t="s">
        <v>17</v>
      </c>
      <c r="U852" s="174" t="s">
        <v>17</v>
      </c>
      <c r="V852" s="174" t="s">
        <v>17</v>
      </c>
      <c r="W852" s="18" t="s">
        <v>997</v>
      </c>
      <c r="X852" s="183"/>
      <c r="Y852" s="183"/>
      <c r="Z852" s="183"/>
      <c r="AA852" s="183"/>
      <c r="AB852" s="255" t="s">
        <v>354</v>
      </c>
      <c r="AC852" s="183"/>
      <c r="AD852" s="183"/>
      <c r="AE852" s="183"/>
      <c r="AF852" s="242">
        <v>0.0</v>
      </c>
      <c r="AG852" s="242" t="s">
        <v>354</v>
      </c>
      <c r="AH852" s="243"/>
      <c r="AI852" s="242" t="s">
        <v>354</v>
      </c>
      <c r="AJ852" s="243"/>
      <c r="AK852" s="243"/>
      <c r="AL852" s="243" t="s">
        <v>356</v>
      </c>
      <c r="AM852" s="243" t="s">
        <v>356</v>
      </c>
      <c r="AN852" s="243" t="s">
        <v>356</v>
      </c>
    </row>
    <row r="853">
      <c r="A853" s="240" t="s">
        <v>995</v>
      </c>
      <c r="B853" s="18" t="s">
        <v>996</v>
      </c>
      <c r="C853" s="46"/>
      <c r="D853" s="238" t="s">
        <v>736</v>
      </c>
      <c r="E853" s="239" t="s">
        <v>37</v>
      </c>
      <c r="F853" s="240" t="s">
        <v>67</v>
      </c>
      <c r="G853" s="240" t="s">
        <v>354</v>
      </c>
      <c r="H853" s="240" t="s">
        <v>354</v>
      </c>
      <c r="I853" s="240" t="s">
        <v>354</v>
      </c>
      <c r="J853" s="183"/>
      <c r="K853" s="240">
        <v>0.0</v>
      </c>
      <c r="L853" s="78">
        <v>1.0</v>
      </c>
      <c r="M853" s="78" t="s">
        <v>998</v>
      </c>
      <c r="N853" s="174" t="s">
        <v>17</v>
      </c>
      <c r="O853" s="174" t="s">
        <v>17</v>
      </c>
      <c r="P853" s="174" t="s">
        <v>17</v>
      </c>
      <c r="Q853" s="174" t="s">
        <v>17</v>
      </c>
      <c r="R853" s="174" t="s">
        <v>17</v>
      </c>
      <c r="S853" s="174" t="s">
        <v>17</v>
      </c>
      <c r="T853" s="174" t="s">
        <v>17</v>
      </c>
      <c r="U853" s="174" t="s">
        <v>17</v>
      </c>
      <c r="V853" s="174" t="s">
        <v>17</v>
      </c>
      <c r="W853" s="18" t="s">
        <v>997</v>
      </c>
      <c r="X853" s="18" t="s">
        <v>999</v>
      </c>
      <c r="Y853" s="240"/>
      <c r="Z853" s="240"/>
      <c r="AA853" s="183"/>
      <c r="AB853" s="158" t="s">
        <v>455</v>
      </c>
      <c r="AC853" s="46"/>
      <c r="AD853" s="46"/>
      <c r="AE853" s="46"/>
      <c r="AF853" s="242">
        <v>0.0</v>
      </c>
      <c r="AG853" s="242" t="s">
        <v>354</v>
      </c>
      <c r="AH853" s="243"/>
      <c r="AI853" s="242" t="s">
        <v>354</v>
      </c>
      <c r="AJ853" s="243"/>
      <c r="AK853" s="243"/>
      <c r="AL853" s="243" t="s">
        <v>356</v>
      </c>
      <c r="AM853" s="243" t="s">
        <v>356</v>
      </c>
      <c r="AN853" s="243" t="s">
        <v>356</v>
      </c>
    </row>
    <row r="854">
      <c r="A854" s="240" t="s">
        <v>995</v>
      </c>
      <c r="B854" s="18" t="s">
        <v>996</v>
      </c>
      <c r="C854" s="46"/>
      <c r="D854" s="238" t="s">
        <v>736</v>
      </c>
      <c r="E854" s="239" t="s">
        <v>37</v>
      </c>
      <c r="F854" s="240" t="s">
        <v>67</v>
      </c>
      <c r="G854" s="255" t="s">
        <v>354</v>
      </c>
      <c r="H854" s="255" t="s">
        <v>354</v>
      </c>
      <c r="I854" s="255" t="s">
        <v>354</v>
      </c>
      <c r="J854" s="255" t="s">
        <v>354</v>
      </c>
      <c r="K854" s="255">
        <v>0.0</v>
      </c>
      <c r="L854" s="194">
        <v>1.0</v>
      </c>
      <c r="M854" s="194" t="s">
        <v>998</v>
      </c>
      <c r="N854" s="174" t="s">
        <v>17</v>
      </c>
      <c r="O854" s="174" t="s">
        <v>17</v>
      </c>
      <c r="P854" s="174" t="s">
        <v>17</v>
      </c>
      <c r="Q854" s="174" t="s">
        <v>17</v>
      </c>
      <c r="R854" s="174" t="s">
        <v>17</v>
      </c>
      <c r="S854" s="174" t="s">
        <v>17</v>
      </c>
      <c r="T854" s="174" t="s">
        <v>17</v>
      </c>
      <c r="U854" s="174" t="s">
        <v>17</v>
      </c>
      <c r="V854" s="174" t="s">
        <v>17</v>
      </c>
      <c r="W854" s="18" t="s">
        <v>997</v>
      </c>
      <c r="X854" s="18" t="s">
        <v>999</v>
      </c>
      <c r="Y854" s="18" t="s">
        <v>999</v>
      </c>
      <c r="Z854" s="240"/>
      <c r="AA854" s="183"/>
      <c r="AB854" s="158" t="s">
        <v>455</v>
      </c>
      <c r="AC854" s="46"/>
      <c r="AD854" s="46"/>
      <c r="AE854" s="46"/>
      <c r="AF854" s="242">
        <v>0.0</v>
      </c>
      <c r="AG854" s="242" t="s">
        <v>354</v>
      </c>
      <c r="AH854" s="243"/>
      <c r="AI854" s="242" t="s">
        <v>354</v>
      </c>
      <c r="AJ854" s="243"/>
      <c r="AK854" s="243"/>
      <c r="AL854" s="243" t="s">
        <v>356</v>
      </c>
      <c r="AM854" s="243" t="s">
        <v>356</v>
      </c>
      <c r="AN854" s="243" t="s">
        <v>356</v>
      </c>
    </row>
    <row r="855">
      <c r="A855" s="240" t="s">
        <v>995</v>
      </c>
      <c r="B855" s="18" t="s">
        <v>996</v>
      </c>
      <c r="C855" s="46"/>
      <c r="D855" s="238" t="s">
        <v>736</v>
      </c>
      <c r="E855" s="239" t="s">
        <v>37</v>
      </c>
      <c r="F855" s="240" t="s">
        <v>67</v>
      </c>
      <c r="G855" s="255" t="s">
        <v>354</v>
      </c>
      <c r="H855" s="255" t="s">
        <v>354</v>
      </c>
      <c r="I855" s="255" t="s">
        <v>354</v>
      </c>
      <c r="J855" s="255" t="s">
        <v>354</v>
      </c>
      <c r="K855" s="255">
        <v>0.0</v>
      </c>
      <c r="L855" s="194">
        <v>1.0</v>
      </c>
      <c r="M855" s="194" t="s">
        <v>998</v>
      </c>
      <c r="N855" s="174" t="s">
        <v>17</v>
      </c>
      <c r="O855" s="174" t="s">
        <v>17</v>
      </c>
      <c r="P855" s="174" t="s">
        <v>17</v>
      </c>
      <c r="Q855" s="174" t="s">
        <v>17</v>
      </c>
      <c r="R855" s="174" t="s">
        <v>17</v>
      </c>
      <c r="S855" s="174" t="s">
        <v>17</v>
      </c>
      <c r="T855" s="174" t="s">
        <v>17</v>
      </c>
      <c r="U855" s="174" t="s">
        <v>17</v>
      </c>
      <c r="V855" s="174" t="s">
        <v>17</v>
      </c>
      <c r="W855" s="18" t="s">
        <v>997</v>
      </c>
      <c r="X855" s="18" t="s">
        <v>999</v>
      </c>
      <c r="Y855" s="18" t="s">
        <v>999</v>
      </c>
      <c r="Z855" s="18" t="s">
        <v>1000</v>
      </c>
      <c r="AA855" s="183"/>
      <c r="AB855" s="158" t="s">
        <v>1001</v>
      </c>
      <c r="AC855" s="46"/>
      <c r="AD855" s="46"/>
      <c r="AE855" s="46"/>
      <c r="AF855" s="242">
        <v>0.0</v>
      </c>
      <c r="AG855" s="255" t="s">
        <v>356</v>
      </c>
      <c r="AH855" s="183"/>
      <c r="AI855" s="255" t="s">
        <v>356</v>
      </c>
      <c r="AJ855" s="255" t="s">
        <v>356</v>
      </c>
      <c r="AK855" s="255" t="s">
        <v>356</v>
      </c>
      <c r="AL855" s="240" t="s">
        <v>356</v>
      </c>
      <c r="AM855" s="240" t="s">
        <v>356</v>
      </c>
      <c r="AN855" s="240" t="s">
        <v>356</v>
      </c>
    </row>
    <row r="856">
      <c r="A856" s="240" t="s">
        <v>995</v>
      </c>
      <c r="B856" s="18" t="s">
        <v>996</v>
      </c>
      <c r="C856" s="46"/>
      <c r="D856" s="238" t="s">
        <v>736</v>
      </c>
      <c r="E856" s="239" t="s">
        <v>37</v>
      </c>
      <c r="F856" s="240" t="s">
        <v>67</v>
      </c>
      <c r="G856" s="255" t="s">
        <v>354</v>
      </c>
      <c r="H856" s="255" t="s">
        <v>354</v>
      </c>
      <c r="I856" s="255" t="s">
        <v>354</v>
      </c>
      <c r="J856" s="255" t="s">
        <v>354</v>
      </c>
      <c r="K856" s="255">
        <v>0.0</v>
      </c>
      <c r="L856" s="194">
        <v>1.0</v>
      </c>
      <c r="M856" s="194" t="s">
        <v>998</v>
      </c>
      <c r="N856" s="174" t="s">
        <v>17</v>
      </c>
      <c r="O856" s="174" t="s">
        <v>17</v>
      </c>
      <c r="P856" s="174" t="s">
        <v>17</v>
      </c>
      <c r="Q856" s="174" t="s">
        <v>17</v>
      </c>
      <c r="R856" s="174" t="s">
        <v>17</v>
      </c>
      <c r="S856" s="174" t="s">
        <v>17</v>
      </c>
      <c r="T856" s="174" t="s">
        <v>17</v>
      </c>
      <c r="U856" s="174" t="s">
        <v>17</v>
      </c>
      <c r="V856" s="174" t="s">
        <v>17</v>
      </c>
      <c r="W856" s="18" t="s">
        <v>997</v>
      </c>
      <c r="X856" s="18" t="s">
        <v>999</v>
      </c>
      <c r="Y856" s="18" t="s">
        <v>999</v>
      </c>
      <c r="Z856" s="18" t="s">
        <v>1000</v>
      </c>
      <c r="AA856" s="18" t="s">
        <v>999</v>
      </c>
      <c r="AB856" s="158" t="s">
        <v>455</v>
      </c>
      <c r="AC856" s="46"/>
      <c r="AD856" s="46"/>
      <c r="AE856" s="46"/>
      <c r="AF856" s="244">
        <v>29.6543310182729</v>
      </c>
      <c r="AG856" s="242" t="s">
        <v>354</v>
      </c>
      <c r="AH856" s="243"/>
      <c r="AI856" s="242" t="s">
        <v>354</v>
      </c>
      <c r="AJ856" s="255"/>
      <c r="AK856" s="255"/>
      <c r="AL856" s="91" t="s">
        <v>413</v>
      </c>
      <c r="AM856" s="91" t="s">
        <v>413</v>
      </c>
      <c r="AN856" s="91" t="s">
        <v>413</v>
      </c>
    </row>
    <row r="857">
      <c r="A857" s="246" t="s">
        <v>1002</v>
      </c>
      <c r="B857" s="18" t="s">
        <v>1003</v>
      </c>
      <c r="C857" s="136"/>
      <c r="D857" s="247" t="s">
        <v>736</v>
      </c>
      <c r="E857" s="248" t="s">
        <v>62</v>
      </c>
      <c r="F857" s="246" t="s">
        <v>67</v>
      </c>
      <c r="G857" s="246">
        <v>95.0</v>
      </c>
      <c r="H857" s="246">
        <v>75.0</v>
      </c>
      <c r="I857" s="246" t="s">
        <v>354</v>
      </c>
      <c r="J857" s="249"/>
      <c r="K857" s="246">
        <v>0.0</v>
      </c>
      <c r="L857" s="246">
        <v>0.0</v>
      </c>
      <c r="M857" s="246" t="s">
        <v>354</v>
      </c>
      <c r="N857" s="174" t="s">
        <v>17</v>
      </c>
      <c r="O857" s="174" t="s">
        <v>17</v>
      </c>
      <c r="P857" s="174" t="s">
        <v>17</v>
      </c>
      <c r="Q857" s="174" t="s">
        <v>17</v>
      </c>
      <c r="R857" s="174" t="s">
        <v>17</v>
      </c>
      <c r="S857" s="174" t="s">
        <v>17</v>
      </c>
      <c r="T857" s="174" t="s">
        <v>17</v>
      </c>
      <c r="U857" s="174" t="s">
        <v>17</v>
      </c>
      <c r="V857" s="174" t="s">
        <v>17</v>
      </c>
      <c r="W857" s="18" t="s">
        <v>1004</v>
      </c>
      <c r="X857" s="249"/>
      <c r="Y857" s="249"/>
      <c r="Z857" s="249"/>
      <c r="AA857" s="249"/>
      <c r="AB857" s="246" t="s">
        <v>354</v>
      </c>
      <c r="AC857" s="183"/>
      <c r="AD857" s="183"/>
      <c r="AE857" s="183"/>
      <c r="AF857" s="246">
        <v>0.0</v>
      </c>
      <c r="AG857" s="250" t="s">
        <v>354</v>
      </c>
      <c r="AH857" s="249"/>
      <c r="AI857" s="250" t="s">
        <v>354</v>
      </c>
      <c r="AJ857" s="249"/>
      <c r="AK857" s="249"/>
      <c r="AL857" s="252" t="s">
        <v>356</v>
      </c>
      <c r="AM857" s="249" t="s">
        <v>356</v>
      </c>
      <c r="AN857" s="252" t="s">
        <v>356</v>
      </c>
    </row>
    <row r="858">
      <c r="A858" s="246" t="s">
        <v>1002</v>
      </c>
      <c r="B858" s="18" t="s">
        <v>1003</v>
      </c>
      <c r="C858" s="19"/>
      <c r="D858" s="247" t="s">
        <v>736</v>
      </c>
      <c r="E858" s="248" t="s">
        <v>37</v>
      </c>
      <c r="F858" s="246" t="s">
        <v>67</v>
      </c>
      <c r="G858" s="250" t="s">
        <v>354</v>
      </c>
      <c r="H858" s="250" t="s">
        <v>354</v>
      </c>
      <c r="I858" s="250" t="s">
        <v>354</v>
      </c>
      <c r="J858" s="250" t="s">
        <v>354</v>
      </c>
      <c r="K858" s="250">
        <v>0.0</v>
      </c>
      <c r="L858" s="41">
        <v>0.0</v>
      </c>
      <c r="M858" s="41" t="s">
        <v>354</v>
      </c>
      <c r="N858" s="174" t="s">
        <v>17</v>
      </c>
      <c r="O858" s="174" t="s">
        <v>17</v>
      </c>
      <c r="P858" s="174" t="s">
        <v>17</v>
      </c>
      <c r="Q858" s="174" t="s">
        <v>17</v>
      </c>
      <c r="R858" s="174" t="s">
        <v>17</v>
      </c>
      <c r="S858" s="174" t="s">
        <v>17</v>
      </c>
      <c r="T858" s="174" t="s">
        <v>17</v>
      </c>
      <c r="U858" s="174" t="s">
        <v>17</v>
      </c>
      <c r="V858" s="174" t="s">
        <v>17</v>
      </c>
      <c r="W858" s="18" t="s">
        <v>1004</v>
      </c>
      <c r="X858" s="18" t="s">
        <v>1005</v>
      </c>
      <c r="Y858" s="246"/>
      <c r="Z858" s="246"/>
      <c r="AA858" s="249"/>
      <c r="AB858" s="184" t="s">
        <v>371</v>
      </c>
      <c r="AC858" s="19"/>
      <c r="AD858" s="19"/>
      <c r="AE858" s="19"/>
      <c r="AF858" s="246">
        <v>0.0</v>
      </c>
      <c r="AG858" s="250" t="s">
        <v>354</v>
      </c>
      <c r="AH858" s="249"/>
      <c r="AI858" s="250" t="s">
        <v>354</v>
      </c>
      <c r="AJ858" s="249"/>
      <c r="AK858" s="249"/>
      <c r="AL858" s="252" t="s">
        <v>356</v>
      </c>
      <c r="AM858" s="249" t="s">
        <v>356</v>
      </c>
      <c r="AN858" s="252" t="s">
        <v>356</v>
      </c>
    </row>
    <row r="859">
      <c r="A859" s="246" t="s">
        <v>1002</v>
      </c>
      <c r="B859" s="18" t="s">
        <v>1003</v>
      </c>
      <c r="C859" s="19"/>
      <c r="D859" s="247" t="s">
        <v>736</v>
      </c>
      <c r="E859" s="248" t="s">
        <v>37</v>
      </c>
      <c r="F859" s="246" t="s">
        <v>67</v>
      </c>
      <c r="G859" s="250" t="s">
        <v>354</v>
      </c>
      <c r="H859" s="250" t="s">
        <v>354</v>
      </c>
      <c r="I859" s="250" t="s">
        <v>354</v>
      </c>
      <c r="J859" s="250" t="s">
        <v>354</v>
      </c>
      <c r="K859" s="250">
        <v>0.0</v>
      </c>
      <c r="L859" s="41">
        <v>0.0</v>
      </c>
      <c r="M859" s="41" t="s">
        <v>354</v>
      </c>
      <c r="N859" s="174" t="s">
        <v>17</v>
      </c>
      <c r="O859" s="174" t="s">
        <v>17</v>
      </c>
      <c r="P859" s="174" t="s">
        <v>17</v>
      </c>
      <c r="Q859" s="174" t="s">
        <v>17</v>
      </c>
      <c r="R859" s="174" t="s">
        <v>17</v>
      </c>
      <c r="S859" s="174" t="s">
        <v>17</v>
      </c>
      <c r="T859" s="174" t="s">
        <v>17</v>
      </c>
      <c r="U859" s="174" t="s">
        <v>17</v>
      </c>
      <c r="V859" s="174" t="s">
        <v>17</v>
      </c>
      <c r="W859" s="18" t="s">
        <v>1004</v>
      </c>
      <c r="X859" s="18" t="s">
        <v>1005</v>
      </c>
      <c r="Y859" s="18" t="s">
        <v>1005</v>
      </c>
      <c r="Z859" s="246"/>
      <c r="AA859" s="249"/>
      <c r="AB859" s="184" t="s">
        <v>1006</v>
      </c>
      <c r="AC859" s="19"/>
      <c r="AD859" s="19"/>
      <c r="AE859" s="19"/>
      <c r="AF859" s="246">
        <v>0.0</v>
      </c>
      <c r="AG859" s="250" t="s">
        <v>354</v>
      </c>
      <c r="AH859" s="249"/>
      <c r="AI859" s="250" t="s">
        <v>354</v>
      </c>
      <c r="AJ859" s="249"/>
      <c r="AK859" s="249"/>
      <c r="AL859" s="252" t="s">
        <v>356</v>
      </c>
      <c r="AM859" s="249" t="s">
        <v>356</v>
      </c>
      <c r="AN859" s="252" t="s">
        <v>356</v>
      </c>
    </row>
    <row r="860">
      <c r="A860" s="246" t="s">
        <v>1002</v>
      </c>
      <c r="B860" s="18" t="s">
        <v>1003</v>
      </c>
      <c r="C860" s="19"/>
      <c r="D860" s="247" t="s">
        <v>736</v>
      </c>
      <c r="E860" s="248" t="s">
        <v>37</v>
      </c>
      <c r="F860" s="246" t="s">
        <v>67</v>
      </c>
      <c r="G860" s="250" t="s">
        <v>354</v>
      </c>
      <c r="H860" s="250" t="s">
        <v>354</v>
      </c>
      <c r="I860" s="250" t="s">
        <v>354</v>
      </c>
      <c r="J860" s="250" t="s">
        <v>354</v>
      </c>
      <c r="K860" s="250">
        <v>0.0</v>
      </c>
      <c r="L860" s="41">
        <v>0.0</v>
      </c>
      <c r="M860" s="41" t="s">
        <v>354</v>
      </c>
      <c r="N860" s="174" t="s">
        <v>17</v>
      </c>
      <c r="O860" s="174" t="s">
        <v>17</v>
      </c>
      <c r="P860" s="174" t="s">
        <v>17</v>
      </c>
      <c r="Q860" s="174" t="s">
        <v>17</v>
      </c>
      <c r="R860" s="174" t="s">
        <v>17</v>
      </c>
      <c r="S860" s="174" t="s">
        <v>17</v>
      </c>
      <c r="T860" s="174" t="s">
        <v>17</v>
      </c>
      <c r="U860" s="174" t="s">
        <v>17</v>
      </c>
      <c r="V860" s="174" t="s">
        <v>17</v>
      </c>
      <c r="W860" s="18" t="s">
        <v>1004</v>
      </c>
      <c r="X860" s="18" t="s">
        <v>1005</v>
      </c>
      <c r="Y860" s="18" t="s">
        <v>1005</v>
      </c>
      <c r="Z860" s="18" t="s">
        <v>1007</v>
      </c>
      <c r="AA860" s="249"/>
      <c r="AB860" s="184" t="s">
        <v>371</v>
      </c>
      <c r="AC860" s="19"/>
      <c r="AD860" s="19"/>
      <c r="AE860" s="19"/>
      <c r="AF860" s="246">
        <v>0.0</v>
      </c>
      <c r="AG860" s="250" t="s">
        <v>356</v>
      </c>
      <c r="AH860" s="249"/>
      <c r="AI860" s="250" t="s">
        <v>356</v>
      </c>
      <c r="AJ860" s="250" t="s">
        <v>356</v>
      </c>
      <c r="AK860" s="250" t="s">
        <v>356</v>
      </c>
      <c r="AL860" s="246" t="s">
        <v>356</v>
      </c>
      <c r="AM860" s="267" t="s">
        <v>361</v>
      </c>
      <c r="AN860" s="246" t="s">
        <v>356</v>
      </c>
    </row>
    <row r="861">
      <c r="A861" s="246" t="s">
        <v>1002</v>
      </c>
      <c r="B861" s="18" t="s">
        <v>1003</v>
      </c>
      <c r="C861" s="19"/>
      <c r="D861" s="247" t="s">
        <v>736</v>
      </c>
      <c r="E861" s="248" t="s">
        <v>37</v>
      </c>
      <c r="F861" s="246" t="s">
        <v>67</v>
      </c>
      <c r="G861" s="250" t="s">
        <v>354</v>
      </c>
      <c r="H861" s="250" t="s">
        <v>354</v>
      </c>
      <c r="I861" s="250" t="s">
        <v>354</v>
      </c>
      <c r="J861" s="250" t="s">
        <v>354</v>
      </c>
      <c r="K861" s="250">
        <v>0.0</v>
      </c>
      <c r="L861" s="41">
        <v>0.0</v>
      </c>
      <c r="M861" s="41" t="s">
        <v>354</v>
      </c>
      <c r="N861" s="174" t="s">
        <v>17</v>
      </c>
      <c r="O861" s="174" t="s">
        <v>17</v>
      </c>
      <c r="P861" s="174" t="s">
        <v>17</v>
      </c>
      <c r="Q861" s="174" t="s">
        <v>17</v>
      </c>
      <c r="R861" s="174" t="s">
        <v>17</v>
      </c>
      <c r="S861" s="174" t="s">
        <v>17</v>
      </c>
      <c r="T861" s="174" t="s">
        <v>17</v>
      </c>
      <c r="U861" s="174" t="s">
        <v>17</v>
      </c>
      <c r="V861" s="174" t="s">
        <v>17</v>
      </c>
      <c r="W861" s="18" t="s">
        <v>1004</v>
      </c>
      <c r="X861" s="18" t="s">
        <v>1005</v>
      </c>
      <c r="Y861" s="18" t="s">
        <v>1005</v>
      </c>
      <c r="Z861" s="18" t="s">
        <v>1007</v>
      </c>
      <c r="AA861" s="18" t="s">
        <v>1005</v>
      </c>
      <c r="AB861" s="184" t="s">
        <v>371</v>
      </c>
      <c r="AC861" s="19"/>
      <c r="AD861" s="19"/>
      <c r="AE861" s="19"/>
      <c r="AF861" s="246">
        <v>0.0</v>
      </c>
      <c r="AG861" s="250" t="s">
        <v>354</v>
      </c>
      <c r="AH861" s="249"/>
      <c r="AI861" s="250" t="s">
        <v>354</v>
      </c>
      <c r="AJ861" s="249"/>
      <c r="AK861" s="249"/>
      <c r="AL861" s="252" t="s">
        <v>356</v>
      </c>
      <c r="AM861" s="249" t="s">
        <v>356</v>
      </c>
      <c r="AN861" s="252" t="s">
        <v>356</v>
      </c>
    </row>
    <row r="862">
      <c r="A862" s="240" t="s">
        <v>1008</v>
      </c>
      <c r="B862" s="18" t="s">
        <v>1009</v>
      </c>
      <c r="C862" s="136"/>
      <c r="D862" s="238" t="s">
        <v>736</v>
      </c>
      <c r="E862" s="239" t="s">
        <v>62</v>
      </c>
      <c r="F862" s="240" t="s">
        <v>8</v>
      </c>
      <c r="G862" s="240" t="s">
        <v>354</v>
      </c>
      <c r="H862" s="240" t="s">
        <v>354</v>
      </c>
      <c r="I862" s="240" t="s">
        <v>354</v>
      </c>
      <c r="J862" s="183"/>
      <c r="K862" s="240" t="s">
        <v>354</v>
      </c>
      <c r="L862" s="240">
        <v>0.0</v>
      </c>
      <c r="M862" s="240" t="s">
        <v>354</v>
      </c>
      <c r="N862" s="174" t="s">
        <v>17</v>
      </c>
      <c r="O862" s="174" t="s">
        <v>17</v>
      </c>
      <c r="P862" s="174" t="s">
        <v>17</v>
      </c>
      <c r="Q862" s="174" t="s">
        <v>17</v>
      </c>
      <c r="R862" s="174" t="s">
        <v>17</v>
      </c>
      <c r="S862" s="174" t="s">
        <v>17</v>
      </c>
      <c r="T862" s="174" t="s">
        <v>17</v>
      </c>
      <c r="U862" s="174" t="s">
        <v>17</v>
      </c>
      <c r="V862" s="174" t="s">
        <v>17</v>
      </c>
      <c r="W862" s="18" t="s">
        <v>1010</v>
      </c>
      <c r="X862" s="183"/>
      <c r="Y862" s="183"/>
      <c r="Z862" s="183"/>
      <c r="AA862" s="183"/>
      <c r="AB862" s="240" t="s">
        <v>354</v>
      </c>
      <c r="AC862" s="183"/>
      <c r="AD862" s="183"/>
      <c r="AE862" s="183"/>
      <c r="AF862" s="242">
        <v>0.0</v>
      </c>
      <c r="AG862" s="242" t="s">
        <v>354</v>
      </c>
      <c r="AH862" s="243"/>
      <c r="AI862" s="242" t="s">
        <v>354</v>
      </c>
      <c r="AJ862" s="243"/>
      <c r="AK862" s="243"/>
      <c r="AL862" s="243" t="s">
        <v>356</v>
      </c>
      <c r="AM862" s="243" t="s">
        <v>356</v>
      </c>
      <c r="AN862" s="243" t="s">
        <v>356</v>
      </c>
    </row>
    <row r="863">
      <c r="A863" s="240" t="s">
        <v>1008</v>
      </c>
      <c r="B863" s="18" t="s">
        <v>1009</v>
      </c>
      <c r="C863" s="46"/>
      <c r="D863" s="238" t="s">
        <v>736</v>
      </c>
      <c r="E863" s="239" t="s">
        <v>37</v>
      </c>
      <c r="F863" s="240" t="s">
        <v>8</v>
      </c>
      <c r="G863" s="255" t="s">
        <v>354</v>
      </c>
      <c r="H863" s="255" t="s">
        <v>354</v>
      </c>
      <c r="I863" s="255" t="s">
        <v>354</v>
      </c>
      <c r="J863" s="183"/>
      <c r="K863" s="240" t="s">
        <v>354</v>
      </c>
      <c r="L863" s="41">
        <v>0.0</v>
      </c>
      <c r="M863" s="41" t="s">
        <v>354</v>
      </c>
      <c r="N863" s="174" t="s">
        <v>17</v>
      </c>
      <c r="O863" s="174" t="s">
        <v>17</v>
      </c>
      <c r="P863" s="174" t="s">
        <v>17</v>
      </c>
      <c r="Q863" s="174" t="s">
        <v>17</v>
      </c>
      <c r="R863" s="174" t="s">
        <v>17</v>
      </c>
      <c r="S863" s="174" t="s">
        <v>17</v>
      </c>
      <c r="T863" s="174" t="s">
        <v>17</v>
      </c>
      <c r="U863" s="174" t="s">
        <v>17</v>
      </c>
      <c r="V863" s="174" t="s">
        <v>17</v>
      </c>
      <c r="W863" s="18" t="s">
        <v>1010</v>
      </c>
      <c r="X863" s="18" t="s">
        <v>1011</v>
      </c>
      <c r="Y863" s="44" t="s">
        <v>373</v>
      </c>
      <c r="Z863" s="240"/>
      <c r="AA863" s="183"/>
      <c r="AB863" s="184" t="s">
        <v>371</v>
      </c>
      <c r="AC863" s="46"/>
      <c r="AD863" s="46"/>
      <c r="AE863" s="46"/>
      <c r="AF863" s="242">
        <v>0.0</v>
      </c>
      <c r="AG863" s="242" t="s">
        <v>354</v>
      </c>
      <c r="AH863" s="243"/>
      <c r="AI863" s="242" t="s">
        <v>354</v>
      </c>
      <c r="AJ863" s="243"/>
      <c r="AK863" s="243"/>
      <c r="AL863" s="243" t="s">
        <v>356</v>
      </c>
      <c r="AM863" s="243" t="s">
        <v>356</v>
      </c>
      <c r="AN863" s="243" t="s">
        <v>356</v>
      </c>
    </row>
    <row r="864">
      <c r="A864" s="240" t="s">
        <v>1008</v>
      </c>
      <c r="B864" s="18" t="s">
        <v>1009</v>
      </c>
      <c r="C864" s="46"/>
      <c r="D864" s="238" t="s">
        <v>736</v>
      </c>
      <c r="E864" s="239" t="s">
        <v>37</v>
      </c>
      <c r="F864" s="240" t="s">
        <v>8</v>
      </c>
      <c r="G864" s="255" t="s">
        <v>354</v>
      </c>
      <c r="H864" s="255" t="s">
        <v>354</v>
      </c>
      <c r="I864" s="255" t="s">
        <v>354</v>
      </c>
      <c r="J864" s="183"/>
      <c r="K864" s="240" t="s">
        <v>354</v>
      </c>
      <c r="L864" s="41">
        <v>0.0</v>
      </c>
      <c r="M864" s="41" t="s">
        <v>354</v>
      </c>
      <c r="N864" s="174" t="s">
        <v>17</v>
      </c>
      <c r="O864" s="174" t="s">
        <v>17</v>
      </c>
      <c r="P864" s="174" t="s">
        <v>17</v>
      </c>
      <c r="Q864" s="174" t="s">
        <v>17</v>
      </c>
      <c r="R864" s="174" t="s">
        <v>17</v>
      </c>
      <c r="S864" s="174" t="s">
        <v>17</v>
      </c>
      <c r="T864" s="174" t="s">
        <v>17</v>
      </c>
      <c r="U864" s="174" t="s">
        <v>17</v>
      </c>
      <c r="V864" s="174" t="s">
        <v>17</v>
      </c>
      <c r="W864" s="18" t="s">
        <v>1010</v>
      </c>
      <c r="X864" s="18" t="s">
        <v>1011</v>
      </c>
      <c r="Y864" s="44" t="s">
        <v>373</v>
      </c>
      <c r="Z864" s="18" t="s">
        <v>1012</v>
      </c>
      <c r="AA864" s="183"/>
      <c r="AB864" s="184" t="s">
        <v>371</v>
      </c>
      <c r="AC864" s="46"/>
      <c r="AD864" s="46"/>
      <c r="AE864" s="46"/>
      <c r="AF864" s="240">
        <v>0.0</v>
      </c>
      <c r="AG864" s="255" t="s">
        <v>356</v>
      </c>
      <c r="AH864" s="183"/>
      <c r="AI864" s="255" t="s">
        <v>356</v>
      </c>
      <c r="AJ864" s="255" t="s">
        <v>356</v>
      </c>
      <c r="AK864" s="255" t="s">
        <v>356</v>
      </c>
      <c r="AL864" s="240" t="s">
        <v>356</v>
      </c>
      <c r="AM864" s="245" t="s">
        <v>361</v>
      </c>
      <c r="AN864" s="240" t="s">
        <v>356</v>
      </c>
    </row>
    <row r="865">
      <c r="A865" s="240" t="s">
        <v>1008</v>
      </c>
      <c r="B865" s="18" t="s">
        <v>1009</v>
      </c>
      <c r="C865" s="46"/>
      <c r="D865" s="238" t="s">
        <v>736</v>
      </c>
      <c r="E865" s="239" t="s">
        <v>37</v>
      </c>
      <c r="F865" s="240" t="s">
        <v>8</v>
      </c>
      <c r="G865" s="255" t="s">
        <v>354</v>
      </c>
      <c r="H865" s="255" t="s">
        <v>354</v>
      </c>
      <c r="I865" s="255" t="s">
        <v>354</v>
      </c>
      <c r="J865" s="183"/>
      <c r="K865" s="240" t="s">
        <v>354</v>
      </c>
      <c r="L865" s="41">
        <v>0.0</v>
      </c>
      <c r="M865" s="41" t="s">
        <v>354</v>
      </c>
      <c r="N865" s="174" t="s">
        <v>17</v>
      </c>
      <c r="O865" s="174" t="s">
        <v>17</v>
      </c>
      <c r="P865" s="174" t="s">
        <v>17</v>
      </c>
      <c r="Q865" s="174" t="s">
        <v>17</v>
      </c>
      <c r="R865" s="174" t="s">
        <v>17</v>
      </c>
      <c r="S865" s="174" t="s">
        <v>17</v>
      </c>
      <c r="T865" s="174" t="s">
        <v>17</v>
      </c>
      <c r="U865" s="174" t="s">
        <v>17</v>
      </c>
      <c r="V865" s="174" t="s">
        <v>17</v>
      </c>
      <c r="W865" s="18" t="s">
        <v>1010</v>
      </c>
      <c r="X865" s="18" t="s">
        <v>1011</v>
      </c>
      <c r="Y865" s="44" t="s">
        <v>373</v>
      </c>
      <c r="Z865" s="18" t="s">
        <v>1012</v>
      </c>
      <c r="AA865" s="18" t="s">
        <v>1011</v>
      </c>
      <c r="AB865" s="184" t="s">
        <v>371</v>
      </c>
      <c r="AC865" s="46"/>
      <c r="AD865" s="46"/>
      <c r="AE865" s="46"/>
      <c r="AF865" s="242">
        <v>0.0</v>
      </c>
      <c r="AG865" s="242" t="s">
        <v>354</v>
      </c>
      <c r="AH865" s="243"/>
      <c r="AI865" s="242" t="s">
        <v>354</v>
      </c>
      <c r="AJ865" s="243"/>
      <c r="AK865" s="243"/>
      <c r="AL865" s="243" t="s">
        <v>356</v>
      </c>
      <c r="AM865" s="245" t="s">
        <v>361</v>
      </c>
      <c r="AN865" s="243" t="s">
        <v>356</v>
      </c>
    </row>
    <row r="866">
      <c r="A866" s="246" t="s">
        <v>1013</v>
      </c>
      <c r="B866" s="18" t="s">
        <v>1014</v>
      </c>
      <c r="C866" s="136"/>
      <c r="D866" s="247" t="s">
        <v>736</v>
      </c>
      <c r="E866" s="248" t="s">
        <v>62</v>
      </c>
      <c r="F866" s="246" t="s">
        <v>67</v>
      </c>
      <c r="G866" s="246">
        <v>95.0</v>
      </c>
      <c r="H866" s="246">
        <v>100.0</v>
      </c>
      <c r="I866" s="250" t="s">
        <v>354</v>
      </c>
      <c r="J866" s="249"/>
      <c r="K866" s="250">
        <v>0.0</v>
      </c>
      <c r="L866" s="250">
        <v>0.0</v>
      </c>
      <c r="M866" s="250" t="s">
        <v>354</v>
      </c>
      <c r="N866" s="174" t="s">
        <v>17</v>
      </c>
      <c r="O866" s="174" t="s">
        <v>17</v>
      </c>
      <c r="P866" s="174" t="s">
        <v>17</v>
      </c>
      <c r="Q866" s="174" t="s">
        <v>17</v>
      </c>
      <c r="R866" s="174" t="s">
        <v>17</v>
      </c>
      <c r="S866" s="174" t="s">
        <v>17</v>
      </c>
      <c r="T866" s="174" t="s">
        <v>17</v>
      </c>
      <c r="U866" s="174" t="s">
        <v>17</v>
      </c>
      <c r="V866" s="174" t="s">
        <v>17</v>
      </c>
      <c r="W866" s="18" t="s">
        <v>1015</v>
      </c>
      <c r="X866" s="249"/>
      <c r="Y866" s="249"/>
      <c r="Z866" s="249"/>
      <c r="AA866" s="249"/>
      <c r="AB866" s="246" t="s">
        <v>354</v>
      </c>
      <c r="AC866" s="183"/>
      <c r="AD866" s="183"/>
      <c r="AE866" s="183"/>
      <c r="AF866" s="246">
        <v>0.0</v>
      </c>
      <c r="AG866" s="250" t="s">
        <v>354</v>
      </c>
      <c r="AH866" s="249"/>
      <c r="AI866" s="250" t="s">
        <v>354</v>
      </c>
      <c r="AJ866" s="249"/>
      <c r="AK866" s="249"/>
      <c r="AL866" s="252" t="s">
        <v>356</v>
      </c>
      <c r="AM866" s="249" t="s">
        <v>356</v>
      </c>
      <c r="AN866" s="252" t="s">
        <v>356</v>
      </c>
    </row>
    <row r="867">
      <c r="A867" s="246" t="s">
        <v>1013</v>
      </c>
      <c r="B867" s="18" t="s">
        <v>1014</v>
      </c>
      <c r="C867" s="19"/>
      <c r="D867" s="247" t="s">
        <v>736</v>
      </c>
      <c r="E867" s="248" t="s">
        <v>37</v>
      </c>
      <c r="F867" s="246" t="s">
        <v>67</v>
      </c>
      <c r="G867" s="250" t="s">
        <v>354</v>
      </c>
      <c r="H867" s="250" t="s">
        <v>354</v>
      </c>
      <c r="I867" s="250" t="s">
        <v>354</v>
      </c>
      <c r="J867" s="249"/>
      <c r="K867" s="246">
        <v>0.0</v>
      </c>
      <c r="L867" s="41">
        <v>0.0</v>
      </c>
      <c r="M867" s="41" t="s">
        <v>354</v>
      </c>
      <c r="N867" s="174" t="s">
        <v>17</v>
      </c>
      <c r="O867" s="174" t="s">
        <v>17</v>
      </c>
      <c r="P867" s="174" t="s">
        <v>17</v>
      </c>
      <c r="Q867" s="174" t="s">
        <v>17</v>
      </c>
      <c r="R867" s="174" t="s">
        <v>17</v>
      </c>
      <c r="S867" s="174" t="s">
        <v>17</v>
      </c>
      <c r="T867" s="174" t="s">
        <v>17</v>
      </c>
      <c r="U867" s="174" t="s">
        <v>17</v>
      </c>
      <c r="V867" s="174" t="s">
        <v>17</v>
      </c>
      <c r="W867" s="18" t="s">
        <v>1015</v>
      </c>
      <c r="X867" s="18" t="s">
        <v>1016</v>
      </c>
      <c r="Y867" s="246"/>
      <c r="Z867" s="246"/>
      <c r="AA867" s="249"/>
      <c r="AB867" s="184" t="s">
        <v>371</v>
      </c>
      <c r="AC867" s="19"/>
      <c r="AD867" s="19"/>
      <c r="AE867" s="19"/>
      <c r="AF867" s="246">
        <v>0.0</v>
      </c>
      <c r="AG867" s="250" t="s">
        <v>354</v>
      </c>
      <c r="AH867" s="249"/>
      <c r="AI867" s="250" t="s">
        <v>354</v>
      </c>
      <c r="AJ867" s="249"/>
      <c r="AK867" s="249"/>
      <c r="AL867" s="252" t="s">
        <v>356</v>
      </c>
      <c r="AM867" s="249" t="s">
        <v>356</v>
      </c>
      <c r="AN867" s="252" t="s">
        <v>356</v>
      </c>
    </row>
    <row r="868">
      <c r="A868" s="246" t="s">
        <v>1013</v>
      </c>
      <c r="B868" s="18" t="s">
        <v>1014</v>
      </c>
      <c r="C868" s="19"/>
      <c r="D868" s="247" t="s">
        <v>736</v>
      </c>
      <c r="E868" s="248" t="s">
        <v>37</v>
      </c>
      <c r="F868" s="246" t="s">
        <v>67</v>
      </c>
      <c r="G868" s="250" t="s">
        <v>354</v>
      </c>
      <c r="H868" s="250" t="s">
        <v>354</v>
      </c>
      <c r="I868" s="250" t="s">
        <v>354</v>
      </c>
      <c r="J868" s="250" t="s">
        <v>354</v>
      </c>
      <c r="K868" s="250">
        <v>0.0</v>
      </c>
      <c r="L868" s="41">
        <v>0.0</v>
      </c>
      <c r="M868" s="41" t="s">
        <v>354</v>
      </c>
      <c r="N868" s="174" t="s">
        <v>17</v>
      </c>
      <c r="O868" s="174" t="s">
        <v>17</v>
      </c>
      <c r="P868" s="174" t="s">
        <v>17</v>
      </c>
      <c r="Q868" s="174" t="s">
        <v>17</v>
      </c>
      <c r="R868" s="174" t="s">
        <v>17</v>
      </c>
      <c r="S868" s="174" t="s">
        <v>17</v>
      </c>
      <c r="T868" s="174" t="s">
        <v>17</v>
      </c>
      <c r="U868" s="174" t="s">
        <v>17</v>
      </c>
      <c r="V868" s="174" t="s">
        <v>17</v>
      </c>
      <c r="W868" s="18" t="s">
        <v>1015</v>
      </c>
      <c r="X868" s="18" t="s">
        <v>1016</v>
      </c>
      <c r="Y868" s="18" t="s">
        <v>1017</v>
      </c>
      <c r="Z868" s="246"/>
      <c r="AA868" s="249"/>
      <c r="AB868" s="184" t="s">
        <v>371</v>
      </c>
      <c r="AC868" s="19"/>
      <c r="AD868" s="19"/>
      <c r="AE868" s="19"/>
      <c r="AF868" s="253">
        <v>34.2646640220244</v>
      </c>
      <c r="AG868" s="250" t="s">
        <v>354</v>
      </c>
      <c r="AH868" s="249"/>
      <c r="AI868" s="250" t="s">
        <v>354</v>
      </c>
      <c r="AJ868" s="249"/>
      <c r="AK868" s="249"/>
      <c r="AL868" s="252" t="s">
        <v>356</v>
      </c>
      <c r="AM868" s="249" t="s">
        <v>356</v>
      </c>
      <c r="AN868" s="252" t="s">
        <v>356</v>
      </c>
    </row>
    <row r="869">
      <c r="A869" s="246" t="s">
        <v>1013</v>
      </c>
      <c r="B869" s="18" t="s">
        <v>1014</v>
      </c>
      <c r="C869" s="19"/>
      <c r="D869" s="247" t="s">
        <v>736</v>
      </c>
      <c r="E869" s="248" t="s">
        <v>37</v>
      </c>
      <c r="F869" s="246" t="s">
        <v>67</v>
      </c>
      <c r="G869" s="250" t="s">
        <v>354</v>
      </c>
      <c r="H869" s="250" t="s">
        <v>354</v>
      </c>
      <c r="I869" s="250" t="s">
        <v>354</v>
      </c>
      <c r="J869" s="250" t="s">
        <v>354</v>
      </c>
      <c r="K869" s="250">
        <v>0.0</v>
      </c>
      <c r="L869" s="41">
        <v>0.0</v>
      </c>
      <c r="M869" s="41" t="s">
        <v>354</v>
      </c>
      <c r="N869" s="174" t="s">
        <v>17</v>
      </c>
      <c r="O869" s="174" t="s">
        <v>17</v>
      </c>
      <c r="P869" s="174" t="s">
        <v>17</v>
      </c>
      <c r="Q869" s="174" t="s">
        <v>17</v>
      </c>
      <c r="R869" s="174" t="s">
        <v>17</v>
      </c>
      <c r="S869" s="174" t="s">
        <v>17</v>
      </c>
      <c r="T869" s="174" t="s">
        <v>17</v>
      </c>
      <c r="U869" s="174" t="s">
        <v>17</v>
      </c>
      <c r="V869" s="174" t="s">
        <v>17</v>
      </c>
      <c r="W869" s="18" t="s">
        <v>1015</v>
      </c>
      <c r="X869" s="18" t="s">
        <v>1016</v>
      </c>
      <c r="Y869" s="18" t="s">
        <v>1017</v>
      </c>
      <c r="Z869" s="18">
        <v>6698.0</v>
      </c>
      <c r="AA869" s="249"/>
      <c r="AB869" s="184" t="s">
        <v>371</v>
      </c>
      <c r="AC869" s="19"/>
      <c r="AD869" s="19"/>
      <c r="AE869" s="19"/>
      <c r="AF869" s="246">
        <v>0.0</v>
      </c>
      <c r="AG869" s="250" t="s">
        <v>356</v>
      </c>
      <c r="AH869" s="249"/>
      <c r="AI869" s="250" t="s">
        <v>356</v>
      </c>
      <c r="AJ869" s="250" t="s">
        <v>356</v>
      </c>
      <c r="AK869" s="250" t="s">
        <v>356</v>
      </c>
      <c r="AL869" s="246" t="s">
        <v>356</v>
      </c>
      <c r="AM869" s="267" t="s">
        <v>361</v>
      </c>
      <c r="AN869" s="246" t="s">
        <v>356</v>
      </c>
    </row>
    <row r="870">
      <c r="A870" s="246" t="s">
        <v>1013</v>
      </c>
      <c r="B870" s="18" t="s">
        <v>1014</v>
      </c>
      <c r="C870" s="19"/>
      <c r="D870" s="247" t="s">
        <v>736</v>
      </c>
      <c r="E870" s="248" t="s">
        <v>37</v>
      </c>
      <c r="F870" s="246" t="s">
        <v>67</v>
      </c>
      <c r="G870" s="250" t="s">
        <v>354</v>
      </c>
      <c r="H870" s="250" t="s">
        <v>354</v>
      </c>
      <c r="I870" s="250" t="s">
        <v>354</v>
      </c>
      <c r="J870" s="250" t="s">
        <v>354</v>
      </c>
      <c r="K870" s="250">
        <v>0.0</v>
      </c>
      <c r="L870" s="41">
        <v>0.0</v>
      </c>
      <c r="M870" s="41" t="s">
        <v>354</v>
      </c>
      <c r="N870" s="174" t="s">
        <v>17</v>
      </c>
      <c r="O870" s="174" t="s">
        <v>17</v>
      </c>
      <c r="P870" s="174" t="s">
        <v>17</v>
      </c>
      <c r="Q870" s="174" t="s">
        <v>17</v>
      </c>
      <c r="R870" s="174" t="s">
        <v>17</v>
      </c>
      <c r="S870" s="174" t="s">
        <v>17</v>
      </c>
      <c r="T870" s="174" t="s">
        <v>17</v>
      </c>
      <c r="U870" s="174" t="s">
        <v>17</v>
      </c>
      <c r="V870" s="174" t="s">
        <v>17</v>
      </c>
      <c r="W870" s="18" t="s">
        <v>1015</v>
      </c>
      <c r="X870" s="18" t="s">
        <v>1016</v>
      </c>
      <c r="Y870" s="18" t="s">
        <v>1017</v>
      </c>
      <c r="Z870" s="18">
        <v>6698.0</v>
      </c>
      <c r="AA870" s="130">
        <v>6698.0</v>
      </c>
      <c r="AB870" s="184" t="s">
        <v>371</v>
      </c>
      <c r="AC870" s="19"/>
      <c r="AD870" s="19"/>
      <c r="AE870" s="19"/>
      <c r="AF870" s="246">
        <v>0.0</v>
      </c>
      <c r="AG870" s="250" t="s">
        <v>354</v>
      </c>
      <c r="AH870" s="249"/>
      <c r="AI870" s="250" t="s">
        <v>354</v>
      </c>
      <c r="AJ870" s="249"/>
      <c r="AK870" s="249"/>
      <c r="AL870" s="252" t="s">
        <v>356</v>
      </c>
      <c r="AM870" s="249" t="s">
        <v>356</v>
      </c>
      <c r="AN870" s="252" t="s">
        <v>356</v>
      </c>
    </row>
    <row r="871">
      <c r="A871" s="240" t="s">
        <v>1018</v>
      </c>
      <c r="B871" s="18" t="s">
        <v>1019</v>
      </c>
      <c r="C871" s="136"/>
      <c r="D871" s="238" t="s">
        <v>736</v>
      </c>
      <c r="E871" s="239" t="s">
        <v>62</v>
      </c>
      <c r="F871" s="240" t="s">
        <v>8</v>
      </c>
      <c r="G871" s="240">
        <v>86.0</v>
      </c>
      <c r="H871" s="240">
        <v>50.0</v>
      </c>
      <c r="I871" s="240" t="s">
        <v>354</v>
      </c>
      <c r="J871" s="183"/>
      <c r="K871" s="240" t="s">
        <v>354</v>
      </c>
      <c r="L871" s="240">
        <v>0.0</v>
      </c>
      <c r="M871" s="240" t="s">
        <v>354</v>
      </c>
      <c r="N871" s="174" t="s">
        <v>17</v>
      </c>
      <c r="O871" s="174" t="s">
        <v>17</v>
      </c>
      <c r="P871" s="174" t="s">
        <v>17</v>
      </c>
      <c r="Q871" s="174" t="s">
        <v>17</v>
      </c>
      <c r="R871" s="174" t="s">
        <v>17</v>
      </c>
      <c r="S871" s="174" t="s">
        <v>17</v>
      </c>
      <c r="T871" s="174" t="s">
        <v>17</v>
      </c>
      <c r="U871" s="174" t="s">
        <v>17</v>
      </c>
      <c r="V871" s="174" t="s">
        <v>17</v>
      </c>
      <c r="W871" s="18" t="s">
        <v>1020</v>
      </c>
      <c r="X871" s="183"/>
      <c r="Y871" s="183"/>
      <c r="Z871" s="183"/>
      <c r="AA871" s="183"/>
      <c r="AB871" s="255" t="s">
        <v>354</v>
      </c>
      <c r="AC871" s="183"/>
      <c r="AD871" s="183"/>
      <c r="AE871" s="183"/>
      <c r="AF871" s="240">
        <v>0.0</v>
      </c>
      <c r="AG871" s="183"/>
      <c r="AH871" s="183"/>
      <c r="AI871" s="240" t="s">
        <v>354</v>
      </c>
      <c r="AJ871" s="183"/>
      <c r="AK871" s="183"/>
      <c r="AL871" s="240" t="s">
        <v>356</v>
      </c>
      <c r="AM871" s="240" t="s">
        <v>356</v>
      </c>
      <c r="AN871" s="245" t="s">
        <v>1021</v>
      </c>
    </row>
    <row r="872">
      <c r="A872" s="240" t="s">
        <v>1018</v>
      </c>
      <c r="B872" s="18" t="s">
        <v>1019</v>
      </c>
      <c r="C872" s="136"/>
      <c r="D872" s="238" t="s">
        <v>736</v>
      </c>
      <c r="E872" s="239" t="s">
        <v>37</v>
      </c>
      <c r="F872" s="240" t="s">
        <v>8</v>
      </c>
      <c r="G872" s="255" t="s">
        <v>354</v>
      </c>
      <c r="H872" s="255" t="s">
        <v>354</v>
      </c>
      <c r="I872" s="255" t="s">
        <v>354</v>
      </c>
      <c r="J872" s="255" t="s">
        <v>354</v>
      </c>
      <c r="K872" s="255" t="s">
        <v>354</v>
      </c>
      <c r="L872" s="41">
        <v>0.0</v>
      </c>
      <c r="M872" s="41" t="s">
        <v>354</v>
      </c>
      <c r="N872" s="174" t="s">
        <v>17</v>
      </c>
      <c r="O872" s="174" t="s">
        <v>17</v>
      </c>
      <c r="P872" s="174" t="s">
        <v>17</v>
      </c>
      <c r="Q872" s="174" t="s">
        <v>17</v>
      </c>
      <c r="R872" s="174" t="s">
        <v>17</v>
      </c>
      <c r="S872" s="174" t="s">
        <v>17</v>
      </c>
      <c r="T872" s="174" t="s">
        <v>17</v>
      </c>
      <c r="U872" s="174" t="s">
        <v>17</v>
      </c>
      <c r="V872" s="174" t="s">
        <v>17</v>
      </c>
      <c r="W872" s="18" t="s">
        <v>1020</v>
      </c>
      <c r="X872" s="18">
        <v>7158.0</v>
      </c>
      <c r="Y872" s="183"/>
      <c r="Z872" s="183"/>
      <c r="AA872" s="183"/>
      <c r="AB872" s="184" t="s">
        <v>371</v>
      </c>
      <c r="AC872" s="183"/>
      <c r="AD872" s="183"/>
      <c r="AE872" s="183"/>
      <c r="AF872" s="240">
        <v>0.0</v>
      </c>
      <c r="AG872" s="183"/>
      <c r="AH872" s="183"/>
      <c r="AI872" s="240" t="s">
        <v>354</v>
      </c>
      <c r="AJ872" s="183"/>
      <c r="AK872" s="183"/>
      <c r="AL872" s="240" t="s">
        <v>356</v>
      </c>
      <c r="AM872" s="240" t="s">
        <v>356</v>
      </c>
      <c r="AN872" s="240" t="s">
        <v>356</v>
      </c>
    </row>
    <row r="873">
      <c r="A873" s="240" t="s">
        <v>1018</v>
      </c>
      <c r="B873" s="18" t="s">
        <v>1019</v>
      </c>
      <c r="C873" s="136"/>
      <c r="D873" s="238" t="s">
        <v>736</v>
      </c>
      <c r="E873" s="239" t="s">
        <v>37</v>
      </c>
      <c r="F873" s="240" t="s">
        <v>8</v>
      </c>
      <c r="G873" s="255" t="s">
        <v>354</v>
      </c>
      <c r="H873" s="255" t="s">
        <v>354</v>
      </c>
      <c r="I873" s="255" t="s">
        <v>354</v>
      </c>
      <c r="J873" s="255" t="s">
        <v>354</v>
      </c>
      <c r="K873" s="255" t="s">
        <v>354</v>
      </c>
      <c r="L873" s="41">
        <v>0.0</v>
      </c>
      <c r="M873" s="41" t="s">
        <v>354</v>
      </c>
      <c r="N873" s="174" t="s">
        <v>17</v>
      </c>
      <c r="O873" s="174" t="s">
        <v>17</v>
      </c>
      <c r="P873" s="174" t="s">
        <v>17</v>
      </c>
      <c r="Q873" s="174" t="s">
        <v>17</v>
      </c>
      <c r="R873" s="174" t="s">
        <v>17</v>
      </c>
      <c r="S873" s="174" t="s">
        <v>17</v>
      </c>
      <c r="T873" s="174" t="s">
        <v>17</v>
      </c>
      <c r="U873" s="174" t="s">
        <v>17</v>
      </c>
      <c r="V873" s="174" t="s">
        <v>17</v>
      </c>
      <c r="W873" s="18" t="s">
        <v>1020</v>
      </c>
      <c r="X873" s="18">
        <v>7158.0</v>
      </c>
      <c r="Y873" s="18" t="s">
        <v>1022</v>
      </c>
      <c r="Z873" s="183"/>
      <c r="AA873" s="183"/>
      <c r="AB873" s="184" t="s">
        <v>371</v>
      </c>
      <c r="AC873" s="183"/>
      <c r="AD873" s="183"/>
      <c r="AE873" s="183"/>
      <c r="AF873" s="244">
        <v>38.2992261667104</v>
      </c>
      <c r="AG873" s="255" t="s">
        <v>354</v>
      </c>
      <c r="AH873" s="183"/>
      <c r="AI873" s="255" t="s">
        <v>354</v>
      </c>
      <c r="AJ873" s="183"/>
      <c r="AK873" s="183"/>
      <c r="AL873" s="103" t="s">
        <v>389</v>
      </c>
      <c r="AM873" s="259" t="s">
        <v>361</v>
      </c>
      <c r="AN873" s="103" t="s">
        <v>389</v>
      </c>
    </row>
    <row r="874">
      <c r="A874" s="240" t="s">
        <v>1018</v>
      </c>
      <c r="B874" s="18" t="s">
        <v>1019</v>
      </c>
      <c r="C874" s="136"/>
      <c r="D874" s="238" t="s">
        <v>736</v>
      </c>
      <c r="E874" s="239" t="s">
        <v>37</v>
      </c>
      <c r="F874" s="240" t="s">
        <v>8</v>
      </c>
      <c r="G874" s="255" t="s">
        <v>354</v>
      </c>
      <c r="H874" s="255" t="s">
        <v>354</v>
      </c>
      <c r="I874" s="255" t="s">
        <v>354</v>
      </c>
      <c r="J874" s="255" t="s">
        <v>354</v>
      </c>
      <c r="K874" s="255" t="s">
        <v>354</v>
      </c>
      <c r="L874" s="41">
        <v>0.0</v>
      </c>
      <c r="M874" s="41" t="s">
        <v>354</v>
      </c>
      <c r="N874" s="174" t="s">
        <v>17</v>
      </c>
      <c r="O874" s="174" t="s">
        <v>17</v>
      </c>
      <c r="P874" s="174" t="s">
        <v>17</v>
      </c>
      <c r="Q874" s="174" t="s">
        <v>17</v>
      </c>
      <c r="R874" s="174" t="s">
        <v>17</v>
      </c>
      <c r="S874" s="174" t="s">
        <v>17</v>
      </c>
      <c r="T874" s="174" t="s">
        <v>17</v>
      </c>
      <c r="U874" s="174" t="s">
        <v>17</v>
      </c>
      <c r="V874" s="174" t="s">
        <v>17</v>
      </c>
      <c r="W874" s="18" t="s">
        <v>1020</v>
      </c>
      <c r="X874" s="18">
        <v>7158.0</v>
      </c>
      <c r="Y874" s="18" t="s">
        <v>1022</v>
      </c>
      <c r="Z874" s="18">
        <v>3158.0</v>
      </c>
      <c r="AA874" s="183"/>
      <c r="AB874" s="184" t="s">
        <v>371</v>
      </c>
      <c r="AC874" s="183"/>
      <c r="AD874" s="183"/>
      <c r="AE874" s="183"/>
      <c r="AF874" s="240">
        <v>0.0</v>
      </c>
      <c r="AG874" s="255" t="s">
        <v>356</v>
      </c>
      <c r="AH874" s="183"/>
      <c r="AI874" s="255" t="s">
        <v>356</v>
      </c>
      <c r="AJ874" s="255" t="s">
        <v>356</v>
      </c>
      <c r="AK874" s="255" t="s">
        <v>356</v>
      </c>
      <c r="AL874" s="240" t="s">
        <v>356</v>
      </c>
      <c r="AM874" s="269" t="s">
        <v>361</v>
      </c>
      <c r="AN874" s="62" t="s">
        <v>389</v>
      </c>
    </row>
    <row r="875">
      <c r="A875" s="240" t="s">
        <v>1018</v>
      </c>
      <c r="B875" s="18" t="s">
        <v>1019</v>
      </c>
      <c r="C875" s="136"/>
      <c r="D875" s="238" t="s">
        <v>736</v>
      </c>
      <c r="E875" s="239" t="s">
        <v>37</v>
      </c>
      <c r="F875" s="240" t="s">
        <v>8</v>
      </c>
      <c r="G875" s="255" t="s">
        <v>354</v>
      </c>
      <c r="H875" s="255" t="s">
        <v>354</v>
      </c>
      <c r="I875" s="255" t="s">
        <v>354</v>
      </c>
      <c r="J875" s="255" t="s">
        <v>354</v>
      </c>
      <c r="K875" s="255" t="s">
        <v>354</v>
      </c>
      <c r="L875" s="41">
        <v>0.0</v>
      </c>
      <c r="M875" s="41" t="s">
        <v>354</v>
      </c>
      <c r="N875" s="174" t="s">
        <v>17</v>
      </c>
      <c r="O875" s="174" t="s">
        <v>17</v>
      </c>
      <c r="P875" s="174" t="s">
        <v>17</v>
      </c>
      <c r="Q875" s="174" t="s">
        <v>17</v>
      </c>
      <c r="R875" s="174" t="s">
        <v>17</v>
      </c>
      <c r="S875" s="174" t="s">
        <v>17</v>
      </c>
      <c r="T875" s="174" t="s">
        <v>17</v>
      </c>
      <c r="U875" s="174" t="s">
        <v>17</v>
      </c>
      <c r="V875" s="174" t="s">
        <v>17</v>
      </c>
      <c r="W875" s="18" t="s">
        <v>1020</v>
      </c>
      <c r="X875" s="18">
        <v>7158.0</v>
      </c>
      <c r="Y875" s="18" t="s">
        <v>1022</v>
      </c>
      <c r="Z875" s="18">
        <v>3158.0</v>
      </c>
      <c r="AA875" s="18">
        <v>3158.0</v>
      </c>
      <c r="AB875" s="184" t="s">
        <v>371</v>
      </c>
      <c r="AC875" s="183"/>
      <c r="AD875" s="183"/>
      <c r="AE875" s="183"/>
      <c r="AF875" s="244">
        <v>31.0947843495546</v>
      </c>
      <c r="AG875" s="255" t="s">
        <v>354</v>
      </c>
      <c r="AH875" s="183"/>
      <c r="AI875" s="255" t="s">
        <v>354</v>
      </c>
      <c r="AJ875" s="255"/>
      <c r="AK875" s="255"/>
      <c r="AL875" s="91" t="s">
        <v>413</v>
      </c>
      <c r="AM875" s="119" t="s">
        <v>413</v>
      </c>
      <c r="AN875" s="115" t="s">
        <v>358</v>
      </c>
    </row>
    <row r="876">
      <c r="A876" s="246" t="s">
        <v>1023</v>
      </c>
      <c r="B876" s="18" t="s">
        <v>1024</v>
      </c>
      <c r="C876" s="136"/>
      <c r="D876" s="247" t="s">
        <v>736</v>
      </c>
      <c r="E876" s="248" t="s">
        <v>62</v>
      </c>
      <c r="F876" s="246" t="s">
        <v>67</v>
      </c>
      <c r="G876" s="246" t="s">
        <v>354</v>
      </c>
      <c r="H876" s="246" t="s">
        <v>354</v>
      </c>
      <c r="I876" s="246" t="s">
        <v>354</v>
      </c>
      <c r="J876" s="249"/>
      <c r="K876" s="246">
        <v>0.0</v>
      </c>
      <c r="L876" s="246">
        <v>0.0</v>
      </c>
      <c r="M876" s="246" t="s">
        <v>354</v>
      </c>
      <c r="N876" s="174" t="s">
        <v>17</v>
      </c>
      <c r="O876" s="174" t="s">
        <v>17</v>
      </c>
      <c r="P876" s="174" t="s">
        <v>17</v>
      </c>
      <c r="Q876" s="174" t="s">
        <v>17</v>
      </c>
      <c r="R876" s="174" t="s">
        <v>17</v>
      </c>
      <c r="S876" s="174" t="s">
        <v>17</v>
      </c>
      <c r="T876" s="174" t="s">
        <v>17</v>
      </c>
      <c r="U876" s="174" t="s">
        <v>17</v>
      </c>
      <c r="V876" s="174" t="s">
        <v>17</v>
      </c>
      <c r="W876" s="18" t="s">
        <v>1025</v>
      </c>
      <c r="X876" s="249"/>
      <c r="Y876" s="249"/>
      <c r="Z876" s="249"/>
      <c r="AA876" s="249"/>
      <c r="AB876" s="246" t="s">
        <v>1026</v>
      </c>
      <c r="AC876" s="249"/>
      <c r="AD876" s="249"/>
      <c r="AE876" s="249"/>
      <c r="AF876" s="250">
        <v>0.0</v>
      </c>
      <c r="AG876" s="250" t="s">
        <v>354</v>
      </c>
      <c r="AH876" s="249"/>
      <c r="AI876" s="250" t="s">
        <v>354</v>
      </c>
      <c r="AJ876" s="249"/>
      <c r="AK876" s="249"/>
      <c r="AL876" s="250" t="s">
        <v>356</v>
      </c>
      <c r="AM876" s="250" t="s">
        <v>356</v>
      </c>
      <c r="AN876" s="250" t="s">
        <v>356</v>
      </c>
    </row>
    <row r="877">
      <c r="A877" s="246" t="s">
        <v>1023</v>
      </c>
      <c r="B877" s="18" t="s">
        <v>1024</v>
      </c>
      <c r="C877" s="19"/>
      <c r="D877" s="247" t="s">
        <v>736</v>
      </c>
      <c r="E877" s="248" t="s">
        <v>37</v>
      </c>
      <c r="F877" s="246" t="s">
        <v>67</v>
      </c>
      <c r="G877" s="246" t="s">
        <v>354</v>
      </c>
      <c r="H877" s="250" t="s">
        <v>354</v>
      </c>
      <c r="I877" s="250" t="s">
        <v>354</v>
      </c>
      <c r="J877" s="250" t="s">
        <v>354</v>
      </c>
      <c r="K877" s="250">
        <v>0.0</v>
      </c>
      <c r="L877" s="41">
        <v>0.0</v>
      </c>
      <c r="M877" s="41" t="s">
        <v>354</v>
      </c>
      <c r="N877" s="174" t="s">
        <v>17</v>
      </c>
      <c r="O877" s="174" t="s">
        <v>17</v>
      </c>
      <c r="P877" s="174" t="s">
        <v>17</v>
      </c>
      <c r="Q877" s="174" t="s">
        <v>17</v>
      </c>
      <c r="R877" s="174" t="s">
        <v>17</v>
      </c>
      <c r="S877" s="174" t="s">
        <v>17</v>
      </c>
      <c r="T877" s="174" t="s">
        <v>17</v>
      </c>
      <c r="U877" s="174" t="s">
        <v>17</v>
      </c>
      <c r="V877" s="174" t="s">
        <v>17</v>
      </c>
      <c r="W877" s="18" t="s">
        <v>1025</v>
      </c>
      <c r="X877" s="18" t="s">
        <v>1027</v>
      </c>
      <c r="Y877" s="246"/>
      <c r="Z877" s="246"/>
      <c r="AA877" s="249"/>
      <c r="AB877" s="184" t="s">
        <v>371</v>
      </c>
      <c r="AC877" s="19"/>
      <c r="AD877" s="19"/>
      <c r="AE877" s="19"/>
      <c r="AF877" s="250">
        <v>0.0</v>
      </c>
      <c r="AG877" s="250" t="s">
        <v>354</v>
      </c>
      <c r="AH877" s="249"/>
      <c r="AI877" s="250" t="s">
        <v>354</v>
      </c>
      <c r="AJ877" s="249"/>
      <c r="AK877" s="249"/>
      <c r="AL877" s="250" t="s">
        <v>356</v>
      </c>
      <c r="AM877" s="250" t="s">
        <v>356</v>
      </c>
      <c r="AN877" s="250" t="s">
        <v>356</v>
      </c>
    </row>
    <row r="878">
      <c r="A878" s="246" t="s">
        <v>1023</v>
      </c>
      <c r="B878" s="18" t="s">
        <v>1024</v>
      </c>
      <c r="C878" s="19"/>
      <c r="D878" s="247" t="s">
        <v>736</v>
      </c>
      <c r="E878" s="248" t="s">
        <v>37</v>
      </c>
      <c r="F878" s="246" t="s">
        <v>67</v>
      </c>
      <c r="G878" s="250" t="s">
        <v>354</v>
      </c>
      <c r="H878" s="250" t="s">
        <v>354</v>
      </c>
      <c r="I878" s="250" t="s">
        <v>354</v>
      </c>
      <c r="J878" s="250" t="s">
        <v>354</v>
      </c>
      <c r="K878" s="250">
        <v>0.0</v>
      </c>
      <c r="L878" s="41">
        <v>0.0</v>
      </c>
      <c r="M878" s="41" t="s">
        <v>354</v>
      </c>
      <c r="N878" s="174" t="s">
        <v>17</v>
      </c>
      <c r="O878" s="174" t="s">
        <v>17</v>
      </c>
      <c r="P878" s="174" t="s">
        <v>17</v>
      </c>
      <c r="Q878" s="174" t="s">
        <v>17</v>
      </c>
      <c r="R878" s="174" t="s">
        <v>17</v>
      </c>
      <c r="S878" s="174" t="s">
        <v>17</v>
      </c>
      <c r="T878" s="174" t="s">
        <v>17</v>
      </c>
      <c r="U878" s="174" t="s">
        <v>17</v>
      </c>
      <c r="V878" s="174" t="s">
        <v>17</v>
      </c>
      <c r="W878" s="18" t="s">
        <v>1025</v>
      </c>
      <c r="X878" s="18" t="s">
        <v>1027</v>
      </c>
      <c r="Y878" s="18" t="s">
        <v>1027</v>
      </c>
      <c r="Z878" s="246"/>
      <c r="AA878" s="249"/>
      <c r="AB878" s="184" t="s">
        <v>371</v>
      </c>
      <c r="AC878" s="19"/>
      <c r="AD878" s="19"/>
      <c r="AE878" s="19"/>
      <c r="AF878" s="250">
        <v>0.0</v>
      </c>
      <c r="AG878" s="250" t="s">
        <v>354</v>
      </c>
      <c r="AH878" s="249"/>
      <c r="AI878" s="250" t="s">
        <v>354</v>
      </c>
      <c r="AJ878" s="249"/>
      <c r="AK878" s="249"/>
      <c r="AL878" s="250" t="s">
        <v>356</v>
      </c>
      <c r="AM878" s="250" t="s">
        <v>356</v>
      </c>
      <c r="AN878" s="250" t="s">
        <v>356</v>
      </c>
    </row>
    <row r="879">
      <c r="A879" s="246" t="s">
        <v>1023</v>
      </c>
      <c r="B879" s="18" t="s">
        <v>1024</v>
      </c>
      <c r="C879" s="19"/>
      <c r="D879" s="247" t="s">
        <v>736</v>
      </c>
      <c r="E879" s="248" t="s">
        <v>37</v>
      </c>
      <c r="F879" s="246" t="s">
        <v>67</v>
      </c>
      <c r="G879" s="250" t="s">
        <v>354</v>
      </c>
      <c r="H879" s="250" t="s">
        <v>354</v>
      </c>
      <c r="I879" s="250" t="s">
        <v>354</v>
      </c>
      <c r="J879" s="250" t="s">
        <v>354</v>
      </c>
      <c r="K879" s="250">
        <v>0.0</v>
      </c>
      <c r="L879" s="41">
        <v>0.0</v>
      </c>
      <c r="M879" s="41" t="s">
        <v>354</v>
      </c>
      <c r="N879" s="174" t="s">
        <v>17</v>
      </c>
      <c r="O879" s="174" t="s">
        <v>17</v>
      </c>
      <c r="P879" s="174" t="s">
        <v>17</v>
      </c>
      <c r="Q879" s="174" t="s">
        <v>17</v>
      </c>
      <c r="R879" s="174" t="s">
        <v>17</v>
      </c>
      <c r="S879" s="174" t="s">
        <v>17</v>
      </c>
      <c r="T879" s="174" t="s">
        <v>17</v>
      </c>
      <c r="U879" s="174" t="s">
        <v>17</v>
      </c>
      <c r="V879" s="174" t="s">
        <v>17</v>
      </c>
      <c r="W879" s="18" t="s">
        <v>1025</v>
      </c>
      <c r="X879" s="18" t="s">
        <v>1027</v>
      </c>
      <c r="Y879" s="18" t="s">
        <v>1027</v>
      </c>
      <c r="Z879" s="18" t="s">
        <v>1027</v>
      </c>
      <c r="AA879" s="249"/>
      <c r="AB879" s="184" t="s">
        <v>371</v>
      </c>
      <c r="AC879" s="19"/>
      <c r="AD879" s="19"/>
      <c r="AE879" s="19"/>
      <c r="AF879" s="250">
        <v>0.0</v>
      </c>
      <c r="AG879" s="250" t="s">
        <v>354</v>
      </c>
      <c r="AH879" s="249"/>
      <c r="AI879" s="250" t="s">
        <v>354</v>
      </c>
      <c r="AJ879" s="249"/>
      <c r="AK879" s="249"/>
      <c r="AL879" s="250" t="s">
        <v>356</v>
      </c>
      <c r="AM879" s="250" t="s">
        <v>356</v>
      </c>
      <c r="AN879" s="250" t="s">
        <v>356</v>
      </c>
    </row>
    <row r="880">
      <c r="A880" s="246" t="s">
        <v>1023</v>
      </c>
      <c r="B880" s="18" t="s">
        <v>1024</v>
      </c>
      <c r="C880" s="19"/>
      <c r="D880" s="247" t="s">
        <v>736</v>
      </c>
      <c r="E880" s="248" t="s">
        <v>37</v>
      </c>
      <c r="F880" s="246" t="s">
        <v>67</v>
      </c>
      <c r="G880" s="250" t="s">
        <v>354</v>
      </c>
      <c r="H880" s="250" t="s">
        <v>354</v>
      </c>
      <c r="I880" s="250" t="s">
        <v>354</v>
      </c>
      <c r="J880" s="250" t="s">
        <v>354</v>
      </c>
      <c r="K880" s="250">
        <v>0.0</v>
      </c>
      <c r="L880" s="270">
        <v>0.0</v>
      </c>
      <c r="M880" s="270" t="s">
        <v>354</v>
      </c>
      <c r="N880" s="174" t="s">
        <v>17</v>
      </c>
      <c r="O880" s="174" t="s">
        <v>17</v>
      </c>
      <c r="P880" s="174" t="s">
        <v>17</v>
      </c>
      <c r="Q880" s="174" t="s">
        <v>17</v>
      </c>
      <c r="R880" s="174" t="s">
        <v>17</v>
      </c>
      <c r="S880" s="174" t="s">
        <v>17</v>
      </c>
      <c r="T880" s="174" t="s">
        <v>17</v>
      </c>
      <c r="U880" s="174" t="s">
        <v>17</v>
      </c>
      <c r="V880" s="174" t="s">
        <v>17</v>
      </c>
      <c r="W880" s="18" t="s">
        <v>1025</v>
      </c>
      <c r="X880" s="18" t="s">
        <v>1027</v>
      </c>
      <c r="Y880" s="18" t="s">
        <v>1027</v>
      </c>
      <c r="Z880" s="18" t="s">
        <v>1027</v>
      </c>
      <c r="AA880" s="18" t="s">
        <v>1027</v>
      </c>
      <c r="AB880" s="184" t="s">
        <v>371</v>
      </c>
      <c r="AC880" s="19"/>
      <c r="AD880" s="19"/>
      <c r="AE880" s="19"/>
      <c r="AF880" s="266">
        <v>32.0391382951758</v>
      </c>
      <c r="AG880" s="250" t="s">
        <v>354</v>
      </c>
      <c r="AH880" s="249"/>
      <c r="AI880" s="250" t="s">
        <v>354</v>
      </c>
      <c r="AJ880" s="249"/>
      <c r="AK880" s="249"/>
      <c r="AL880" s="119" t="s">
        <v>413</v>
      </c>
      <c r="AM880" s="119" t="s">
        <v>413</v>
      </c>
      <c r="AN880" s="119" t="s">
        <v>413</v>
      </c>
    </row>
    <row r="881">
      <c r="A881" s="240" t="s">
        <v>1028</v>
      </c>
      <c r="B881" s="18" t="s">
        <v>1029</v>
      </c>
      <c r="C881" s="136"/>
      <c r="D881" s="238" t="s">
        <v>736</v>
      </c>
      <c r="E881" s="239" t="s">
        <v>62</v>
      </c>
      <c r="F881" s="240" t="s">
        <v>67</v>
      </c>
      <c r="G881" s="240">
        <v>88.0</v>
      </c>
      <c r="H881" s="240">
        <v>70.0</v>
      </c>
      <c r="I881" s="240" t="s">
        <v>354</v>
      </c>
      <c r="J881" s="183"/>
      <c r="K881" s="240">
        <v>0.0</v>
      </c>
      <c r="L881" s="240">
        <v>0.0</v>
      </c>
      <c r="M881" s="240" t="s">
        <v>354</v>
      </c>
      <c r="N881" s="174" t="s">
        <v>17</v>
      </c>
      <c r="O881" s="174" t="s">
        <v>17</v>
      </c>
      <c r="P881" s="174" t="s">
        <v>17</v>
      </c>
      <c r="Q881" s="174" t="s">
        <v>17</v>
      </c>
      <c r="R881" s="174" t="s">
        <v>17</v>
      </c>
      <c r="S881" s="174" t="s">
        <v>17</v>
      </c>
      <c r="T881" s="174" t="s">
        <v>17</v>
      </c>
      <c r="U881" s="174" t="s">
        <v>17</v>
      </c>
      <c r="V881" s="174" t="s">
        <v>17</v>
      </c>
      <c r="W881" s="18" t="s">
        <v>1030</v>
      </c>
      <c r="X881" s="183"/>
      <c r="Y881" s="183"/>
      <c r="Z881" s="183"/>
      <c r="AA881" s="183"/>
      <c r="AB881" s="240" t="s">
        <v>354</v>
      </c>
      <c r="AC881" s="183"/>
      <c r="AD881" s="183"/>
      <c r="AE881" s="183"/>
      <c r="AF881" s="255">
        <v>0.0</v>
      </c>
      <c r="AG881" s="255" t="s">
        <v>354</v>
      </c>
      <c r="AH881" s="183"/>
      <c r="AI881" s="255" t="s">
        <v>354</v>
      </c>
      <c r="AJ881" s="183"/>
      <c r="AK881" s="183"/>
      <c r="AL881" s="255" t="s">
        <v>356</v>
      </c>
      <c r="AM881" s="255" t="s">
        <v>356</v>
      </c>
      <c r="AN881" s="255" t="s">
        <v>356</v>
      </c>
    </row>
    <row r="882">
      <c r="A882" s="240" t="s">
        <v>1028</v>
      </c>
      <c r="B882" s="18" t="s">
        <v>1029</v>
      </c>
      <c r="C882" s="46"/>
      <c r="D882" s="238" t="s">
        <v>736</v>
      </c>
      <c r="E882" s="239" t="s">
        <v>37</v>
      </c>
      <c r="F882" s="240" t="s">
        <v>67</v>
      </c>
      <c r="G882" s="255" t="s">
        <v>354</v>
      </c>
      <c r="H882" s="255" t="s">
        <v>354</v>
      </c>
      <c r="I882" s="255" t="s">
        <v>354</v>
      </c>
      <c r="J882" s="255" t="s">
        <v>354</v>
      </c>
      <c r="K882" s="255">
        <v>0.0</v>
      </c>
      <c r="L882" s="271">
        <v>0.0</v>
      </c>
      <c r="M882" s="271" t="s">
        <v>354</v>
      </c>
      <c r="N882" s="174" t="s">
        <v>17</v>
      </c>
      <c r="O882" s="174" t="s">
        <v>17</v>
      </c>
      <c r="P882" s="174" t="s">
        <v>17</v>
      </c>
      <c r="Q882" s="174" t="s">
        <v>17</v>
      </c>
      <c r="R882" s="174" t="s">
        <v>17</v>
      </c>
      <c r="S882" s="174" t="s">
        <v>17</v>
      </c>
      <c r="T882" s="174" t="s">
        <v>17</v>
      </c>
      <c r="U882" s="174" t="s">
        <v>17</v>
      </c>
      <c r="V882" s="174" t="s">
        <v>17</v>
      </c>
      <c r="W882" s="18" t="s">
        <v>1030</v>
      </c>
      <c r="X882" s="18">
        <v>3940.0</v>
      </c>
      <c r="Y882" s="240"/>
      <c r="Z882" s="240"/>
      <c r="AA882" s="183"/>
      <c r="AB882" s="184" t="s">
        <v>371</v>
      </c>
      <c r="AC882" s="46"/>
      <c r="AD882" s="46"/>
      <c r="AE882" s="46"/>
      <c r="AF882" s="255">
        <v>0.0</v>
      </c>
      <c r="AG882" s="255" t="s">
        <v>354</v>
      </c>
      <c r="AH882" s="183"/>
      <c r="AI882" s="255" t="s">
        <v>354</v>
      </c>
      <c r="AJ882" s="183"/>
      <c r="AK882" s="183"/>
      <c r="AL882" s="272" t="s">
        <v>407</v>
      </c>
      <c r="AM882" s="183" t="s">
        <v>356</v>
      </c>
      <c r="AN882" s="183" t="s">
        <v>356</v>
      </c>
    </row>
    <row r="883">
      <c r="A883" s="240" t="s">
        <v>1028</v>
      </c>
      <c r="B883" s="18" t="s">
        <v>1029</v>
      </c>
      <c r="C883" s="46"/>
      <c r="D883" s="238" t="s">
        <v>736</v>
      </c>
      <c r="E883" s="239" t="s">
        <v>37</v>
      </c>
      <c r="F883" s="240" t="s">
        <v>67</v>
      </c>
      <c r="G883" s="255" t="s">
        <v>354</v>
      </c>
      <c r="H883" s="255" t="s">
        <v>354</v>
      </c>
      <c r="I883" s="255" t="s">
        <v>354</v>
      </c>
      <c r="J883" s="255" t="s">
        <v>354</v>
      </c>
      <c r="K883" s="255">
        <v>0.0</v>
      </c>
      <c r="L883" s="271">
        <v>0.0</v>
      </c>
      <c r="M883" s="271" t="s">
        <v>354</v>
      </c>
      <c r="N883" s="174" t="s">
        <v>17</v>
      </c>
      <c r="O883" s="174" t="s">
        <v>17</v>
      </c>
      <c r="P883" s="174" t="s">
        <v>17</v>
      </c>
      <c r="Q883" s="174" t="s">
        <v>17</v>
      </c>
      <c r="R883" s="174" t="s">
        <v>17</v>
      </c>
      <c r="S883" s="174" t="s">
        <v>17</v>
      </c>
      <c r="T883" s="174" t="s">
        <v>17</v>
      </c>
      <c r="U883" s="174" t="s">
        <v>17</v>
      </c>
      <c r="V883" s="174" t="s">
        <v>17</v>
      </c>
      <c r="W883" s="18" t="s">
        <v>1030</v>
      </c>
      <c r="X883" s="18">
        <v>3940.0</v>
      </c>
      <c r="Y883" s="273" t="s">
        <v>1031</v>
      </c>
      <c r="Z883" s="44" t="s">
        <v>373</v>
      </c>
      <c r="AA883" s="183"/>
      <c r="AB883" s="184" t="s">
        <v>371</v>
      </c>
      <c r="AC883" s="46"/>
      <c r="AD883" s="46"/>
      <c r="AE883" s="46"/>
      <c r="AF883" s="255">
        <v>0.0</v>
      </c>
      <c r="AG883" s="255" t="s">
        <v>354</v>
      </c>
      <c r="AH883" s="183"/>
      <c r="AI883" s="255" t="s">
        <v>354</v>
      </c>
      <c r="AJ883" s="183"/>
      <c r="AK883" s="183"/>
      <c r="AL883" s="255" t="s">
        <v>356</v>
      </c>
      <c r="AM883" s="255" t="s">
        <v>356</v>
      </c>
      <c r="AN883" s="255" t="s">
        <v>356</v>
      </c>
    </row>
    <row r="884">
      <c r="A884" s="240" t="s">
        <v>1028</v>
      </c>
      <c r="B884" s="18" t="s">
        <v>1029</v>
      </c>
      <c r="C884" s="46"/>
      <c r="D884" s="238" t="s">
        <v>736</v>
      </c>
      <c r="E884" s="239" t="s">
        <v>37</v>
      </c>
      <c r="F884" s="240" t="s">
        <v>67</v>
      </c>
      <c r="G884" s="255" t="s">
        <v>354</v>
      </c>
      <c r="H884" s="255" t="s">
        <v>354</v>
      </c>
      <c r="I884" s="255" t="s">
        <v>354</v>
      </c>
      <c r="J884" s="255" t="s">
        <v>354</v>
      </c>
      <c r="K884" s="255">
        <v>0.0</v>
      </c>
      <c r="L884" s="271">
        <v>0.0</v>
      </c>
      <c r="M884" s="271" t="s">
        <v>354</v>
      </c>
      <c r="N884" s="174" t="s">
        <v>17</v>
      </c>
      <c r="O884" s="174" t="s">
        <v>17</v>
      </c>
      <c r="P884" s="174" t="s">
        <v>17</v>
      </c>
      <c r="Q884" s="174" t="s">
        <v>17</v>
      </c>
      <c r="R884" s="174" t="s">
        <v>17</v>
      </c>
      <c r="S884" s="174" t="s">
        <v>17</v>
      </c>
      <c r="T884" s="174" t="s">
        <v>17</v>
      </c>
      <c r="U884" s="174" t="s">
        <v>17</v>
      </c>
      <c r="V884" s="174" t="s">
        <v>17</v>
      </c>
      <c r="W884" s="18" t="s">
        <v>1030</v>
      </c>
      <c r="X884" s="18">
        <v>3940.0</v>
      </c>
      <c r="Y884" s="273" t="s">
        <v>1031</v>
      </c>
      <c r="Z884" s="44" t="s">
        <v>373</v>
      </c>
      <c r="AA884" s="273" t="s">
        <v>1031</v>
      </c>
      <c r="AB884" s="184" t="s">
        <v>371</v>
      </c>
      <c r="AC884" s="46"/>
      <c r="AD884" s="46"/>
      <c r="AE884" s="46"/>
      <c r="AF884" s="255">
        <v>0.0</v>
      </c>
      <c r="AG884" s="255" t="s">
        <v>354</v>
      </c>
      <c r="AH884" s="183"/>
      <c r="AI884" s="255" t="s">
        <v>354</v>
      </c>
      <c r="AJ884" s="183"/>
      <c r="AK884" s="183"/>
      <c r="AL884" s="119" t="s">
        <v>413</v>
      </c>
      <c r="AM884" s="119" t="s">
        <v>413</v>
      </c>
      <c r="AN884" s="119" t="s">
        <v>413</v>
      </c>
    </row>
    <row r="885">
      <c r="A885" s="246" t="s">
        <v>1032</v>
      </c>
      <c r="B885" s="18" t="s">
        <v>1033</v>
      </c>
      <c r="C885" s="136"/>
      <c r="D885" s="247" t="s">
        <v>736</v>
      </c>
      <c r="E885" s="248" t="s">
        <v>62</v>
      </c>
      <c r="F885" s="246" t="s">
        <v>8</v>
      </c>
      <c r="G885" s="246">
        <v>82.0</v>
      </c>
      <c r="H885" s="246">
        <v>80.0</v>
      </c>
      <c r="I885" s="246" t="s">
        <v>354</v>
      </c>
      <c r="J885" s="249"/>
      <c r="K885" s="246" t="s">
        <v>354</v>
      </c>
      <c r="L885" s="246">
        <v>0.0</v>
      </c>
      <c r="M885" s="246" t="s">
        <v>354</v>
      </c>
      <c r="N885" s="174" t="s">
        <v>17</v>
      </c>
      <c r="O885" s="174" t="s">
        <v>17</v>
      </c>
      <c r="P885" s="174" t="s">
        <v>17</v>
      </c>
      <c r="Q885" s="174" t="s">
        <v>17</v>
      </c>
      <c r="R885" s="174" t="s">
        <v>17</v>
      </c>
      <c r="S885" s="174" t="s">
        <v>17</v>
      </c>
      <c r="T885" s="174" t="s">
        <v>17</v>
      </c>
      <c r="U885" s="174" t="s">
        <v>17</v>
      </c>
      <c r="V885" s="174" t="s">
        <v>17</v>
      </c>
      <c r="W885" s="18" t="s">
        <v>1034</v>
      </c>
      <c r="X885" s="246"/>
      <c r="Y885" s="246"/>
      <c r="Z885" s="246"/>
      <c r="AA885" s="246"/>
      <c r="AB885" s="246" t="s">
        <v>354</v>
      </c>
      <c r="AC885" s="183"/>
      <c r="AD885" s="183"/>
      <c r="AE885" s="183"/>
      <c r="AF885" s="250">
        <v>0.0</v>
      </c>
      <c r="AG885" s="250" t="s">
        <v>354</v>
      </c>
      <c r="AH885" s="249"/>
      <c r="AI885" s="250" t="s">
        <v>354</v>
      </c>
      <c r="AJ885" s="249"/>
      <c r="AK885" s="249"/>
      <c r="AL885" s="249" t="s">
        <v>356</v>
      </c>
      <c r="AM885" s="249" t="s">
        <v>356</v>
      </c>
      <c r="AN885" s="249" t="s">
        <v>356</v>
      </c>
    </row>
    <row r="886">
      <c r="A886" s="246" t="s">
        <v>1032</v>
      </c>
      <c r="B886" s="18" t="s">
        <v>1033</v>
      </c>
      <c r="C886" s="19"/>
      <c r="D886" s="247" t="s">
        <v>736</v>
      </c>
      <c r="E886" s="248" t="s">
        <v>37</v>
      </c>
      <c r="F886" s="246" t="s">
        <v>8</v>
      </c>
      <c r="G886" s="250" t="s">
        <v>354</v>
      </c>
      <c r="H886" s="250" t="s">
        <v>354</v>
      </c>
      <c r="I886" s="250" t="s">
        <v>354</v>
      </c>
      <c r="J886" s="250" t="s">
        <v>354</v>
      </c>
      <c r="K886" s="250" t="s">
        <v>354</v>
      </c>
      <c r="L886" s="78">
        <v>1.0</v>
      </c>
      <c r="M886" s="78" t="s">
        <v>1035</v>
      </c>
      <c r="N886" s="174" t="s">
        <v>17</v>
      </c>
      <c r="O886" s="174" t="s">
        <v>17</v>
      </c>
      <c r="P886" s="174" t="s">
        <v>17</v>
      </c>
      <c r="Q886" s="174" t="s">
        <v>17</v>
      </c>
      <c r="R886" s="174" t="s">
        <v>17</v>
      </c>
      <c r="S886" s="174" t="s">
        <v>17</v>
      </c>
      <c r="T886" s="174" t="s">
        <v>17</v>
      </c>
      <c r="U886" s="174" t="s">
        <v>17</v>
      </c>
      <c r="V886" s="174" t="s">
        <v>17</v>
      </c>
      <c r="W886" s="18" t="s">
        <v>1034</v>
      </c>
      <c r="X886" s="18" t="s">
        <v>1036</v>
      </c>
      <c r="Y886" s="246"/>
      <c r="Z886" s="246"/>
      <c r="AA886" s="249"/>
      <c r="AB886" s="158" t="s">
        <v>455</v>
      </c>
      <c r="AC886" s="19"/>
      <c r="AD886" s="19"/>
      <c r="AE886" s="19"/>
      <c r="AF886" s="250">
        <v>0.0</v>
      </c>
      <c r="AG886" s="250" t="s">
        <v>354</v>
      </c>
      <c r="AH886" s="249"/>
      <c r="AI886" s="250" t="s">
        <v>354</v>
      </c>
      <c r="AJ886" s="249"/>
      <c r="AK886" s="249"/>
      <c r="AL886" s="103" t="s">
        <v>389</v>
      </c>
      <c r="AM886" s="249" t="s">
        <v>356</v>
      </c>
      <c r="AN886" s="249" t="s">
        <v>356</v>
      </c>
    </row>
    <row r="887">
      <c r="A887" s="246" t="s">
        <v>1032</v>
      </c>
      <c r="B887" s="18" t="s">
        <v>1033</v>
      </c>
      <c r="C887" s="19"/>
      <c r="D887" s="247" t="s">
        <v>736</v>
      </c>
      <c r="E887" s="248" t="s">
        <v>37</v>
      </c>
      <c r="F887" s="246" t="s">
        <v>8</v>
      </c>
      <c r="G887" s="250" t="s">
        <v>354</v>
      </c>
      <c r="H887" s="250" t="s">
        <v>354</v>
      </c>
      <c r="I887" s="250" t="s">
        <v>354</v>
      </c>
      <c r="J887" s="250" t="s">
        <v>354</v>
      </c>
      <c r="K887" s="250" t="s">
        <v>354</v>
      </c>
      <c r="L887" s="78">
        <v>1.0</v>
      </c>
      <c r="M887" s="78" t="s">
        <v>1035</v>
      </c>
      <c r="N887" s="174" t="s">
        <v>17</v>
      </c>
      <c r="O887" s="174" t="s">
        <v>17</v>
      </c>
      <c r="P887" s="174" t="s">
        <v>17</v>
      </c>
      <c r="Q887" s="174" t="s">
        <v>17</v>
      </c>
      <c r="R887" s="174" t="s">
        <v>17</v>
      </c>
      <c r="S887" s="174" t="s">
        <v>17</v>
      </c>
      <c r="T887" s="174" t="s">
        <v>17</v>
      </c>
      <c r="U887" s="174" t="s">
        <v>17</v>
      </c>
      <c r="V887" s="174" t="s">
        <v>17</v>
      </c>
      <c r="W887" s="18" t="s">
        <v>1034</v>
      </c>
      <c r="X887" s="18" t="s">
        <v>1036</v>
      </c>
      <c r="Y887" s="18" t="s">
        <v>1036</v>
      </c>
      <c r="Z887" s="246"/>
      <c r="AA887" s="249"/>
      <c r="AB887" s="158" t="s">
        <v>455</v>
      </c>
      <c r="AC887" s="19"/>
      <c r="AD887" s="19"/>
      <c r="AE887" s="19"/>
      <c r="AF887" s="250">
        <v>0.0</v>
      </c>
      <c r="AG887" s="250" t="s">
        <v>354</v>
      </c>
      <c r="AH887" s="249"/>
      <c r="AI887" s="250" t="s">
        <v>354</v>
      </c>
      <c r="AJ887" s="249"/>
      <c r="AK887" s="249"/>
      <c r="AL887" s="249" t="s">
        <v>356</v>
      </c>
      <c r="AM887" s="249" t="s">
        <v>356</v>
      </c>
      <c r="AN887" s="249" t="s">
        <v>356</v>
      </c>
    </row>
    <row r="888">
      <c r="A888" s="246" t="s">
        <v>1032</v>
      </c>
      <c r="B888" s="18" t="s">
        <v>1033</v>
      </c>
      <c r="C888" s="19"/>
      <c r="D888" s="247" t="s">
        <v>736</v>
      </c>
      <c r="E888" s="248" t="s">
        <v>37</v>
      </c>
      <c r="F888" s="246" t="s">
        <v>8</v>
      </c>
      <c r="G888" s="250" t="s">
        <v>354</v>
      </c>
      <c r="H888" s="250" t="s">
        <v>354</v>
      </c>
      <c r="I888" s="250" t="s">
        <v>354</v>
      </c>
      <c r="J888" s="250" t="s">
        <v>354</v>
      </c>
      <c r="K888" s="250" t="s">
        <v>354</v>
      </c>
      <c r="L888" s="78">
        <v>1.0</v>
      </c>
      <c r="M888" s="78" t="s">
        <v>1035</v>
      </c>
      <c r="N888" s="174" t="s">
        <v>17</v>
      </c>
      <c r="O888" s="174" t="s">
        <v>17</v>
      </c>
      <c r="P888" s="174" t="s">
        <v>17</v>
      </c>
      <c r="Q888" s="174" t="s">
        <v>17</v>
      </c>
      <c r="R888" s="174" t="s">
        <v>17</v>
      </c>
      <c r="S888" s="174" t="s">
        <v>17</v>
      </c>
      <c r="T888" s="174" t="s">
        <v>17</v>
      </c>
      <c r="U888" s="174" t="s">
        <v>17</v>
      </c>
      <c r="V888" s="174" t="s">
        <v>17</v>
      </c>
      <c r="W888" s="18" t="s">
        <v>1034</v>
      </c>
      <c r="X888" s="18" t="s">
        <v>1036</v>
      </c>
      <c r="Y888" s="18" t="s">
        <v>1036</v>
      </c>
      <c r="Z888" s="18" t="s">
        <v>1036</v>
      </c>
      <c r="AA888" s="249"/>
      <c r="AB888" s="158" t="s">
        <v>455</v>
      </c>
      <c r="AC888" s="19"/>
      <c r="AD888" s="19"/>
      <c r="AE888" s="19"/>
      <c r="AF888" s="246">
        <v>0.0</v>
      </c>
      <c r="AG888" s="246" t="s">
        <v>356</v>
      </c>
      <c r="AH888" s="249"/>
      <c r="AI888" s="246" t="s">
        <v>356</v>
      </c>
      <c r="AJ888" s="246" t="s">
        <v>356</v>
      </c>
      <c r="AK888" s="246" t="s">
        <v>356</v>
      </c>
      <c r="AL888" s="274" t="s">
        <v>361</v>
      </c>
      <c r="AM888" s="274" t="s">
        <v>361</v>
      </c>
      <c r="AN888" s="249" t="s">
        <v>356</v>
      </c>
    </row>
    <row r="889">
      <c r="A889" s="246" t="s">
        <v>1032</v>
      </c>
      <c r="B889" s="18" t="s">
        <v>1033</v>
      </c>
      <c r="C889" s="19"/>
      <c r="D889" s="247" t="s">
        <v>736</v>
      </c>
      <c r="E889" s="248" t="s">
        <v>37</v>
      </c>
      <c r="F889" s="246" t="s">
        <v>8</v>
      </c>
      <c r="G889" s="250" t="s">
        <v>354</v>
      </c>
      <c r="H889" s="250" t="s">
        <v>354</v>
      </c>
      <c r="I889" s="250" t="s">
        <v>354</v>
      </c>
      <c r="J889" s="250" t="s">
        <v>354</v>
      </c>
      <c r="K889" s="250" t="s">
        <v>354</v>
      </c>
      <c r="L889" s="78">
        <v>1.0</v>
      </c>
      <c r="M889" s="78" t="s">
        <v>1035</v>
      </c>
      <c r="N889" s="174" t="s">
        <v>17</v>
      </c>
      <c r="O889" s="174" t="s">
        <v>17</v>
      </c>
      <c r="P889" s="174" t="s">
        <v>17</v>
      </c>
      <c r="Q889" s="174" t="s">
        <v>17</v>
      </c>
      <c r="R889" s="174" t="s">
        <v>17</v>
      </c>
      <c r="S889" s="174" t="s">
        <v>17</v>
      </c>
      <c r="T889" s="174" t="s">
        <v>17</v>
      </c>
      <c r="U889" s="174" t="s">
        <v>17</v>
      </c>
      <c r="V889" s="174" t="s">
        <v>17</v>
      </c>
      <c r="W889" s="18" t="s">
        <v>1034</v>
      </c>
      <c r="X889" s="18" t="s">
        <v>1036</v>
      </c>
      <c r="Y889" s="18" t="s">
        <v>1036</v>
      </c>
      <c r="Z889" s="18" t="s">
        <v>1036</v>
      </c>
      <c r="AA889" s="18" t="s">
        <v>1036</v>
      </c>
      <c r="AB889" s="158" t="s">
        <v>455</v>
      </c>
      <c r="AC889" s="19"/>
      <c r="AD889" s="19"/>
      <c r="AE889" s="19"/>
      <c r="AF889" s="250">
        <v>0.0</v>
      </c>
      <c r="AG889" s="250" t="s">
        <v>354</v>
      </c>
      <c r="AH889" s="249"/>
      <c r="AI889" s="250" t="s">
        <v>354</v>
      </c>
      <c r="AJ889" s="246"/>
      <c r="AK889" s="246"/>
      <c r="AL889" s="249" t="s">
        <v>356</v>
      </c>
      <c r="AM889" s="274" t="s">
        <v>361</v>
      </c>
      <c r="AN889" s="249" t="s">
        <v>356</v>
      </c>
    </row>
    <row r="890">
      <c r="A890" s="240" t="s">
        <v>1037</v>
      </c>
      <c r="B890" s="18" t="s">
        <v>1038</v>
      </c>
      <c r="C890" s="136"/>
      <c r="D890" s="238" t="s">
        <v>736</v>
      </c>
      <c r="E890" s="239" t="s">
        <v>62</v>
      </c>
      <c r="F890" s="240" t="s">
        <v>8</v>
      </c>
      <c r="G890" s="240">
        <v>90.0</v>
      </c>
      <c r="H890" s="240">
        <v>80.0</v>
      </c>
      <c r="I890" s="255" t="s">
        <v>354</v>
      </c>
      <c r="J890" s="255" t="s">
        <v>354</v>
      </c>
      <c r="K890" s="255" t="s">
        <v>354</v>
      </c>
      <c r="L890" s="255">
        <v>0.0</v>
      </c>
      <c r="M890" s="255" t="s">
        <v>354</v>
      </c>
      <c r="N890" s="174" t="s">
        <v>17</v>
      </c>
      <c r="O890" s="174" t="s">
        <v>17</v>
      </c>
      <c r="P890" s="174" t="s">
        <v>17</v>
      </c>
      <c r="Q890" s="174" t="s">
        <v>17</v>
      </c>
      <c r="R890" s="174" t="s">
        <v>17</v>
      </c>
      <c r="S890" s="174" t="s">
        <v>17</v>
      </c>
      <c r="T890" s="174" t="s">
        <v>17</v>
      </c>
      <c r="U890" s="174" t="s">
        <v>17</v>
      </c>
      <c r="V890" s="174" t="s">
        <v>17</v>
      </c>
      <c r="W890" s="18" t="s">
        <v>1039</v>
      </c>
      <c r="X890" s="183"/>
      <c r="Y890" s="183"/>
      <c r="Z890" s="183"/>
      <c r="AA890" s="183"/>
      <c r="AB890" s="184" t="s">
        <v>371</v>
      </c>
      <c r="AC890" s="183"/>
      <c r="AD890" s="183"/>
      <c r="AE890" s="183"/>
      <c r="AF890" s="255">
        <v>0.0</v>
      </c>
      <c r="AG890" s="255" t="s">
        <v>354</v>
      </c>
      <c r="AH890" s="183"/>
      <c r="AI890" s="255" t="s">
        <v>354</v>
      </c>
      <c r="AJ890" s="183"/>
      <c r="AK890" s="183"/>
      <c r="AL890" s="255" t="s">
        <v>356</v>
      </c>
      <c r="AM890" s="255" t="s">
        <v>356</v>
      </c>
      <c r="AN890" s="255" t="s">
        <v>356</v>
      </c>
    </row>
    <row r="891">
      <c r="A891" s="240" t="s">
        <v>1037</v>
      </c>
      <c r="B891" s="18" t="s">
        <v>1038</v>
      </c>
      <c r="C891" s="46"/>
      <c r="D891" s="238" t="s">
        <v>736</v>
      </c>
      <c r="E891" s="239" t="s">
        <v>37</v>
      </c>
      <c r="F891" s="240" t="s">
        <v>8</v>
      </c>
      <c r="G891" s="255" t="s">
        <v>354</v>
      </c>
      <c r="H891" s="255" t="s">
        <v>354</v>
      </c>
      <c r="I891" s="255" t="s">
        <v>354</v>
      </c>
      <c r="J891" s="255" t="s">
        <v>354</v>
      </c>
      <c r="K891" s="255" t="s">
        <v>354</v>
      </c>
      <c r="L891" s="255">
        <v>0.0</v>
      </c>
      <c r="M891" s="255" t="s">
        <v>354</v>
      </c>
      <c r="N891" s="174" t="s">
        <v>17</v>
      </c>
      <c r="O891" s="174" t="s">
        <v>17</v>
      </c>
      <c r="P891" s="174" t="s">
        <v>17</v>
      </c>
      <c r="Q891" s="174" t="s">
        <v>17</v>
      </c>
      <c r="R891" s="174" t="s">
        <v>17</v>
      </c>
      <c r="S891" s="174" t="s">
        <v>17</v>
      </c>
      <c r="T891" s="174" t="s">
        <v>17</v>
      </c>
      <c r="U891" s="174" t="s">
        <v>17</v>
      </c>
      <c r="V891" s="174" t="s">
        <v>17</v>
      </c>
      <c r="W891" s="18" t="s">
        <v>1039</v>
      </c>
      <c r="X891" s="18">
        <v>3428.0</v>
      </c>
      <c r="Y891" s="240"/>
      <c r="Z891" s="240"/>
      <c r="AA891" s="183"/>
      <c r="AB891" s="184" t="s">
        <v>371</v>
      </c>
      <c r="AC891" s="46"/>
      <c r="AD891" s="46"/>
      <c r="AE891" s="46"/>
      <c r="AF891" s="255">
        <v>0.0</v>
      </c>
      <c r="AG891" s="255" t="s">
        <v>354</v>
      </c>
      <c r="AH891" s="183"/>
      <c r="AI891" s="255" t="s">
        <v>354</v>
      </c>
      <c r="AJ891" s="183"/>
      <c r="AK891" s="183"/>
      <c r="AL891" s="255" t="s">
        <v>356</v>
      </c>
      <c r="AM891" s="255" t="s">
        <v>356</v>
      </c>
      <c r="AN891" s="255" t="s">
        <v>356</v>
      </c>
    </row>
    <row r="892">
      <c r="A892" s="240" t="s">
        <v>1037</v>
      </c>
      <c r="B892" s="18" t="s">
        <v>1038</v>
      </c>
      <c r="C892" s="46"/>
      <c r="D892" s="238" t="s">
        <v>736</v>
      </c>
      <c r="E892" s="239" t="s">
        <v>37</v>
      </c>
      <c r="F892" s="240" t="s">
        <v>8</v>
      </c>
      <c r="G892" s="255" t="s">
        <v>354</v>
      </c>
      <c r="H892" s="255" t="s">
        <v>354</v>
      </c>
      <c r="I892" s="255" t="s">
        <v>354</v>
      </c>
      <c r="J892" s="255" t="s">
        <v>354</v>
      </c>
      <c r="K892" s="255" t="s">
        <v>354</v>
      </c>
      <c r="L892" s="271">
        <v>0.0</v>
      </c>
      <c r="M892" s="271" t="s">
        <v>354</v>
      </c>
      <c r="N892" s="174" t="s">
        <v>17</v>
      </c>
      <c r="O892" s="174" t="s">
        <v>17</v>
      </c>
      <c r="P892" s="174" t="s">
        <v>17</v>
      </c>
      <c r="Q892" s="174" t="s">
        <v>17</v>
      </c>
      <c r="R892" s="174" t="s">
        <v>17</v>
      </c>
      <c r="S892" s="174" t="s">
        <v>17</v>
      </c>
      <c r="T892" s="174" t="s">
        <v>17</v>
      </c>
      <c r="U892" s="174" t="s">
        <v>17</v>
      </c>
      <c r="V892" s="174" t="s">
        <v>17</v>
      </c>
      <c r="W892" s="18" t="s">
        <v>1039</v>
      </c>
      <c r="X892" s="18">
        <v>3428.0</v>
      </c>
      <c r="Y892" s="18" t="s">
        <v>1040</v>
      </c>
      <c r="Z892" s="240"/>
      <c r="AA892" s="183"/>
      <c r="AB892" s="184" t="s">
        <v>371</v>
      </c>
      <c r="AC892" s="46"/>
      <c r="AD892" s="46"/>
      <c r="AE892" s="46"/>
      <c r="AF892" s="255">
        <v>0.0</v>
      </c>
      <c r="AG892" s="255" t="s">
        <v>354</v>
      </c>
      <c r="AH892" s="183"/>
      <c r="AI892" s="255" t="s">
        <v>354</v>
      </c>
      <c r="AJ892" s="183"/>
      <c r="AK892" s="183"/>
      <c r="AL892" s="27" t="s">
        <v>358</v>
      </c>
      <c r="AM892" s="59" t="s">
        <v>357</v>
      </c>
      <c r="AN892" s="259" t="s">
        <v>361</v>
      </c>
    </row>
    <row r="893">
      <c r="A893" s="240" t="s">
        <v>1037</v>
      </c>
      <c r="B893" s="18" t="s">
        <v>1038</v>
      </c>
      <c r="C893" s="46"/>
      <c r="D893" s="238" t="s">
        <v>736</v>
      </c>
      <c r="E893" s="239" t="s">
        <v>37</v>
      </c>
      <c r="F893" s="240" t="s">
        <v>8</v>
      </c>
      <c r="G893" s="255" t="s">
        <v>354</v>
      </c>
      <c r="H893" s="255" t="s">
        <v>354</v>
      </c>
      <c r="I893" s="255" t="s">
        <v>354</v>
      </c>
      <c r="J893" s="255" t="s">
        <v>354</v>
      </c>
      <c r="K893" s="255" t="s">
        <v>354</v>
      </c>
      <c r="L893" s="271">
        <v>0.0</v>
      </c>
      <c r="M893" s="271" t="s">
        <v>354</v>
      </c>
      <c r="N893" s="174" t="s">
        <v>17</v>
      </c>
      <c r="O893" s="174" t="s">
        <v>17</v>
      </c>
      <c r="P893" s="174" t="s">
        <v>17</v>
      </c>
      <c r="Q893" s="174" t="s">
        <v>17</v>
      </c>
      <c r="R893" s="174" t="s">
        <v>17</v>
      </c>
      <c r="S893" s="174" t="s">
        <v>17</v>
      </c>
      <c r="T893" s="174" t="s">
        <v>17</v>
      </c>
      <c r="U893" s="174" t="s">
        <v>17</v>
      </c>
      <c r="V893" s="174" t="s">
        <v>17</v>
      </c>
      <c r="W893" s="18" t="s">
        <v>1039</v>
      </c>
      <c r="X893" s="18">
        <v>3428.0</v>
      </c>
      <c r="Y893" s="18" t="s">
        <v>1040</v>
      </c>
      <c r="Z893" s="18" t="s">
        <v>1040</v>
      </c>
      <c r="AA893" s="183"/>
      <c r="AB893" s="184" t="s">
        <v>371</v>
      </c>
      <c r="AC893" s="46"/>
      <c r="AD893" s="46"/>
      <c r="AE893" s="46"/>
      <c r="AF893" s="255">
        <v>0.0</v>
      </c>
      <c r="AG893" s="255" t="s">
        <v>354</v>
      </c>
      <c r="AH893" s="183"/>
      <c r="AI893" s="255" t="s">
        <v>354</v>
      </c>
      <c r="AJ893" s="183"/>
      <c r="AK893" s="183"/>
      <c r="AL893" s="38" t="s">
        <v>357</v>
      </c>
      <c r="AM893" s="59" t="s">
        <v>357</v>
      </c>
      <c r="AN893" s="59" t="s">
        <v>357</v>
      </c>
    </row>
    <row r="894">
      <c r="A894" s="240" t="s">
        <v>1037</v>
      </c>
      <c r="B894" s="18" t="s">
        <v>1038</v>
      </c>
      <c r="C894" s="46"/>
      <c r="D894" s="238" t="s">
        <v>736</v>
      </c>
      <c r="E894" s="239" t="s">
        <v>37</v>
      </c>
      <c r="F894" s="240" t="s">
        <v>8</v>
      </c>
      <c r="G894" s="255" t="s">
        <v>354</v>
      </c>
      <c r="H894" s="255" t="s">
        <v>354</v>
      </c>
      <c r="I894" s="255" t="s">
        <v>354</v>
      </c>
      <c r="J894" s="255" t="s">
        <v>354</v>
      </c>
      <c r="K894" s="255" t="s">
        <v>354</v>
      </c>
      <c r="L894" s="271">
        <v>0.0</v>
      </c>
      <c r="M894" s="271" t="s">
        <v>354</v>
      </c>
      <c r="N894" s="174" t="s">
        <v>17</v>
      </c>
      <c r="O894" s="174" t="s">
        <v>17</v>
      </c>
      <c r="P894" s="174" t="s">
        <v>17</v>
      </c>
      <c r="Q894" s="174" t="s">
        <v>17</v>
      </c>
      <c r="R894" s="174" t="s">
        <v>17</v>
      </c>
      <c r="S894" s="174" t="s">
        <v>17</v>
      </c>
      <c r="T894" s="174" t="s">
        <v>17</v>
      </c>
      <c r="U894" s="174" t="s">
        <v>17</v>
      </c>
      <c r="V894" s="174" t="s">
        <v>17</v>
      </c>
      <c r="W894" s="18" t="s">
        <v>1039</v>
      </c>
      <c r="X894" s="18">
        <v>3428.0</v>
      </c>
      <c r="Y894" s="18" t="s">
        <v>1040</v>
      </c>
      <c r="Z894" s="18" t="s">
        <v>1040</v>
      </c>
      <c r="AA894" s="130">
        <v>3428.0</v>
      </c>
      <c r="AB894" s="184" t="s">
        <v>371</v>
      </c>
      <c r="AC894" s="46"/>
      <c r="AD894" s="46"/>
      <c r="AE894" s="46"/>
      <c r="AF894" s="255">
        <v>0.0</v>
      </c>
      <c r="AG894" s="255" t="s">
        <v>354</v>
      </c>
      <c r="AH894" s="183"/>
      <c r="AI894" s="255" t="s">
        <v>354</v>
      </c>
      <c r="AJ894" s="183"/>
      <c r="AK894" s="183"/>
      <c r="AL894" s="102" t="s">
        <v>357</v>
      </c>
      <c r="AM894" s="102" t="s">
        <v>357</v>
      </c>
      <c r="AN894" s="102" t="s">
        <v>357</v>
      </c>
    </row>
    <row r="895">
      <c r="A895" s="246" t="s">
        <v>1041</v>
      </c>
      <c r="B895" s="18" t="s">
        <v>1042</v>
      </c>
      <c r="C895" s="136"/>
      <c r="D895" s="247" t="s">
        <v>736</v>
      </c>
      <c r="E895" s="248" t="s">
        <v>62</v>
      </c>
      <c r="F895" s="246" t="s">
        <v>67</v>
      </c>
      <c r="G895" s="250" t="s">
        <v>354</v>
      </c>
      <c r="H895" s="250" t="s">
        <v>354</v>
      </c>
      <c r="I895" s="250" t="s">
        <v>354</v>
      </c>
      <c r="J895" s="249"/>
      <c r="K895" s="246">
        <v>0.0</v>
      </c>
      <c r="L895" s="246">
        <v>0.0</v>
      </c>
      <c r="M895" s="246" t="s">
        <v>354</v>
      </c>
      <c r="N895" s="174" t="s">
        <v>17</v>
      </c>
      <c r="O895" s="174" t="s">
        <v>17</v>
      </c>
      <c r="P895" s="174" t="s">
        <v>17</v>
      </c>
      <c r="Q895" s="174" t="s">
        <v>17</v>
      </c>
      <c r="R895" s="174" t="s">
        <v>17</v>
      </c>
      <c r="S895" s="174" t="s">
        <v>17</v>
      </c>
      <c r="T895" s="174" t="s">
        <v>17</v>
      </c>
      <c r="U895" s="174" t="s">
        <v>17</v>
      </c>
      <c r="V895" s="174" t="s">
        <v>17</v>
      </c>
      <c r="W895" s="18" t="s">
        <v>1043</v>
      </c>
      <c r="X895" s="249"/>
      <c r="Y895" s="249"/>
      <c r="Z895" s="249"/>
      <c r="AA895" s="249"/>
      <c r="AB895" s="184" t="s">
        <v>371</v>
      </c>
      <c r="AC895" s="249"/>
      <c r="AD895" s="249"/>
      <c r="AE895" s="249"/>
      <c r="AF895" s="249">
        <v>0.0</v>
      </c>
      <c r="AG895" s="249" t="s">
        <v>354</v>
      </c>
      <c r="AH895" s="249"/>
      <c r="AI895" s="249" t="s">
        <v>354</v>
      </c>
      <c r="AJ895" s="249"/>
      <c r="AK895" s="249"/>
      <c r="AL895" s="249" t="s">
        <v>356</v>
      </c>
      <c r="AM895" s="249" t="s">
        <v>356</v>
      </c>
      <c r="AN895" s="249" t="s">
        <v>356</v>
      </c>
    </row>
    <row r="896">
      <c r="A896" s="246" t="s">
        <v>1041</v>
      </c>
      <c r="B896" s="18" t="s">
        <v>1042</v>
      </c>
      <c r="C896" s="136"/>
      <c r="D896" s="247" t="s">
        <v>736</v>
      </c>
      <c r="E896" s="248" t="s">
        <v>37</v>
      </c>
      <c r="F896" s="246" t="s">
        <v>67</v>
      </c>
      <c r="G896" s="250" t="s">
        <v>354</v>
      </c>
      <c r="H896" s="250" t="s">
        <v>354</v>
      </c>
      <c r="I896" s="250" t="s">
        <v>354</v>
      </c>
      <c r="J896" s="249"/>
      <c r="K896" s="246">
        <v>0.0</v>
      </c>
      <c r="L896" s="41">
        <v>0.0</v>
      </c>
      <c r="M896" s="41" t="s">
        <v>354</v>
      </c>
      <c r="N896" s="174" t="s">
        <v>17</v>
      </c>
      <c r="O896" s="174" t="s">
        <v>17</v>
      </c>
      <c r="P896" s="174" t="s">
        <v>17</v>
      </c>
      <c r="Q896" s="174" t="s">
        <v>17</v>
      </c>
      <c r="R896" s="174" t="s">
        <v>17</v>
      </c>
      <c r="S896" s="174" t="s">
        <v>17</v>
      </c>
      <c r="T896" s="174" t="s">
        <v>17</v>
      </c>
      <c r="U896" s="174" t="s">
        <v>17</v>
      </c>
      <c r="V896" s="174" t="s">
        <v>17</v>
      </c>
      <c r="W896" s="18" t="s">
        <v>1043</v>
      </c>
      <c r="X896" s="18">
        <v>1145.0</v>
      </c>
      <c r="Y896" s="249"/>
      <c r="Z896" s="249"/>
      <c r="AA896" s="249"/>
      <c r="AB896" s="184" t="s">
        <v>371</v>
      </c>
      <c r="AC896" s="249"/>
      <c r="AD896" s="249"/>
      <c r="AE896" s="249"/>
      <c r="AF896" s="249">
        <v>0.0</v>
      </c>
      <c r="AG896" s="249" t="s">
        <v>354</v>
      </c>
      <c r="AH896" s="249"/>
      <c r="AI896" s="249" t="s">
        <v>354</v>
      </c>
      <c r="AJ896" s="249"/>
      <c r="AK896" s="249"/>
      <c r="AL896" s="249" t="s">
        <v>356</v>
      </c>
      <c r="AM896" s="249" t="s">
        <v>356</v>
      </c>
      <c r="AN896" s="28" t="s">
        <v>358</v>
      </c>
    </row>
    <row r="897">
      <c r="A897" s="246" t="s">
        <v>1041</v>
      </c>
      <c r="B897" s="18" t="s">
        <v>1042</v>
      </c>
      <c r="C897" s="136"/>
      <c r="D897" s="247" t="s">
        <v>736</v>
      </c>
      <c r="E897" s="248" t="s">
        <v>37</v>
      </c>
      <c r="F897" s="246" t="s">
        <v>67</v>
      </c>
      <c r="G897" s="250" t="s">
        <v>354</v>
      </c>
      <c r="H897" s="250" t="s">
        <v>354</v>
      </c>
      <c r="I897" s="250" t="s">
        <v>354</v>
      </c>
      <c r="J897" s="249"/>
      <c r="K897" s="246">
        <v>0.0</v>
      </c>
      <c r="L897" s="41">
        <v>0.0</v>
      </c>
      <c r="M897" s="41" t="s">
        <v>354</v>
      </c>
      <c r="N897" s="174" t="s">
        <v>17</v>
      </c>
      <c r="O897" s="174" t="s">
        <v>17</v>
      </c>
      <c r="P897" s="174" t="s">
        <v>17</v>
      </c>
      <c r="Q897" s="174" t="s">
        <v>17</v>
      </c>
      <c r="R897" s="174" t="s">
        <v>17</v>
      </c>
      <c r="S897" s="174" t="s">
        <v>17</v>
      </c>
      <c r="T897" s="174" t="s">
        <v>17</v>
      </c>
      <c r="U897" s="174" t="s">
        <v>17</v>
      </c>
      <c r="V897" s="174" t="s">
        <v>17</v>
      </c>
      <c r="W897" s="18" t="s">
        <v>1043</v>
      </c>
      <c r="X897" s="18">
        <v>1145.0</v>
      </c>
      <c r="Y897" s="18" t="s">
        <v>1044</v>
      </c>
      <c r="Z897" s="249"/>
      <c r="AA897" s="249"/>
      <c r="AB897" s="184" t="s">
        <v>371</v>
      </c>
      <c r="AC897" s="183"/>
      <c r="AD897" s="183"/>
      <c r="AE897" s="183"/>
      <c r="AF897" s="250">
        <v>0.0</v>
      </c>
      <c r="AG897" s="250" t="s">
        <v>354</v>
      </c>
      <c r="AH897" s="249"/>
      <c r="AI897" s="250" t="s">
        <v>354</v>
      </c>
      <c r="AJ897" s="249"/>
      <c r="AK897" s="249"/>
      <c r="AL897" s="250" t="s">
        <v>356</v>
      </c>
      <c r="AM897" s="250" t="s">
        <v>356</v>
      </c>
      <c r="AN897" s="250" t="s">
        <v>356</v>
      </c>
    </row>
    <row r="898">
      <c r="A898" s="246" t="s">
        <v>1041</v>
      </c>
      <c r="B898" s="18" t="s">
        <v>1042</v>
      </c>
      <c r="C898" s="46"/>
      <c r="D898" s="247" t="s">
        <v>736</v>
      </c>
      <c r="E898" s="248" t="s">
        <v>37</v>
      </c>
      <c r="F898" s="246" t="s">
        <v>67</v>
      </c>
      <c r="G898" s="250" t="s">
        <v>354</v>
      </c>
      <c r="H898" s="250" t="s">
        <v>354</v>
      </c>
      <c r="I898" s="250" t="s">
        <v>354</v>
      </c>
      <c r="J898" s="249"/>
      <c r="K898" s="246">
        <v>0.0</v>
      </c>
      <c r="L898" s="41">
        <v>0.0</v>
      </c>
      <c r="M898" s="41" t="s">
        <v>354</v>
      </c>
      <c r="N898" s="174" t="s">
        <v>17</v>
      </c>
      <c r="O898" s="174" t="s">
        <v>17</v>
      </c>
      <c r="P898" s="174" t="s">
        <v>17</v>
      </c>
      <c r="Q898" s="174" t="s">
        <v>17</v>
      </c>
      <c r="R898" s="174" t="s">
        <v>17</v>
      </c>
      <c r="S898" s="174" t="s">
        <v>17</v>
      </c>
      <c r="T898" s="174" t="s">
        <v>17</v>
      </c>
      <c r="U898" s="174" t="s">
        <v>17</v>
      </c>
      <c r="V898" s="174" t="s">
        <v>17</v>
      </c>
      <c r="W898" s="18" t="s">
        <v>1043</v>
      </c>
      <c r="X898" s="18">
        <v>1145.0</v>
      </c>
      <c r="Y898" s="18" t="s">
        <v>1044</v>
      </c>
      <c r="Z898" s="18">
        <v>4146.0</v>
      </c>
      <c r="AA898" s="249"/>
      <c r="AB898" s="184" t="s">
        <v>371</v>
      </c>
      <c r="AC898" s="249"/>
      <c r="AD898" s="249"/>
      <c r="AE898" s="249"/>
      <c r="AF898" s="250">
        <v>0.0</v>
      </c>
      <c r="AG898" s="250" t="s">
        <v>354</v>
      </c>
      <c r="AH898" s="249"/>
      <c r="AI898" s="250" t="s">
        <v>354</v>
      </c>
      <c r="AJ898" s="249"/>
      <c r="AK898" s="249"/>
      <c r="AL898" s="250" t="s">
        <v>356</v>
      </c>
      <c r="AM898" s="250" t="s">
        <v>356</v>
      </c>
      <c r="AN898" s="250" t="s">
        <v>356</v>
      </c>
    </row>
    <row r="899">
      <c r="A899" s="246" t="s">
        <v>1041</v>
      </c>
      <c r="B899" s="18" t="s">
        <v>1042</v>
      </c>
      <c r="C899" s="46"/>
      <c r="D899" s="247" t="s">
        <v>736</v>
      </c>
      <c r="E899" s="248" t="s">
        <v>37</v>
      </c>
      <c r="F899" s="246" t="s">
        <v>67</v>
      </c>
      <c r="G899" s="250" t="s">
        <v>354</v>
      </c>
      <c r="H899" s="250" t="s">
        <v>354</v>
      </c>
      <c r="I899" s="250" t="s">
        <v>354</v>
      </c>
      <c r="J899" s="249"/>
      <c r="K899" s="246">
        <v>0.0</v>
      </c>
      <c r="L899" s="41">
        <v>0.0</v>
      </c>
      <c r="M899" s="41" t="s">
        <v>354</v>
      </c>
      <c r="N899" s="174" t="s">
        <v>17</v>
      </c>
      <c r="O899" s="174" t="s">
        <v>17</v>
      </c>
      <c r="P899" s="174" t="s">
        <v>17</v>
      </c>
      <c r="Q899" s="174" t="s">
        <v>17</v>
      </c>
      <c r="R899" s="174" t="s">
        <v>17</v>
      </c>
      <c r="S899" s="174" t="s">
        <v>17</v>
      </c>
      <c r="T899" s="174" t="s">
        <v>17</v>
      </c>
      <c r="U899" s="174" t="s">
        <v>17</v>
      </c>
      <c r="V899" s="174" t="s">
        <v>17</v>
      </c>
      <c r="W899" s="18" t="s">
        <v>1043</v>
      </c>
      <c r="X899" s="18">
        <v>1145.0</v>
      </c>
      <c r="Y899" s="18" t="s">
        <v>1044</v>
      </c>
      <c r="Z899" s="18">
        <v>4146.0</v>
      </c>
      <c r="AA899" s="18">
        <v>4146.0</v>
      </c>
      <c r="AB899" s="184" t="s">
        <v>371</v>
      </c>
      <c r="AC899" s="249"/>
      <c r="AD899" s="249"/>
      <c r="AE899" s="249"/>
      <c r="AF899" s="253">
        <v>31.8132476670146</v>
      </c>
      <c r="AG899" s="250" t="s">
        <v>354</v>
      </c>
      <c r="AH899" s="249"/>
      <c r="AI899" s="250" t="s">
        <v>354</v>
      </c>
      <c r="AJ899" s="249"/>
      <c r="AK899" s="249"/>
      <c r="AL899" s="28" t="s">
        <v>358</v>
      </c>
      <c r="AM899" s="28" t="s">
        <v>358</v>
      </c>
      <c r="AN899" s="28" t="s">
        <v>358</v>
      </c>
    </row>
    <row r="900">
      <c r="A900" s="240" t="s">
        <v>1045</v>
      </c>
      <c r="B900" s="18" t="s">
        <v>1046</v>
      </c>
      <c r="C900" s="136"/>
      <c r="D900" s="238" t="s">
        <v>736</v>
      </c>
      <c r="E900" s="239" t="s">
        <v>62</v>
      </c>
      <c r="F900" s="240" t="s">
        <v>8</v>
      </c>
      <c r="G900" s="255" t="s">
        <v>354</v>
      </c>
      <c r="H900" s="255" t="s">
        <v>354</v>
      </c>
      <c r="I900" s="255" t="s">
        <v>354</v>
      </c>
      <c r="J900" s="255" t="s">
        <v>354</v>
      </c>
      <c r="K900" s="255" t="s">
        <v>354</v>
      </c>
      <c r="L900" s="255">
        <v>0.0</v>
      </c>
      <c r="M900" s="255" t="s">
        <v>354</v>
      </c>
      <c r="N900" s="174" t="s">
        <v>17</v>
      </c>
      <c r="O900" s="174" t="s">
        <v>17</v>
      </c>
      <c r="P900" s="174" t="s">
        <v>17</v>
      </c>
      <c r="Q900" s="174" t="s">
        <v>17</v>
      </c>
      <c r="R900" s="174" t="s">
        <v>17</v>
      </c>
      <c r="S900" s="174" t="s">
        <v>17</v>
      </c>
      <c r="T900" s="174" t="s">
        <v>17</v>
      </c>
      <c r="U900" s="174" t="s">
        <v>17</v>
      </c>
      <c r="V900" s="174" t="s">
        <v>17</v>
      </c>
      <c r="W900" s="18" t="s">
        <v>1047</v>
      </c>
      <c r="X900" s="44" t="s">
        <v>373</v>
      </c>
      <c r="Y900" s="61" t="s">
        <v>373</v>
      </c>
      <c r="Z900" s="183"/>
      <c r="AA900" s="183"/>
      <c r="AB900" s="240" t="s">
        <v>1048</v>
      </c>
      <c r="AC900" s="183"/>
      <c r="AD900" s="183"/>
      <c r="AE900" s="183"/>
      <c r="AF900" s="240">
        <v>0.0</v>
      </c>
      <c r="AG900" s="183"/>
      <c r="AH900" s="183"/>
      <c r="AI900" s="240" t="s">
        <v>354</v>
      </c>
      <c r="AJ900" s="183"/>
      <c r="AK900" s="183"/>
      <c r="AL900" s="275" t="s">
        <v>356</v>
      </c>
      <c r="AM900" s="275" t="s">
        <v>356</v>
      </c>
      <c r="AN900" s="275" t="s">
        <v>356</v>
      </c>
    </row>
    <row r="901">
      <c r="A901" s="240" t="s">
        <v>1045</v>
      </c>
      <c r="B901" s="18" t="s">
        <v>1046</v>
      </c>
      <c r="C901" s="136"/>
      <c r="D901" s="238" t="s">
        <v>736</v>
      </c>
      <c r="E901" s="239" t="s">
        <v>37</v>
      </c>
      <c r="F901" s="240" t="s">
        <v>8</v>
      </c>
      <c r="G901" s="255" t="s">
        <v>354</v>
      </c>
      <c r="H901" s="255" t="s">
        <v>354</v>
      </c>
      <c r="I901" s="255" t="s">
        <v>354</v>
      </c>
      <c r="J901" s="255" t="s">
        <v>354</v>
      </c>
      <c r="K901" s="255" t="s">
        <v>354</v>
      </c>
      <c r="L901" s="255">
        <v>0.0</v>
      </c>
      <c r="M901" s="255" t="s">
        <v>354</v>
      </c>
      <c r="N901" s="174" t="s">
        <v>17</v>
      </c>
      <c r="O901" s="174" t="s">
        <v>17</v>
      </c>
      <c r="P901" s="174" t="s">
        <v>17</v>
      </c>
      <c r="Q901" s="174" t="s">
        <v>17</v>
      </c>
      <c r="R901" s="174" t="s">
        <v>17</v>
      </c>
      <c r="S901" s="174" t="s">
        <v>17</v>
      </c>
      <c r="T901" s="174" t="s">
        <v>17</v>
      </c>
      <c r="U901" s="174" t="s">
        <v>17</v>
      </c>
      <c r="V901" s="174" t="s">
        <v>17</v>
      </c>
      <c r="W901" s="18" t="s">
        <v>1047</v>
      </c>
      <c r="X901" s="44" t="s">
        <v>373</v>
      </c>
      <c r="Y901" s="61" t="s">
        <v>373</v>
      </c>
      <c r="Z901" s="18" t="s">
        <v>1049</v>
      </c>
      <c r="AA901" s="183"/>
      <c r="AB901" s="240" t="s">
        <v>354</v>
      </c>
      <c r="AC901" s="46"/>
      <c r="AD901" s="46"/>
      <c r="AE901" s="46"/>
      <c r="AF901" s="240">
        <v>0.0</v>
      </c>
      <c r="AG901" s="240" t="s">
        <v>356</v>
      </c>
      <c r="AH901" s="183"/>
      <c r="AI901" s="240" t="s">
        <v>356</v>
      </c>
      <c r="AJ901" s="255" t="s">
        <v>356</v>
      </c>
      <c r="AK901" s="269" t="s">
        <v>361</v>
      </c>
      <c r="AL901" s="275" t="s">
        <v>356</v>
      </c>
      <c r="AM901" s="183" t="s">
        <v>356</v>
      </c>
      <c r="AN901" s="275" t="s">
        <v>356</v>
      </c>
    </row>
    <row r="902">
      <c r="A902" s="240" t="s">
        <v>1045</v>
      </c>
      <c r="B902" s="18" t="s">
        <v>1046</v>
      </c>
      <c r="C902" s="136"/>
      <c r="D902" s="238" t="s">
        <v>736</v>
      </c>
      <c r="E902" s="239" t="s">
        <v>37</v>
      </c>
      <c r="F902" s="240" t="s">
        <v>8</v>
      </c>
      <c r="G902" s="255" t="s">
        <v>354</v>
      </c>
      <c r="H902" s="255" t="s">
        <v>354</v>
      </c>
      <c r="I902" s="255" t="s">
        <v>354</v>
      </c>
      <c r="J902" s="255" t="s">
        <v>354</v>
      </c>
      <c r="K902" s="255" t="s">
        <v>354</v>
      </c>
      <c r="L902" s="255">
        <v>0.0</v>
      </c>
      <c r="M902" s="255" t="s">
        <v>354</v>
      </c>
      <c r="N902" s="174" t="s">
        <v>17</v>
      </c>
      <c r="O902" s="174" t="s">
        <v>17</v>
      </c>
      <c r="P902" s="174" t="s">
        <v>17</v>
      </c>
      <c r="Q902" s="174" t="s">
        <v>17</v>
      </c>
      <c r="R902" s="174" t="s">
        <v>17</v>
      </c>
      <c r="S902" s="174" t="s">
        <v>17</v>
      </c>
      <c r="T902" s="174" t="s">
        <v>17</v>
      </c>
      <c r="U902" s="174" t="s">
        <v>17</v>
      </c>
      <c r="V902" s="174" t="s">
        <v>17</v>
      </c>
      <c r="W902" s="18" t="s">
        <v>1047</v>
      </c>
      <c r="X902" s="44" t="s">
        <v>373</v>
      </c>
      <c r="Y902" s="61" t="s">
        <v>373</v>
      </c>
      <c r="Z902" s="18" t="s">
        <v>1049</v>
      </c>
      <c r="AA902" s="18" t="s">
        <v>1049</v>
      </c>
      <c r="AB902" s="240" t="s">
        <v>354</v>
      </c>
      <c r="AC902" s="46"/>
      <c r="AD902" s="46"/>
      <c r="AE902" s="46"/>
      <c r="AF902" s="244">
        <v>31.5863853513204</v>
      </c>
      <c r="AG902" s="242" t="s">
        <v>354</v>
      </c>
      <c r="AH902" s="243"/>
      <c r="AI902" s="242" t="s">
        <v>354</v>
      </c>
      <c r="AJ902" s="255"/>
      <c r="AK902" s="269"/>
      <c r="AL902" s="91" t="s">
        <v>413</v>
      </c>
      <c r="AM902" s="119" t="s">
        <v>413</v>
      </c>
      <c r="AN902" s="91" t="s">
        <v>413</v>
      </c>
    </row>
    <row r="903">
      <c r="A903" s="246" t="s">
        <v>1050</v>
      </c>
      <c r="B903" s="18" t="s">
        <v>1051</v>
      </c>
      <c r="C903" s="19"/>
      <c r="D903" s="247" t="s">
        <v>736</v>
      </c>
      <c r="E903" s="248" t="s">
        <v>62</v>
      </c>
      <c r="F903" s="246" t="s">
        <v>67</v>
      </c>
      <c r="G903" s="246">
        <v>96.0</v>
      </c>
      <c r="H903" s="246">
        <v>100.0</v>
      </c>
      <c r="I903" s="250" t="s">
        <v>354</v>
      </c>
      <c r="J903" s="249"/>
      <c r="K903" s="246">
        <v>0.0</v>
      </c>
      <c r="L903" s="246">
        <v>0.0</v>
      </c>
      <c r="M903" s="246" t="s">
        <v>354</v>
      </c>
      <c r="N903" s="174" t="s">
        <v>17</v>
      </c>
      <c r="O903" s="174" t="s">
        <v>17</v>
      </c>
      <c r="P903" s="174" t="s">
        <v>17</v>
      </c>
      <c r="Q903" s="174" t="s">
        <v>17</v>
      </c>
      <c r="R903" s="174" t="s">
        <v>17</v>
      </c>
      <c r="S903" s="174" t="s">
        <v>17</v>
      </c>
      <c r="T903" s="174" t="s">
        <v>17</v>
      </c>
      <c r="U903" s="174" t="s">
        <v>17</v>
      </c>
      <c r="V903" s="174" t="s">
        <v>17</v>
      </c>
      <c r="W903" s="18" t="s">
        <v>1052</v>
      </c>
      <c r="X903" s="246"/>
      <c r="Y903" s="246"/>
      <c r="Z903" s="246"/>
      <c r="AA903" s="249"/>
      <c r="AB903" s="158" t="s">
        <v>455</v>
      </c>
      <c r="AC903" s="249"/>
      <c r="AD903" s="249"/>
      <c r="AE903" s="249"/>
      <c r="AF903" s="246">
        <v>0.0</v>
      </c>
      <c r="AG903" s="246" t="s">
        <v>354</v>
      </c>
      <c r="AH903" s="249"/>
      <c r="AI903" s="246" t="s">
        <v>354</v>
      </c>
      <c r="AJ903" s="249"/>
      <c r="AK903" s="249"/>
      <c r="AL903" s="246" t="s">
        <v>356</v>
      </c>
      <c r="AM903" s="246" t="s">
        <v>356</v>
      </c>
      <c r="AN903" s="246" t="s">
        <v>356</v>
      </c>
    </row>
    <row r="904">
      <c r="A904" s="246" t="s">
        <v>1050</v>
      </c>
      <c r="B904" s="18" t="s">
        <v>1051</v>
      </c>
      <c r="C904" s="19"/>
      <c r="D904" s="247" t="s">
        <v>736</v>
      </c>
      <c r="E904" s="248" t="s">
        <v>37</v>
      </c>
      <c r="F904" s="246" t="s">
        <v>67</v>
      </c>
      <c r="G904" s="246" t="s">
        <v>354</v>
      </c>
      <c r="H904" s="250" t="s">
        <v>354</v>
      </c>
      <c r="I904" s="250" t="s">
        <v>354</v>
      </c>
      <c r="J904" s="250" t="s">
        <v>354</v>
      </c>
      <c r="K904" s="250" t="s">
        <v>354</v>
      </c>
      <c r="L904" s="78">
        <v>1.0</v>
      </c>
      <c r="M904" s="78" t="s">
        <v>1053</v>
      </c>
      <c r="N904" s="174" t="s">
        <v>17</v>
      </c>
      <c r="O904" s="174" t="s">
        <v>17</v>
      </c>
      <c r="P904" s="174" t="s">
        <v>17</v>
      </c>
      <c r="Q904" s="174" t="s">
        <v>17</v>
      </c>
      <c r="R904" s="174" t="s">
        <v>17</v>
      </c>
      <c r="S904" s="174" t="s">
        <v>17</v>
      </c>
      <c r="T904" s="174" t="s">
        <v>17</v>
      </c>
      <c r="U904" s="174" t="s">
        <v>17</v>
      </c>
      <c r="V904" s="174" t="s">
        <v>17</v>
      </c>
      <c r="W904" s="18" t="s">
        <v>1052</v>
      </c>
      <c r="X904" s="18" t="s">
        <v>1054</v>
      </c>
      <c r="Y904" s="246"/>
      <c r="Z904" s="246"/>
      <c r="AA904" s="249"/>
      <c r="AB904" s="158" t="s">
        <v>455</v>
      </c>
      <c r="AC904" s="249"/>
      <c r="AD904" s="249"/>
      <c r="AE904" s="249"/>
      <c r="AF904" s="246">
        <v>0.0</v>
      </c>
      <c r="AG904" s="246" t="s">
        <v>354</v>
      </c>
      <c r="AH904" s="249"/>
      <c r="AI904" s="246" t="s">
        <v>354</v>
      </c>
      <c r="AJ904" s="249"/>
      <c r="AK904" s="249"/>
      <c r="AL904" s="246" t="s">
        <v>356</v>
      </c>
      <c r="AM904" s="246" t="s">
        <v>356</v>
      </c>
      <c r="AN904" s="246" t="s">
        <v>356</v>
      </c>
    </row>
    <row r="905">
      <c r="A905" s="246" t="s">
        <v>1050</v>
      </c>
      <c r="B905" s="18" t="s">
        <v>1051</v>
      </c>
      <c r="C905" s="19"/>
      <c r="D905" s="247" t="s">
        <v>736</v>
      </c>
      <c r="E905" s="248" t="s">
        <v>37</v>
      </c>
      <c r="F905" s="246" t="s">
        <v>67</v>
      </c>
      <c r="G905" s="250" t="s">
        <v>354</v>
      </c>
      <c r="H905" s="250" t="s">
        <v>354</v>
      </c>
      <c r="I905" s="250" t="s">
        <v>354</v>
      </c>
      <c r="J905" s="250" t="s">
        <v>354</v>
      </c>
      <c r="K905" s="250" t="s">
        <v>354</v>
      </c>
      <c r="L905" s="78">
        <v>1.0</v>
      </c>
      <c r="M905" s="78" t="s">
        <v>1053</v>
      </c>
      <c r="N905" s="174" t="s">
        <v>17</v>
      </c>
      <c r="O905" s="174" t="s">
        <v>17</v>
      </c>
      <c r="P905" s="174" t="s">
        <v>17</v>
      </c>
      <c r="Q905" s="174" t="s">
        <v>17</v>
      </c>
      <c r="R905" s="174" t="s">
        <v>17</v>
      </c>
      <c r="S905" s="174" t="s">
        <v>17</v>
      </c>
      <c r="T905" s="174" t="s">
        <v>17</v>
      </c>
      <c r="U905" s="174" t="s">
        <v>17</v>
      </c>
      <c r="V905" s="174" t="s">
        <v>17</v>
      </c>
      <c r="W905" s="18" t="s">
        <v>1052</v>
      </c>
      <c r="X905" s="18" t="s">
        <v>1054</v>
      </c>
      <c r="Y905" s="18" t="s">
        <v>1055</v>
      </c>
      <c r="Z905" s="44" t="s">
        <v>373</v>
      </c>
      <c r="AA905" s="249"/>
      <c r="AB905" s="158" t="s">
        <v>455</v>
      </c>
      <c r="AC905" s="249"/>
      <c r="AD905" s="249"/>
      <c r="AE905" s="249"/>
      <c r="AF905" s="246">
        <v>0.0</v>
      </c>
      <c r="AG905" s="246" t="s">
        <v>354</v>
      </c>
      <c r="AH905" s="249"/>
      <c r="AI905" s="246" t="s">
        <v>354</v>
      </c>
      <c r="AJ905" s="249"/>
      <c r="AK905" s="249"/>
      <c r="AL905" s="246" t="s">
        <v>356</v>
      </c>
      <c r="AM905" s="246" t="s">
        <v>356</v>
      </c>
      <c r="AN905" s="115" t="s">
        <v>358</v>
      </c>
    </row>
    <row r="906">
      <c r="A906" s="246" t="s">
        <v>1050</v>
      </c>
      <c r="B906" s="18" t="s">
        <v>1051</v>
      </c>
      <c r="C906" s="19"/>
      <c r="D906" s="247" t="s">
        <v>736</v>
      </c>
      <c r="E906" s="248" t="s">
        <v>37</v>
      </c>
      <c r="F906" s="246" t="s">
        <v>67</v>
      </c>
      <c r="G906" s="250" t="s">
        <v>354</v>
      </c>
      <c r="H906" s="250" t="s">
        <v>354</v>
      </c>
      <c r="I906" s="250" t="s">
        <v>354</v>
      </c>
      <c r="J906" s="250" t="s">
        <v>354</v>
      </c>
      <c r="K906" s="250" t="s">
        <v>354</v>
      </c>
      <c r="L906" s="78">
        <v>1.0</v>
      </c>
      <c r="M906" s="78" t="s">
        <v>1053</v>
      </c>
      <c r="N906" s="174" t="s">
        <v>17</v>
      </c>
      <c r="O906" s="174" t="s">
        <v>17</v>
      </c>
      <c r="P906" s="174" t="s">
        <v>17</v>
      </c>
      <c r="Q906" s="174" t="s">
        <v>17</v>
      </c>
      <c r="R906" s="174" t="s">
        <v>17</v>
      </c>
      <c r="S906" s="174" t="s">
        <v>17</v>
      </c>
      <c r="T906" s="174" t="s">
        <v>17</v>
      </c>
      <c r="U906" s="174" t="s">
        <v>17</v>
      </c>
      <c r="V906" s="174" t="s">
        <v>17</v>
      </c>
      <c r="W906" s="18" t="s">
        <v>1052</v>
      </c>
      <c r="X906" s="18" t="s">
        <v>1054</v>
      </c>
      <c r="Y906" s="18" t="s">
        <v>1055</v>
      </c>
      <c r="Z906" s="44" t="s">
        <v>373</v>
      </c>
      <c r="AA906" s="18" t="s">
        <v>1055</v>
      </c>
      <c r="AB906" s="158" t="s">
        <v>455</v>
      </c>
      <c r="AC906" s="249"/>
      <c r="AD906" s="249"/>
      <c r="AE906" s="249"/>
      <c r="AF906" s="246">
        <v>0.0</v>
      </c>
      <c r="AG906" s="246" t="s">
        <v>354</v>
      </c>
      <c r="AH906" s="249"/>
      <c r="AI906" s="246" t="s">
        <v>354</v>
      </c>
      <c r="AJ906" s="249"/>
      <c r="AK906" s="249"/>
      <c r="AL906" s="246" t="s">
        <v>356</v>
      </c>
      <c r="AM906" s="246" t="s">
        <v>356</v>
      </c>
      <c r="AN906" s="246" t="s">
        <v>356</v>
      </c>
    </row>
    <row r="907">
      <c r="A907" s="46"/>
      <c r="B907" s="72"/>
      <c r="C907" s="46"/>
      <c r="D907" s="47"/>
      <c r="E907" s="153"/>
      <c r="F907" s="57"/>
      <c r="G907" s="57"/>
      <c r="H907" s="57"/>
      <c r="I907" s="57"/>
      <c r="J907" s="57"/>
      <c r="K907" s="57"/>
      <c r="L907" s="57"/>
      <c r="M907" s="57"/>
      <c r="N907" s="46"/>
      <c r="O907" s="46"/>
      <c r="P907" s="46"/>
      <c r="Q907" s="46"/>
      <c r="R907" s="46"/>
      <c r="S907" s="46"/>
      <c r="T907" s="49"/>
      <c r="U907" s="49"/>
      <c r="V907" s="49"/>
      <c r="W907" s="49"/>
      <c r="X907" s="49"/>
      <c r="Y907" s="49"/>
      <c r="Z907" s="49"/>
      <c r="AA907" s="49"/>
      <c r="AB907" s="49"/>
      <c r="AC907" s="46"/>
      <c r="AD907" s="46"/>
      <c r="AE907" s="46"/>
      <c r="AF907" s="56"/>
      <c r="AG907" s="63"/>
      <c r="AH907" s="48"/>
      <c r="AI907" s="63"/>
      <c r="AJ907" s="46"/>
      <c r="AK907" s="46"/>
      <c r="AL907" s="157"/>
      <c r="AM907" s="157"/>
      <c r="AN907" s="157"/>
    </row>
    <row r="908">
      <c r="A908" s="276" t="s">
        <v>1056</v>
      </c>
      <c r="B908" s="276" t="s">
        <v>1056</v>
      </c>
      <c r="C908" s="136"/>
      <c r="D908" s="277" t="s">
        <v>1057</v>
      </c>
      <c r="E908" s="278" t="s">
        <v>1057</v>
      </c>
      <c r="F908" s="276" t="s">
        <v>1057</v>
      </c>
      <c r="G908" s="279" t="s">
        <v>354</v>
      </c>
      <c r="H908" s="279" t="s">
        <v>354</v>
      </c>
      <c r="I908" s="279" t="s">
        <v>354</v>
      </c>
      <c r="J908" s="279" t="s">
        <v>354</v>
      </c>
      <c r="K908" s="279" t="s">
        <v>354</v>
      </c>
      <c r="L908" s="279" t="s">
        <v>354</v>
      </c>
      <c r="M908" s="279" t="s">
        <v>354</v>
      </c>
      <c r="N908" s="174" t="s">
        <v>17</v>
      </c>
      <c r="O908" s="174" t="s">
        <v>17</v>
      </c>
      <c r="P908" s="174" t="s">
        <v>17</v>
      </c>
      <c r="Q908" s="174" t="s">
        <v>17</v>
      </c>
      <c r="R908" s="174" t="s">
        <v>17</v>
      </c>
      <c r="S908" s="174" t="s">
        <v>17</v>
      </c>
      <c r="T908" s="174" t="s">
        <v>17</v>
      </c>
      <c r="U908" s="174" t="s">
        <v>17</v>
      </c>
      <c r="V908" s="174" t="s">
        <v>17</v>
      </c>
      <c r="W908" s="174" t="s">
        <v>17</v>
      </c>
      <c r="X908" s="18" t="s">
        <v>1056</v>
      </c>
      <c r="Y908" s="44" t="s">
        <v>373</v>
      </c>
      <c r="Z908" s="61" t="s">
        <v>373</v>
      </c>
      <c r="AA908" s="62" t="s">
        <v>373</v>
      </c>
      <c r="AB908" s="276" t="s">
        <v>1058</v>
      </c>
      <c r="AC908" s="183"/>
      <c r="AD908" s="183"/>
      <c r="AE908" s="183"/>
      <c r="AF908" s="279">
        <v>0.0</v>
      </c>
      <c r="AG908" s="279" t="s">
        <v>354</v>
      </c>
      <c r="AH908" s="176"/>
      <c r="AI908" s="279" t="s">
        <v>354</v>
      </c>
      <c r="AJ908" s="176"/>
      <c r="AK908" s="176"/>
      <c r="AL908" s="279" t="s">
        <v>356</v>
      </c>
      <c r="AM908" s="279" t="s">
        <v>356</v>
      </c>
      <c r="AN908" s="279" t="s">
        <v>356</v>
      </c>
    </row>
    <row r="909">
      <c r="A909" s="176" t="s">
        <v>207</v>
      </c>
      <c r="B909" s="280" t="s">
        <v>17</v>
      </c>
      <c r="C909" s="19" t="s">
        <v>206</v>
      </c>
      <c r="D909" s="277" t="s">
        <v>1057</v>
      </c>
      <c r="E909" s="278" t="s">
        <v>1057</v>
      </c>
      <c r="F909" s="276" t="s">
        <v>1057</v>
      </c>
      <c r="G909" s="279" t="s">
        <v>354</v>
      </c>
      <c r="H909" s="279" t="s">
        <v>354</v>
      </c>
      <c r="I909" s="279" t="s">
        <v>354</v>
      </c>
      <c r="J909" s="279" t="s">
        <v>354</v>
      </c>
      <c r="K909" s="279" t="s">
        <v>354</v>
      </c>
      <c r="L909" s="279" t="s">
        <v>354</v>
      </c>
      <c r="M909" s="279" t="s">
        <v>354</v>
      </c>
      <c r="N909" s="101" t="s">
        <v>17</v>
      </c>
      <c r="O909" s="101" t="s">
        <v>17</v>
      </c>
      <c r="P909" s="101" t="s">
        <v>17</v>
      </c>
      <c r="Q909" s="101" t="s">
        <v>17</v>
      </c>
      <c r="R909" s="101" t="s">
        <v>17</v>
      </c>
      <c r="S909" s="101" t="s">
        <v>17</v>
      </c>
      <c r="T909" s="101" t="s">
        <v>17</v>
      </c>
      <c r="U909" s="101" t="s">
        <v>17</v>
      </c>
      <c r="V909" s="101" t="s">
        <v>17</v>
      </c>
      <c r="W909" s="101" t="s">
        <v>17</v>
      </c>
      <c r="X909" s="101" t="s">
        <v>17</v>
      </c>
      <c r="Y909" s="24" t="s">
        <v>207</v>
      </c>
      <c r="Z909" s="44" t="s">
        <v>373</v>
      </c>
      <c r="AA909" s="61" t="s">
        <v>373</v>
      </c>
      <c r="AB909" s="276" t="s">
        <v>1059</v>
      </c>
      <c r="AC909" s="176"/>
      <c r="AD909" s="176"/>
      <c r="AE909" s="176"/>
      <c r="AF909" s="278">
        <v>0.0</v>
      </c>
      <c r="AG909" s="276" t="s">
        <v>354</v>
      </c>
      <c r="AH909" s="176"/>
      <c r="AI909" s="276" t="s">
        <v>354</v>
      </c>
      <c r="AJ909" s="176"/>
      <c r="AK909" s="176"/>
      <c r="AL909" s="281" t="s">
        <v>356</v>
      </c>
      <c r="AM909" s="281" t="s">
        <v>356</v>
      </c>
      <c r="AN909" s="281" t="s">
        <v>356</v>
      </c>
    </row>
    <row r="910">
      <c r="A910" s="282" t="s">
        <v>1060</v>
      </c>
      <c r="B910" s="282" t="s">
        <v>1060</v>
      </c>
      <c r="C910" s="176"/>
      <c r="D910" s="277" t="s">
        <v>1057</v>
      </c>
      <c r="E910" s="278" t="s">
        <v>1057</v>
      </c>
      <c r="F910" s="276" t="s">
        <v>1057</v>
      </c>
      <c r="G910" s="279" t="s">
        <v>354</v>
      </c>
      <c r="H910" s="279" t="s">
        <v>354</v>
      </c>
      <c r="I910" s="279" t="s">
        <v>354</v>
      </c>
      <c r="J910" s="279" t="s">
        <v>354</v>
      </c>
      <c r="K910" s="279" t="s">
        <v>354</v>
      </c>
      <c r="L910" s="279" t="s">
        <v>354</v>
      </c>
      <c r="M910" s="279" t="s">
        <v>354</v>
      </c>
      <c r="N910" s="174" t="s">
        <v>17</v>
      </c>
      <c r="O910" s="174" t="s">
        <v>17</v>
      </c>
      <c r="P910" s="174" t="s">
        <v>17</v>
      </c>
      <c r="Q910" s="174" t="s">
        <v>17</v>
      </c>
      <c r="R910" s="174" t="s">
        <v>17</v>
      </c>
      <c r="S910" s="174" t="s">
        <v>17</v>
      </c>
      <c r="T910" s="174" t="s">
        <v>17</v>
      </c>
      <c r="U910" s="174" t="s">
        <v>17</v>
      </c>
      <c r="V910" s="174" t="s">
        <v>17</v>
      </c>
      <c r="W910" s="174" t="s">
        <v>17</v>
      </c>
      <c r="X910" s="174" t="s">
        <v>17</v>
      </c>
      <c r="Y910" s="273" t="s">
        <v>1060</v>
      </c>
      <c r="Z910" s="44" t="s">
        <v>373</v>
      </c>
      <c r="AA910" s="61" t="s">
        <v>373</v>
      </c>
      <c r="AB910" s="276" t="s">
        <v>1061</v>
      </c>
      <c r="AC910" s="176"/>
      <c r="AD910" s="176"/>
      <c r="AE910" s="176"/>
      <c r="AF910" s="283">
        <v>38.4431031895471</v>
      </c>
      <c r="AG910" s="279" t="s">
        <v>354</v>
      </c>
      <c r="AH910" s="176"/>
      <c r="AI910" s="279" t="s">
        <v>354</v>
      </c>
      <c r="AJ910" s="176"/>
      <c r="AK910" s="176"/>
      <c r="AL910" s="103" t="s">
        <v>389</v>
      </c>
      <c r="AM910" s="103" t="s">
        <v>389</v>
      </c>
      <c r="AN910" s="103" t="s">
        <v>389</v>
      </c>
    </row>
    <row r="911">
      <c r="A911" s="276" t="s">
        <v>1062</v>
      </c>
      <c r="B911" s="276" t="s">
        <v>1062</v>
      </c>
      <c r="C911" s="176"/>
      <c r="D911" s="277" t="s">
        <v>1057</v>
      </c>
      <c r="E911" s="278" t="s">
        <v>1057</v>
      </c>
      <c r="F911" s="276" t="s">
        <v>1057</v>
      </c>
      <c r="G911" s="279" t="s">
        <v>354</v>
      </c>
      <c r="H911" s="279" t="s">
        <v>354</v>
      </c>
      <c r="I911" s="279" t="s">
        <v>354</v>
      </c>
      <c r="J911" s="279" t="s">
        <v>354</v>
      </c>
      <c r="K911" s="279" t="s">
        <v>354</v>
      </c>
      <c r="L911" s="279" t="s">
        <v>354</v>
      </c>
      <c r="M911" s="279" t="s">
        <v>354</v>
      </c>
      <c r="N911" s="101" t="s">
        <v>17</v>
      </c>
      <c r="O911" s="101" t="s">
        <v>17</v>
      </c>
      <c r="P911" s="101" t="s">
        <v>17</v>
      </c>
      <c r="Q911" s="101" t="s">
        <v>17</v>
      </c>
      <c r="R911" s="101" t="s">
        <v>17</v>
      </c>
      <c r="S911" s="101" t="s">
        <v>17</v>
      </c>
      <c r="T911" s="101" t="s">
        <v>17</v>
      </c>
      <c r="U911" s="101" t="s">
        <v>17</v>
      </c>
      <c r="V911" s="101" t="s">
        <v>17</v>
      </c>
      <c r="W911" s="101" t="s">
        <v>17</v>
      </c>
      <c r="X911" s="101" t="s">
        <v>17</v>
      </c>
      <c r="Y911" s="101" t="s">
        <v>17</v>
      </c>
      <c r="Z911" s="18" t="s">
        <v>1062</v>
      </c>
      <c r="AA911" s="44" t="s">
        <v>373</v>
      </c>
      <c r="AB911" s="276" t="s">
        <v>1063</v>
      </c>
      <c r="AC911" s="183"/>
      <c r="AD911" s="183"/>
      <c r="AE911" s="183"/>
      <c r="AF911" s="284">
        <v>29.8489942356249</v>
      </c>
      <c r="AG911" s="285" t="s">
        <v>365</v>
      </c>
      <c r="AH911" s="183"/>
      <c r="AI911" s="164" t="s">
        <v>413</v>
      </c>
      <c r="AJ911" s="164" t="s">
        <v>413</v>
      </c>
      <c r="AK911" s="164" t="s">
        <v>413</v>
      </c>
      <c r="AL911" s="105" t="s">
        <v>413</v>
      </c>
      <c r="AM911" s="105" t="s">
        <v>413</v>
      </c>
      <c r="AN911" s="105" t="s">
        <v>413</v>
      </c>
    </row>
    <row r="912">
      <c r="A912" s="276" t="s">
        <v>17</v>
      </c>
      <c r="B912" s="276" t="s">
        <v>1064</v>
      </c>
      <c r="C912" s="176"/>
      <c r="D912" s="277" t="s">
        <v>1057</v>
      </c>
      <c r="E912" s="278" t="s">
        <v>1057</v>
      </c>
      <c r="F912" s="276" t="s">
        <v>1057</v>
      </c>
      <c r="G912" s="279" t="s">
        <v>354</v>
      </c>
      <c r="H912" s="279" t="s">
        <v>354</v>
      </c>
      <c r="I912" s="279" t="s">
        <v>354</v>
      </c>
      <c r="J912" s="279" t="s">
        <v>354</v>
      </c>
      <c r="K912" s="279" t="s">
        <v>354</v>
      </c>
      <c r="L912" s="279" t="s">
        <v>354</v>
      </c>
      <c r="M912" s="279" t="s">
        <v>354</v>
      </c>
      <c r="N912" s="174" t="s">
        <v>17</v>
      </c>
      <c r="O912" s="174" t="s">
        <v>17</v>
      </c>
      <c r="P912" s="174" t="s">
        <v>17</v>
      </c>
      <c r="Q912" s="174" t="s">
        <v>17</v>
      </c>
      <c r="R912" s="174" t="s">
        <v>17</v>
      </c>
      <c r="S912" s="174" t="s">
        <v>17</v>
      </c>
      <c r="T912" s="174" t="s">
        <v>17</v>
      </c>
      <c r="U912" s="174" t="s">
        <v>17</v>
      </c>
      <c r="V912" s="174" t="s">
        <v>17</v>
      </c>
      <c r="W912" s="174" t="s">
        <v>17</v>
      </c>
      <c r="X912" s="174" t="s">
        <v>17</v>
      </c>
      <c r="Y912" s="174" t="s">
        <v>17</v>
      </c>
      <c r="Z912" s="18" t="s">
        <v>1064</v>
      </c>
      <c r="AA912" s="44" t="s">
        <v>373</v>
      </c>
      <c r="AB912" s="276" t="s">
        <v>1058</v>
      </c>
      <c r="AC912" s="183"/>
      <c r="AD912" s="183"/>
      <c r="AE912" s="183"/>
      <c r="AF912" s="276">
        <v>0.0</v>
      </c>
      <c r="AG912" s="276" t="s">
        <v>354</v>
      </c>
      <c r="AH912" s="176"/>
      <c r="AI912" s="276" t="s">
        <v>354</v>
      </c>
      <c r="AJ912" s="176"/>
      <c r="AK912" s="176"/>
      <c r="AL912" s="286" t="s">
        <v>356</v>
      </c>
      <c r="AM912" s="287" t="s">
        <v>361</v>
      </c>
      <c r="AN912" s="286" t="s">
        <v>356</v>
      </c>
    </row>
    <row r="914">
      <c r="A914" s="49"/>
      <c r="B914" s="49"/>
      <c r="C914" s="46"/>
      <c r="D914" s="288"/>
      <c r="E914" s="63"/>
      <c r="F914" s="49"/>
      <c r="G914" s="46"/>
      <c r="H914" s="46"/>
      <c r="I914" s="46"/>
      <c r="J914" s="46"/>
      <c r="K914" s="46"/>
      <c r="L914" s="46"/>
      <c r="M914" s="46"/>
      <c r="N914" s="49"/>
      <c r="O914" s="49"/>
      <c r="P914" s="49"/>
      <c r="Q914" s="49"/>
      <c r="R914" s="49"/>
      <c r="S914" s="49"/>
      <c r="T914" s="49"/>
      <c r="U914" s="49"/>
      <c r="V914" s="49"/>
      <c r="W914" s="49"/>
      <c r="X914" s="49"/>
      <c r="Y914" s="49"/>
      <c r="Z914" s="49"/>
      <c r="AA914" s="46"/>
      <c r="AB914" s="46"/>
      <c r="AC914" s="46"/>
      <c r="AD914" s="46"/>
      <c r="AE914" s="46"/>
      <c r="AF914" s="46"/>
      <c r="AG914" s="46"/>
      <c r="AH914" s="46"/>
      <c r="AI914" s="46"/>
      <c r="AJ914" s="46"/>
      <c r="AK914" s="46"/>
      <c r="AL914" s="46"/>
      <c r="AM914" s="46"/>
      <c r="AN914" s="46"/>
    </row>
    <row r="915">
      <c r="A915" s="49"/>
      <c r="B915" s="49"/>
      <c r="C915" s="46"/>
      <c r="D915" s="288"/>
      <c r="E915" s="63"/>
      <c r="F915" s="49"/>
      <c r="G915" s="46"/>
      <c r="H915" s="46"/>
      <c r="I915" s="46"/>
      <c r="J915" s="46"/>
      <c r="K915" s="46"/>
      <c r="L915" s="46"/>
      <c r="M915" s="46"/>
      <c r="N915" s="49"/>
      <c r="O915" s="49"/>
      <c r="P915" s="49"/>
      <c r="Q915" s="49"/>
      <c r="R915" s="49"/>
      <c r="S915" s="49"/>
      <c r="T915" s="49"/>
      <c r="U915" s="49"/>
      <c r="V915" s="49"/>
      <c r="W915" s="49"/>
      <c r="X915" s="49"/>
      <c r="Y915" s="49"/>
      <c r="Z915" s="49"/>
      <c r="AA915" s="46"/>
      <c r="AB915" s="46"/>
      <c r="AC915" s="46"/>
      <c r="AD915" s="46"/>
      <c r="AE915" s="46"/>
      <c r="AF915" s="46"/>
      <c r="AG915" s="46"/>
      <c r="AH915" s="46"/>
      <c r="AI915" s="46"/>
      <c r="AJ915" s="46"/>
      <c r="AK915" s="46"/>
      <c r="AL915" s="46"/>
      <c r="AM915" s="46"/>
      <c r="AN915" s="46"/>
    </row>
    <row r="916">
      <c r="A916" s="49"/>
      <c r="B916" s="49"/>
      <c r="C916" s="46"/>
      <c r="D916" s="288"/>
      <c r="E916" s="63"/>
      <c r="F916" s="49"/>
      <c r="G916" s="46"/>
      <c r="H916" s="46"/>
      <c r="I916" s="46"/>
      <c r="J916" s="46"/>
      <c r="K916" s="46"/>
      <c r="L916" s="46"/>
      <c r="M916" s="46"/>
      <c r="N916" s="49"/>
      <c r="O916" s="49"/>
      <c r="P916" s="49"/>
      <c r="Q916" s="49"/>
      <c r="R916" s="49"/>
      <c r="S916" s="49"/>
      <c r="T916" s="49"/>
      <c r="U916" s="49"/>
      <c r="V916" s="49"/>
      <c r="W916" s="49"/>
      <c r="X916" s="49"/>
      <c r="Y916" s="49"/>
      <c r="Z916" s="49"/>
      <c r="AA916" s="46"/>
      <c r="AB916" s="46"/>
      <c r="AC916" s="46"/>
      <c r="AD916" s="46"/>
      <c r="AE916" s="46"/>
      <c r="AF916" s="46"/>
      <c r="AG916" s="46"/>
      <c r="AH916" s="46"/>
      <c r="AI916" s="46"/>
      <c r="AJ916" s="46"/>
      <c r="AK916" s="46"/>
      <c r="AL916" s="46"/>
      <c r="AM916" s="46"/>
      <c r="AN916" s="4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0"/>
  <cols>
    <col customWidth="1" min="1" max="1" width="25.43"/>
    <col customWidth="1" min="2" max="2" width="25.86"/>
    <col customWidth="1" min="3" max="3" width="7.0"/>
    <col customWidth="1" min="4" max="4" width="8.71"/>
    <col customWidth="1" min="5" max="5" width="4.0"/>
    <col customWidth="1" min="6" max="6" width="13.71"/>
    <col customWidth="1" min="7" max="7" width="10.0"/>
    <col customWidth="1" min="8" max="9" width="14.29"/>
    <col customWidth="1" min="10" max="10" width="14.57"/>
    <col customWidth="1" min="11" max="11" width="15.43"/>
    <col customWidth="1" min="12" max="12" width="14.14"/>
    <col customWidth="1" min="13" max="13" width="7.43"/>
    <col customWidth="1" min="14" max="14" width="12.57"/>
    <col customWidth="1" min="15" max="15" width="28.71"/>
    <col customWidth="1" min="16" max="16" width="14.14"/>
    <col customWidth="1" min="17" max="17" width="11.43"/>
    <col customWidth="1" min="18" max="18" width="14.29"/>
    <col customWidth="1" min="19" max="19" width="11.71"/>
    <col customWidth="1" min="20" max="20" width="18.14"/>
    <col customWidth="1" min="21" max="21" width="7.86"/>
    <col customWidth="1" min="22" max="22" width="9.57"/>
    <col customWidth="1" min="23" max="23" width="20.57"/>
    <col customWidth="1" min="24" max="24" width="9.57"/>
    <col customWidth="1" min="25" max="27" width="7.86"/>
    <col customWidth="1" min="28" max="28" width="11.57"/>
    <col customWidth="1" min="29" max="29" width="11.43"/>
  </cols>
  <sheetData>
    <row r="1">
      <c r="A1" s="289" t="s">
        <v>2</v>
      </c>
      <c r="B1" s="289" t="s">
        <v>331</v>
      </c>
      <c r="C1" s="290" t="s">
        <v>1</v>
      </c>
      <c r="D1" s="291" t="s">
        <v>1065</v>
      </c>
      <c r="E1" s="292" t="s">
        <v>4</v>
      </c>
      <c r="F1" s="293" t="s">
        <v>334</v>
      </c>
      <c r="G1" s="293" t="s">
        <v>1066</v>
      </c>
      <c r="H1" s="293" t="s">
        <v>1067</v>
      </c>
      <c r="I1" s="293" t="s">
        <v>1068</v>
      </c>
      <c r="J1" s="293" t="s">
        <v>1069</v>
      </c>
      <c r="K1" s="293" t="s">
        <v>1070</v>
      </c>
      <c r="L1" s="293" t="s">
        <v>1071</v>
      </c>
      <c r="M1" s="293" t="s">
        <v>1070</v>
      </c>
      <c r="N1" s="293" t="s">
        <v>1072</v>
      </c>
      <c r="O1" s="293" t="s">
        <v>1073</v>
      </c>
      <c r="P1" s="293" t="s">
        <v>1074</v>
      </c>
      <c r="Q1" s="293" t="s">
        <v>1075</v>
      </c>
      <c r="R1" s="293" t="s">
        <v>1076</v>
      </c>
      <c r="S1" s="293" t="s">
        <v>1077</v>
      </c>
      <c r="T1" s="293" t="s">
        <v>1078</v>
      </c>
      <c r="U1" s="293" t="s">
        <v>1079</v>
      </c>
      <c r="V1" s="293" t="s">
        <v>1080</v>
      </c>
      <c r="W1" s="293" t="s">
        <v>1081</v>
      </c>
      <c r="X1" s="293" t="s">
        <v>1082</v>
      </c>
      <c r="Y1" s="293" t="s">
        <v>1083</v>
      </c>
      <c r="Z1" s="293" t="s">
        <v>1084</v>
      </c>
      <c r="AA1" s="293" t="s">
        <v>1085</v>
      </c>
      <c r="AB1" s="293" t="s">
        <v>1086</v>
      </c>
      <c r="AC1" s="293" t="s">
        <v>1087</v>
      </c>
    </row>
    <row r="2" hidden="1">
      <c r="A2" s="17" t="s">
        <v>6</v>
      </c>
      <c r="B2" s="95" t="s">
        <v>352</v>
      </c>
      <c r="C2" s="47" t="s">
        <v>353</v>
      </c>
      <c r="D2" s="48" t="s">
        <v>7</v>
      </c>
      <c r="E2" s="46" t="s">
        <v>8</v>
      </c>
      <c r="F2" s="178" t="s">
        <v>17</v>
      </c>
      <c r="G2" s="178">
        <v>1.0</v>
      </c>
      <c r="H2" s="178">
        <v>1.0</v>
      </c>
      <c r="I2" s="178">
        <f t="shared" ref="I2:J2" si="1">date(2010,11,5)-date(2010,1,28)</f>
        <v>281</v>
      </c>
      <c r="J2" s="178">
        <f t="shared" si="1"/>
        <v>281</v>
      </c>
      <c r="K2" s="178" t="s">
        <v>357</v>
      </c>
      <c r="L2">
        <f>date(2012,1,31)-date(2010,11,5)</f>
        <v>452</v>
      </c>
      <c r="M2" s="178" t="s">
        <v>357</v>
      </c>
      <c r="N2" s="178">
        <v>1.0</v>
      </c>
      <c r="O2" s="178" t="s">
        <v>1088</v>
      </c>
      <c r="P2">
        <f>H133-H131</f>
        <v>113</v>
      </c>
      <c r="Q2" s="178" t="s">
        <v>1089</v>
      </c>
      <c r="R2" s="178">
        <v>0.0</v>
      </c>
      <c r="S2" s="178" t="s">
        <v>17</v>
      </c>
      <c r="T2" s="178" t="s">
        <v>17</v>
      </c>
      <c r="U2" s="178">
        <v>1.0</v>
      </c>
      <c r="V2" s="178">
        <v>0.0</v>
      </c>
      <c r="W2" s="178" t="s">
        <v>17</v>
      </c>
      <c r="X2">
        <f>G131-G129</f>
        <v>184</v>
      </c>
      <c r="Y2" s="178">
        <v>0.0</v>
      </c>
      <c r="Z2" s="178">
        <v>0.0</v>
      </c>
      <c r="AA2" s="178" t="s">
        <v>7</v>
      </c>
      <c r="AB2" s="178" t="s">
        <v>1090</v>
      </c>
      <c r="AC2" s="178" t="s">
        <v>1091</v>
      </c>
    </row>
    <row r="3" hidden="1">
      <c r="A3" s="45" t="s">
        <v>13</v>
      </c>
      <c r="B3" s="85" t="s">
        <v>374</v>
      </c>
      <c r="C3" s="47" t="s">
        <v>353</v>
      </c>
      <c r="D3" s="48" t="s">
        <v>7</v>
      </c>
      <c r="E3" s="46" t="s">
        <v>8</v>
      </c>
      <c r="F3" s="178" t="s">
        <v>17</v>
      </c>
      <c r="G3" s="178">
        <v>1.0</v>
      </c>
      <c r="H3" s="178">
        <v>1.0</v>
      </c>
      <c r="I3">
        <f t="shared" ref="I3:J3" si="2">date(2010,3,6)-date(2010,1,28)</f>
        <v>37</v>
      </c>
      <c r="J3">
        <f t="shared" si="2"/>
        <v>37</v>
      </c>
      <c r="K3" s="178" t="s">
        <v>357</v>
      </c>
      <c r="L3" s="178" t="s">
        <v>17</v>
      </c>
      <c r="M3" s="178" t="s">
        <v>17</v>
      </c>
      <c r="N3" s="178">
        <v>1.0</v>
      </c>
      <c r="O3" s="178" t="s">
        <v>1092</v>
      </c>
      <c r="P3" s="178" t="s">
        <v>17</v>
      </c>
      <c r="Q3" s="178" t="s">
        <v>17</v>
      </c>
      <c r="R3" s="178">
        <v>0.0</v>
      </c>
      <c r="S3" s="178" t="s">
        <v>17</v>
      </c>
      <c r="T3" s="178" t="s">
        <v>17</v>
      </c>
      <c r="U3" s="178">
        <v>1.0</v>
      </c>
      <c r="V3" s="178">
        <v>0.0</v>
      </c>
      <c r="W3" s="178" t="s">
        <v>17</v>
      </c>
      <c r="X3">
        <f>G131-G129</f>
        <v>184</v>
      </c>
      <c r="Y3" s="178">
        <v>0.0</v>
      </c>
      <c r="Z3" s="178">
        <v>0.0</v>
      </c>
      <c r="AA3" s="178" t="s">
        <v>7</v>
      </c>
      <c r="AB3" s="178" t="s">
        <v>358</v>
      </c>
      <c r="AC3" s="178" t="s">
        <v>1093</v>
      </c>
    </row>
    <row r="4" hidden="1">
      <c r="A4" s="17" t="s">
        <v>19</v>
      </c>
      <c r="B4" s="95" t="s">
        <v>383</v>
      </c>
      <c r="C4" s="47" t="s">
        <v>353</v>
      </c>
      <c r="D4" s="48" t="s">
        <v>7</v>
      </c>
      <c r="E4" s="46" t="s">
        <v>8</v>
      </c>
      <c r="F4" s="108" t="s">
        <v>17</v>
      </c>
      <c r="G4" s="178">
        <v>1.0</v>
      </c>
      <c r="H4" s="178">
        <v>1.0</v>
      </c>
      <c r="I4">
        <f>date(2010,7,14)-date(2010,1,28)</f>
        <v>167</v>
      </c>
      <c r="J4">
        <f>date(2010,5,21)-date(2010,1,28)</f>
        <v>113</v>
      </c>
      <c r="K4" s="178" t="s">
        <v>387</v>
      </c>
      <c r="L4">
        <f>date(2011,7,13)-date(2010,11,5)</f>
        <v>250</v>
      </c>
      <c r="M4" s="178" t="s">
        <v>363</v>
      </c>
      <c r="N4" s="178">
        <v>1.0</v>
      </c>
      <c r="O4" s="178" t="s">
        <v>1094</v>
      </c>
      <c r="P4" s="178" t="s">
        <v>17</v>
      </c>
      <c r="Q4" s="178" t="s">
        <v>17</v>
      </c>
      <c r="R4" s="178">
        <v>0.0</v>
      </c>
      <c r="S4" s="178" t="s">
        <v>17</v>
      </c>
      <c r="T4" s="178" t="s">
        <v>17</v>
      </c>
      <c r="U4" s="178">
        <v>1.0</v>
      </c>
      <c r="V4" s="178">
        <v>0.0</v>
      </c>
      <c r="W4" s="178" t="s">
        <v>17</v>
      </c>
      <c r="X4">
        <f>G131-G129</f>
        <v>184</v>
      </c>
      <c r="Y4" s="178">
        <v>0.0</v>
      </c>
      <c r="Z4" s="178">
        <v>0.0</v>
      </c>
      <c r="AA4" s="178" t="s">
        <v>7</v>
      </c>
      <c r="AB4" s="178" t="s">
        <v>1095</v>
      </c>
      <c r="AC4" s="178" t="s">
        <v>1096</v>
      </c>
    </row>
    <row r="5" hidden="1">
      <c r="A5" s="45" t="s">
        <v>24</v>
      </c>
      <c r="B5" s="85" t="s">
        <v>391</v>
      </c>
      <c r="C5" s="47" t="s">
        <v>353</v>
      </c>
      <c r="D5" s="48" t="s">
        <v>7</v>
      </c>
      <c r="E5" s="46" t="s">
        <v>8</v>
      </c>
      <c r="F5" s="178" t="s">
        <v>17</v>
      </c>
      <c r="G5" s="178">
        <v>1.0</v>
      </c>
      <c r="H5" s="178">
        <v>1.0</v>
      </c>
      <c r="I5">
        <f>H136-H134</f>
        <v>114</v>
      </c>
      <c r="J5">
        <f>H136-H134</f>
        <v>114</v>
      </c>
      <c r="K5" s="178" t="s">
        <v>357</v>
      </c>
      <c r="L5">
        <f>H139-H136</f>
        <v>438</v>
      </c>
      <c r="M5" s="178" t="s">
        <v>357</v>
      </c>
      <c r="N5" s="178">
        <v>1.0</v>
      </c>
      <c r="O5" s="178" t="s">
        <v>17</v>
      </c>
      <c r="P5" s="178" t="s">
        <v>17</v>
      </c>
      <c r="Q5" s="178" t="s">
        <v>17</v>
      </c>
      <c r="R5" s="178">
        <v>0.0</v>
      </c>
      <c r="S5" s="178" t="s">
        <v>17</v>
      </c>
      <c r="T5" s="178" t="s">
        <v>17</v>
      </c>
      <c r="U5" s="178">
        <v>1.0</v>
      </c>
      <c r="V5" s="178">
        <v>0.0</v>
      </c>
      <c r="W5" s="178" t="s">
        <v>17</v>
      </c>
      <c r="X5" s="178" t="s">
        <v>17</v>
      </c>
      <c r="Y5" s="178">
        <v>0.0</v>
      </c>
      <c r="Z5" s="178" t="s">
        <v>17</v>
      </c>
      <c r="AA5" s="178" t="s">
        <v>7</v>
      </c>
      <c r="AB5" s="178" t="s">
        <v>357</v>
      </c>
      <c r="AC5" s="178" t="s">
        <v>1097</v>
      </c>
    </row>
    <row r="6" hidden="1">
      <c r="A6" s="17" t="s">
        <v>29</v>
      </c>
      <c r="B6" s="95" t="s">
        <v>401</v>
      </c>
      <c r="C6" s="47" t="s">
        <v>353</v>
      </c>
      <c r="D6" s="48" t="s">
        <v>7</v>
      </c>
      <c r="E6" s="46" t="s">
        <v>8</v>
      </c>
      <c r="F6" s="178" t="s">
        <v>17</v>
      </c>
      <c r="G6" s="178">
        <v>1.0</v>
      </c>
      <c r="H6" s="178">
        <v>1.0</v>
      </c>
      <c r="I6">
        <f>H136-H131</f>
        <v>281</v>
      </c>
      <c r="J6">
        <f>H136-H134</f>
        <v>114</v>
      </c>
      <c r="K6" s="178" t="s">
        <v>357</v>
      </c>
      <c r="L6">
        <f>H138-H136</f>
        <v>250</v>
      </c>
      <c r="M6" s="178" t="s">
        <v>357</v>
      </c>
      <c r="N6" s="178">
        <v>1.0</v>
      </c>
      <c r="O6" s="178" t="s">
        <v>1098</v>
      </c>
      <c r="P6" s="178" t="s">
        <v>17</v>
      </c>
      <c r="Q6" s="178" t="s">
        <v>17</v>
      </c>
      <c r="R6" s="178">
        <v>0.0</v>
      </c>
      <c r="S6" s="178" t="s">
        <v>17</v>
      </c>
      <c r="T6" s="178" t="s">
        <v>17</v>
      </c>
      <c r="U6" s="178">
        <v>1.0</v>
      </c>
      <c r="V6" s="178">
        <v>0.0</v>
      </c>
      <c r="W6" s="178" t="s">
        <v>17</v>
      </c>
      <c r="X6">
        <f>G132-G129</f>
        <v>221</v>
      </c>
      <c r="Y6" s="178">
        <v>0.0</v>
      </c>
      <c r="Z6" s="178">
        <v>0.0</v>
      </c>
      <c r="AA6" s="178" t="s">
        <v>7</v>
      </c>
      <c r="AB6" s="178" t="s">
        <v>1090</v>
      </c>
      <c r="AC6" s="178" t="s">
        <v>1099</v>
      </c>
    </row>
    <row r="7" hidden="1">
      <c r="A7" s="85" t="s">
        <v>408</v>
      </c>
      <c r="B7" s="85">
        <v>2.0</v>
      </c>
      <c r="C7" s="47" t="s">
        <v>353</v>
      </c>
      <c r="D7" s="48" t="s">
        <v>7</v>
      </c>
      <c r="E7" s="46" t="s">
        <v>8</v>
      </c>
      <c r="F7" s="178" t="s">
        <v>17</v>
      </c>
      <c r="G7" s="178">
        <v>0.0</v>
      </c>
      <c r="H7" s="178">
        <v>0.0</v>
      </c>
      <c r="I7" s="178" t="s">
        <v>17</v>
      </c>
      <c r="J7" s="178" t="s">
        <v>17</v>
      </c>
      <c r="K7" s="178" t="s">
        <v>17</v>
      </c>
      <c r="L7" s="178" t="s">
        <v>17</v>
      </c>
      <c r="M7" s="178" t="s">
        <v>17</v>
      </c>
      <c r="N7" s="178">
        <v>0.0</v>
      </c>
      <c r="O7" s="178" t="s">
        <v>17</v>
      </c>
      <c r="P7" s="178" t="s">
        <v>17</v>
      </c>
      <c r="Q7" s="178" t="s">
        <v>17</v>
      </c>
      <c r="R7" s="178">
        <v>0.0</v>
      </c>
      <c r="S7" s="178" t="s">
        <v>17</v>
      </c>
      <c r="T7" s="178" t="s">
        <v>17</v>
      </c>
      <c r="U7" s="178">
        <v>0.0</v>
      </c>
      <c r="V7" s="178" t="s">
        <v>17</v>
      </c>
      <c r="W7" s="178" t="s">
        <v>17</v>
      </c>
      <c r="X7" s="178" t="s">
        <v>17</v>
      </c>
      <c r="Y7" s="178" t="s">
        <v>17</v>
      </c>
      <c r="Z7" s="178" t="s">
        <v>17</v>
      </c>
      <c r="AA7" s="178" t="s">
        <v>17</v>
      </c>
      <c r="AB7" s="178" t="s">
        <v>17</v>
      </c>
      <c r="AC7" s="178" t="s">
        <v>1100</v>
      </c>
    </row>
    <row r="8" hidden="1">
      <c r="A8" s="17" t="s">
        <v>36</v>
      </c>
      <c r="B8" s="95" t="s">
        <v>411</v>
      </c>
      <c r="C8" s="47" t="s">
        <v>353</v>
      </c>
      <c r="D8" s="48" t="s">
        <v>37</v>
      </c>
      <c r="E8" s="46" t="s">
        <v>8</v>
      </c>
      <c r="F8" s="178" t="s">
        <v>17</v>
      </c>
      <c r="G8" s="178">
        <v>1.0</v>
      </c>
      <c r="H8" s="178">
        <v>1.0</v>
      </c>
      <c r="I8">
        <f>H142-H141</f>
        <v>30</v>
      </c>
      <c r="J8" s="178" t="s">
        <v>17</v>
      </c>
      <c r="K8" s="178" t="s">
        <v>1101</v>
      </c>
      <c r="L8">
        <f>H142-H135</f>
        <v>539</v>
      </c>
      <c r="M8" s="178" t="s">
        <v>413</v>
      </c>
      <c r="N8" s="178">
        <v>1.0</v>
      </c>
      <c r="O8" s="178" t="s">
        <v>1102</v>
      </c>
      <c r="P8" s="178" t="s">
        <v>17</v>
      </c>
      <c r="Q8" s="178" t="s">
        <v>17</v>
      </c>
      <c r="R8" s="178">
        <v>0.0</v>
      </c>
      <c r="S8" s="178" t="s">
        <v>17</v>
      </c>
      <c r="T8" s="178" t="s">
        <v>17</v>
      </c>
      <c r="U8" s="178">
        <v>1.0</v>
      </c>
      <c r="V8" s="178">
        <v>0.0</v>
      </c>
      <c r="W8" s="178" t="s">
        <v>17</v>
      </c>
      <c r="X8">
        <f>G141-G129</f>
        <v>931</v>
      </c>
      <c r="Y8" s="178">
        <v>0.0</v>
      </c>
      <c r="Z8" s="178">
        <v>1.0</v>
      </c>
      <c r="AA8" s="178" t="s">
        <v>37</v>
      </c>
      <c r="AB8" s="178" t="s">
        <v>1103</v>
      </c>
      <c r="AC8" s="178" t="s">
        <v>1104</v>
      </c>
    </row>
    <row r="9" hidden="1">
      <c r="A9" s="85" t="s">
        <v>42</v>
      </c>
      <c r="B9" s="85" t="s">
        <v>421</v>
      </c>
      <c r="C9" s="47" t="s">
        <v>353</v>
      </c>
      <c r="D9" s="48" t="s">
        <v>7</v>
      </c>
      <c r="E9" s="46" t="s">
        <v>8</v>
      </c>
      <c r="F9" s="178" t="s">
        <v>17</v>
      </c>
      <c r="G9" s="178">
        <v>1.0</v>
      </c>
      <c r="H9" s="178">
        <v>1.0</v>
      </c>
      <c r="I9">
        <f>H133-H131</f>
        <v>113</v>
      </c>
      <c r="J9" s="178" t="s">
        <v>17</v>
      </c>
      <c r="K9" s="178" t="s">
        <v>1105</v>
      </c>
      <c r="L9">
        <f>H131-H129</f>
        <v>184</v>
      </c>
      <c r="M9" s="178" t="s">
        <v>358</v>
      </c>
      <c r="N9" s="178">
        <v>0.0</v>
      </c>
      <c r="O9" s="178" t="s">
        <v>17</v>
      </c>
      <c r="P9" s="178" t="s">
        <v>17</v>
      </c>
      <c r="Q9" s="178" t="s">
        <v>17</v>
      </c>
      <c r="R9" s="178">
        <v>0.0</v>
      </c>
      <c r="S9" s="178" t="s">
        <v>17</v>
      </c>
      <c r="T9" s="178" t="s">
        <v>17</v>
      </c>
      <c r="U9" s="178">
        <v>1.0</v>
      </c>
      <c r="V9" s="178">
        <v>0.0</v>
      </c>
      <c r="W9" s="178" t="s">
        <v>17</v>
      </c>
      <c r="X9">
        <f>G132-G129</f>
        <v>221</v>
      </c>
      <c r="Y9" s="178">
        <v>0.0</v>
      </c>
      <c r="Z9" s="178">
        <v>0.0</v>
      </c>
      <c r="AA9" s="178" t="s">
        <v>7</v>
      </c>
      <c r="AB9" s="178" t="s">
        <v>358</v>
      </c>
      <c r="AC9" s="178" t="s">
        <v>1106</v>
      </c>
    </row>
    <row r="10" hidden="1">
      <c r="A10" s="294">
        <v>916.0</v>
      </c>
      <c r="B10" s="294">
        <v>1.0</v>
      </c>
      <c r="C10" s="47" t="s">
        <v>353</v>
      </c>
      <c r="D10" s="48" t="s">
        <v>7</v>
      </c>
      <c r="E10" s="46" t="s">
        <v>8</v>
      </c>
      <c r="F10" s="178" t="s">
        <v>17</v>
      </c>
      <c r="G10" s="178">
        <v>0.0</v>
      </c>
      <c r="H10" s="178">
        <v>0.0</v>
      </c>
      <c r="I10" s="178" t="s">
        <v>17</v>
      </c>
      <c r="J10" s="178" t="s">
        <v>17</v>
      </c>
      <c r="K10" s="178" t="s">
        <v>17</v>
      </c>
      <c r="L10" s="178" t="s">
        <v>17</v>
      </c>
      <c r="M10" s="178" t="s">
        <v>17</v>
      </c>
      <c r="N10" s="178">
        <v>0.0</v>
      </c>
      <c r="O10" s="178" t="s">
        <v>17</v>
      </c>
      <c r="P10" s="178" t="s">
        <v>17</v>
      </c>
      <c r="Q10" s="178" t="s">
        <v>17</v>
      </c>
      <c r="R10" s="178">
        <v>0.0</v>
      </c>
      <c r="S10" s="178" t="s">
        <v>17</v>
      </c>
      <c r="T10" s="178" t="s">
        <v>17</v>
      </c>
      <c r="U10" s="178">
        <v>0.0</v>
      </c>
      <c r="V10" s="178" t="s">
        <v>17</v>
      </c>
      <c r="W10" s="178" t="s">
        <v>17</v>
      </c>
      <c r="X10" s="178" t="s">
        <v>17</v>
      </c>
      <c r="Y10" s="178" t="s">
        <v>17</v>
      </c>
      <c r="Z10" s="178" t="s">
        <v>17</v>
      </c>
      <c r="AA10" s="178" t="s">
        <v>17</v>
      </c>
      <c r="AB10" s="178" t="s">
        <v>17</v>
      </c>
      <c r="AC10" s="178" t="s">
        <v>1100</v>
      </c>
    </row>
    <row r="11" hidden="1">
      <c r="A11" s="45" t="s">
        <v>49</v>
      </c>
      <c r="B11" s="295" t="s">
        <v>427</v>
      </c>
      <c r="C11" s="47" t="s">
        <v>353</v>
      </c>
      <c r="D11" s="48" t="s">
        <v>7</v>
      </c>
      <c r="E11" s="46" t="s">
        <v>8</v>
      </c>
      <c r="F11" s="178" t="s">
        <v>17</v>
      </c>
      <c r="G11" s="178">
        <v>1.0</v>
      </c>
      <c r="H11" s="178">
        <v>0.0</v>
      </c>
      <c r="I11" s="178" t="s">
        <v>17</v>
      </c>
      <c r="J11" s="178" t="s">
        <v>17</v>
      </c>
      <c r="K11" s="178" t="s">
        <v>17</v>
      </c>
      <c r="L11" s="178" t="s">
        <v>17</v>
      </c>
      <c r="M11" s="178" t="s">
        <v>17</v>
      </c>
      <c r="N11" s="178">
        <v>0.0</v>
      </c>
      <c r="O11" s="178" t="s">
        <v>17</v>
      </c>
      <c r="P11" s="178" t="s">
        <v>17</v>
      </c>
      <c r="Q11" s="178" t="s">
        <v>17</v>
      </c>
      <c r="R11" s="178">
        <v>0.0</v>
      </c>
      <c r="S11" s="178" t="s">
        <v>17</v>
      </c>
      <c r="T11" s="178" t="s">
        <v>17</v>
      </c>
      <c r="U11" s="178">
        <v>0.0</v>
      </c>
      <c r="V11" s="178" t="s">
        <v>17</v>
      </c>
      <c r="W11" s="178" t="s">
        <v>17</v>
      </c>
      <c r="X11" s="178" t="s">
        <v>17</v>
      </c>
      <c r="Y11" s="178" t="s">
        <v>17</v>
      </c>
      <c r="Z11" s="178" t="s">
        <v>17</v>
      </c>
      <c r="AA11" s="178" t="s">
        <v>17</v>
      </c>
      <c r="AB11" s="178" t="s">
        <v>17</v>
      </c>
      <c r="AC11" s="178" t="s">
        <v>1107</v>
      </c>
    </row>
    <row r="12" hidden="1">
      <c r="A12" s="17" t="s">
        <v>54</v>
      </c>
      <c r="B12" s="296" t="s">
        <v>432</v>
      </c>
      <c r="C12" s="47" t="s">
        <v>353</v>
      </c>
      <c r="D12" s="48" t="s">
        <v>7</v>
      </c>
      <c r="E12" s="46" t="s">
        <v>8</v>
      </c>
      <c r="F12" s="178" t="s">
        <v>17</v>
      </c>
      <c r="G12" s="178">
        <v>1.0</v>
      </c>
      <c r="H12" s="178">
        <v>1.0</v>
      </c>
      <c r="I12">
        <f>H131-H129</f>
        <v>184</v>
      </c>
      <c r="J12">
        <f>H131-H129</f>
        <v>184</v>
      </c>
      <c r="K12" s="178" t="s">
        <v>363</v>
      </c>
      <c r="L12" s="178" t="s">
        <v>17</v>
      </c>
      <c r="M12" s="178" t="s">
        <v>17</v>
      </c>
      <c r="N12" s="178">
        <v>0.0</v>
      </c>
      <c r="O12" s="178" t="s">
        <v>17</v>
      </c>
      <c r="P12" s="178" t="s">
        <v>17</v>
      </c>
      <c r="Q12" s="178" t="s">
        <v>17</v>
      </c>
      <c r="R12" s="178">
        <v>0.0</v>
      </c>
      <c r="S12" s="178" t="s">
        <v>17</v>
      </c>
      <c r="T12" s="178" t="s">
        <v>17</v>
      </c>
      <c r="U12" s="178">
        <v>1.0</v>
      </c>
      <c r="V12" s="178">
        <v>0.0</v>
      </c>
      <c r="W12" s="178" t="s">
        <v>17</v>
      </c>
      <c r="X12" s="178" t="s">
        <v>17</v>
      </c>
      <c r="Y12" s="178">
        <v>0.0</v>
      </c>
      <c r="Z12" s="178" t="s">
        <v>17</v>
      </c>
      <c r="AA12" s="178" t="s">
        <v>7</v>
      </c>
      <c r="AB12" s="178" t="s">
        <v>363</v>
      </c>
      <c r="AC12" s="178" t="s">
        <v>1108</v>
      </c>
    </row>
    <row r="13" hidden="1">
      <c r="A13" s="85" t="s">
        <v>435</v>
      </c>
      <c r="B13" s="85" t="s">
        <v>17</v>
      </c>
      <c r="C13" s="47" t="s">
        <v>353</v>
      </c>
      <c r="D13" s="48" t="s">
        <v>7</v>
      </c>
      <c r="E13" s="46" t="s">
        <v>8</v>
      </c>
      <c r="F13" s="178" t="s">
        <v>17</v>
      </c>
      <c r="G13" s="178">
        <v>0.0</v>
      </c>
      <c r="H13" s="178">
        <v>1.0</v>
      </c>
      <c r="I13" s="178" t="s">
        <v>17</v>
      </c>
      <c r="J13" s="178" t="s">
        <v>17</v>
      </c>
      <c r="K13" s="178" t="s">
        <v>363</v>
      </c>
      <c r="L13" s="178" t="s">
        <v>17</v>
      </c>
      <c r="M13" s="178" t="s">
        <v>17</v>
      </c>
      <c r="N13" s="178">
        <v>0.0</v>
      </c>
      <c r="O13" s="178" t="s">
        <v>17</v>
      </c>
      <c r="P13" s="178" t="s">
        <v>17</v>
      </c>
      <c r="Q13" s="178" t="s">
        <v>17</v>
      </c>
      <c r="R13" s="178">
        <v>0.0</v>
      </c>
      <c r="S13" s="178" t="s">
        <v>17</v>
      </c>
      <c r="T13" s="178" t="s">
        <v>17</v>
      </c>
      <c r="U13" s="178">
        <v>1.0</v>
      </c>
      <c r="V13" s="178">
        <v>0.0</v>
      </c>
      <c r="W13" s="178" t="s">
        <v>17</v>
      </c>
      <c r="X13" s="178" t="s">
        <v>17</v>
      </c>
      <c r="Y13" s="178">
        <v>0.0</v>
      </c>
      <c r="Z13" s="178" t="s">
        <v>17</v>
      </c>
      <c r="AA13" s="178" t="s">
        <v>7</v>
      </c>
      <c r="AB13" s="178" t="s">
        <v>363</v>
      </c>
      <c r="AC13" s="178" t="s">
        <v>1109</v>
      </c>
    </row>
    <row r="14" hidden="1">
      <c r="A14" s="297" t="s">
        <v>437</v>
      </c>
      <c r="B14" s="297" t="s">
        <v>438</v>
      </c>
      <c r="C14" s="264" t="s">
        <v>439</v>
      </c>
      <c r="D14" s="157" t="s">
        <v>37</v>
      </c>
      <c r="E14" s="265" t="s">
        <v>8</v>
      </c>
      <c r="F14" s="178" t="s">
        <v>17</v>
      </c>
      <c r="G14" s="178">
        <v>1.0</v>
      </c>
      <c r="H14" s="178">
        <v>1.0</v>
      </c>
      <c r="I14">
        <f>H136-H130</f>
        <v>365</v>
      </c>
      <c r="J14" s="178">
        <f>H136-H131</f>
        <v>281</v>
      </c>
      <c r="K14" s="178" t="s">
        <v>357</v>
      </c>
      <c r="L14">
        <f>H141-H130</f>
        <v>831</v>
      </c>
      <c r="M14" s="178" t="s">
        <v>413</v>
      </c>
      <c r="N14" s="178">
        <v>1.0</v>
      </c>
      <c r="O14" s="178" t="s">
        <v>1110</v>
      </c>
      <c r="P14" s="178" t="s">
        <v>17</v>
      </c>
      <c r="Q14" s="178" t="s">
        <v>17</v>
      </c>
      <c r="R14" s="178">
        <v>0.0</v>
      </c>
      <c r="S14" s="178" t="s">
        <v>17</v>
      </c>
      <c r="T14" s="178" t="s">
        <v>17</v>
      </c>
      <c r="U14" s="178">
        <v>1.0</v>
      </c>
      <c r="V14" s="178">
        <v>0.0</v>
      </c>
      <c r="W14" s="178" t="s">
        <v>17</v>
      </c>
      <c r="X14">
        <f>G131-G130</f>
        <v>84</v>
      </c>
      <c r="Y14" s="178">
        <v>0.0</v>
      </c>
      <c r="Z14" s="178">
        <v>0.0</v>
      </c>
      <c r="AA14" s="178" t="s">
        <v>37</v>
      </c>
      <c r="AB14" s="178" t="s">
        <v>413</v>
      </c>
      <c r="AC14" s="178" t="s">
        <v>1111</v>
      </c>
    </row>
    <row r="15" hidden="1">
      <c r="A15" s="45" t="s">
        <v>66</v>
      </c>
      <c r="B15" s="85" t="s">
        <v>451</v>
      </c>
      <c r="C15" s="47" t="s">
        <v>439</v>
      </c>
      <c r="D15" s="48" t="s">
        <v>7</v>
      </c>
      <c r="E15" s="46" t="s">
        <v>67</v>
      </c>
      <c r="F15" s="178" t="s">
        <v>17</v>
      </c>
      <c r="G15" s="178">
        <v>1.0</v>
      </c>
      <c r="H15" s="178">
        <v>1.0</v>
      </c>
      <c r="I15">
        <f>H132-H130</f>
        <v>121</v>
      </c>
      <c r="J15">
        <f>H130-H129</f>
        <v>100</v>
      </c>
      <c r="K15" s="178" t="s">
        <v>358</v>
      </c>
      <c r="L15" s="178" t="s">
        <v>17</v>
      </c>
      <c r="M15" s="178" t="s">
        <v>17</v>
      </c>
      <c r="N15" s="178">
        <v>1.0</v>
      </c>
      <c r="O15" s="178" t="s">
        <v>1098</v>
      </c>
      <c r="P15" s="178" t="s">
        <v>17</v>
      </c>
      <c r="Q15" s="178" t="s">
        <v>17</v>
      </c>
      <c r="R15" s="178">
        <v>0.0</v>
      </c>
      <c r="S15" s="178" t="s">
        <v>17</v>
      </c>
      <c r="T15" s="178" t="s">
        <v>17</v>
      </c>
      <c r="U15" s="178">
        <v>1.0</v>
      </c>
      <c r="V15" s="178">
        <v>0.0</v>
      </c>
      <c r="W15" s="178" t="s">
        <v>17</v>
      </c>
      <c r="X15">
        <f>G131-G130</f>
        <v>84</v>
      </c>
      <c r="Y15" s="178">
        <v>0.0</v>
      </c>
      <c r="Z15" s="178">
        <v>0.0</v>
      </c>
      <c r="AA15" s="178" t="s">
        <v>7</v>
      </c>
      <c r="AB15" s="178" t="s">
        <v>358</v>
      </c>
      <c r="AC15" s="178" t="s">
        <v>1112</v>
      </c>
    </row>
    <row r="16" hidden="1">
      <c r="A16" s="17" t="s">
        <v>71</v>
      </c>
      <c r="B16" s="95" t="s">
        <v>459</v>
      </c>
      <c r="C16" s="47" t="s">
        <v>439</v>
      </c>
      <c r="D16" s="48" t="s">
        <v>7</v>
      </c>
      <c r="E16" s="46" t="s">
        <v>8</v>
      </c>
      <c r="F16" s="178" t="s">
        <v>17</v>
      </c>
      <c r="G16" s="178">
        <v>1.0</v>
      </c>
      <c r="H16" s="178">
        <v>1.0</v>
      </c>
      <c r="I16">
        <f>H136-H130</f>
        <v>365</v>
      </c>
      <c r="J16">
        <f>H136-H132</f>
        <v>244</v>
      </c>
      <c r="K16" s="178" t="s">
        <v>357</v>
      </c>
      <c r="L16">
        <f>H141-H135</f>
        <v>509</v>
      </c>
      <c r="M16" s="178" t="s">
        <v>363</v>
      </c>
      <c r="N16" s="178">
        <v>1.0</v>
      </c>
      <c r="O16" s="178" t="s">
        <v>1113</v>
      </c>
      <c r="P16">
        <f>H135-H134</f>
        <v>71</v>
      </c>
      <c r="Q16" s="178" t="s">
        <v>1089</v>
      </c>
      <c r="R16" s="178">
        <v>0.0</v>
      </c>
      <c r="S16" s="178" t="s">
        <v>17</v>
      </c>
      <c r="T16" s="178" t="s">
        <v>17</v>
      </c>
      <c r="U16" s="178">
        <v>1.0</v>
      </c>
      <c r="V16" s="178">
        <v>0.0</v>
      </c>
      <c r="W16" s="178" t="s">
        <v>17</v>
      </c>
      <c r="X16">
        <f>G132-G130</f>
        <v>121</v>
      </c>
      <c r="Y16" s="178">
        <v>0.0</v>
      </c>
      <c r="Z16" s="178">
        <v>0.0</v>
      </c>
      <c r="AA16" s="178" t="s">
        <v>7</v>
      </c>
      <c r="AB16" s="178" t="s">
        <v>363</v>
      </c>
      <c r="AC16" s="178" t="s">
        <v>1114</v>
      </c>
    </row>
    <row r="17" hidden="1">
      <c r="A17" s="45" t="s">
        <v>77</v>
      </c>
      <c r="B17" s="85" t="s">
        <v>17</v>
      </c>
      <c r="C17" s="47" t="s">
        <v>439</v>
      </c>
      <c r="D17" s="48" t="s">
        <v>37</v>
      </c>
      <c r="E17" s="46" t="s">
        <v>67</v>
      </c>
      <c r="F17" s="178" t="s">
        <v>17</v>
      </c>
      <c r="G17" s="178">
        <v>0.0</v>
      </c>
      <c r="H17" s="178">
        <v>1.0</v>
      </c>
      <c r="I17" s="178" t="s">
        <v>17</v>
      </c>
      <c r="J17" s="178" t="s">
        <v>17</v>
      </c>
      <c r="K17" s="178" t="s">
        <v>1115</v>
      </c>
      <c r="L17" s="178" t="s">
        <v>17</v>
      </c>
      <c r="M17" s="178" t="s">
        <v>17</v>
      </c>
      <c r="N17" s="178">
        <v>1.0</v>
      </c>
      <c r="O17" s="178" t="s">
        <v>1116</v>
      </c>
      <c r="P17" s="178" t="s">
        <v>17</v>
      </c>
      <c r="Q17" s="178" t="s">
        <v>17</v>
      </c>
      <c r="R17" s="178">
        <v>0.0</v>
      </c>
      <c r="S17" s="178" t="s">
        <v>17</v>
      </c>
      <c r="T17" s="178" t="s">
        <v>17</v>
      </c>
      <c r="U17" s="178">
        <v>1.0</v>
      </c>
      <c r="V17" s="178">
        <v>0.0</v>
      </c>
      <c r="W17" s="178" t="s">
        <v>17</v>
      </c>
      <c r="X17" s="178" t="s">
        <v>17</v>
      </c>
      <c r="Y17" s="178">
        <v>0.0</v>
      </c>
      <c r="Z17" s="178" t="s">
        <v>17</v>
      </c>
      <c r="AA17" s="178" t="s">
        <v>37</v>
      </c>
      <c r="AB17" s="178" t="s">
        <v>1115</v>
      </c>
      <c r="AC17" s="178" t="s">
        <v>1109</v>
      </c>
    </row>
    <row r="18" hidden="1">
      <c r="A18" s="17" t="s">
        <v>80</v>
      </c>
      <c r="B18" s="95" t="s">
        <v>467</v>
      </c>
      <c r="C18" s="47" t="s">
        <v>439</v>
      </c>
      <c r="D18" s="48" t="s">
        <v>7</v>
      </c>
      <c r="E18" s="46" t="s">
        <v>8</v>
      </c>
      <c r="F18" s="178" t="s">
        <v>17</v>
      </c>
      <c r="G18" s="178">
        <v>1.0</v>
      </c>
      <c r="H18" s="178">
        <v>1.0</v>
      </c>
      <c r="I18">
        <f>H132-H131</f>
        <v>37</v>
      </c>
      <c r="J18">
        <f>H132-H131</f>
        <v>37</v>
      </c>
      <c r="K18" s="178" t="s">
        <v>358</v>
      </c>
      <c r="L18">
        <f>H139-H132</f>
        <v>682</v>
      </c>
      <c r="M18" s="178" t="s">
        <v>358</v>
      </c>
      <c r="N18" s="178">
        <v>0.0</v>
      </c>
      <c r="O18" s="178" t="s">
        <v>17</v>
      </c>
      <c r="P18" s="178" t="s">
        <v>17</v>
      </c>
      <c r="Q18" s="178" t="s">
        <v>17</v>
      </c>
      <c r="R18" s="178">
        <v>0.0</v>
      </c>
      <c r="S18" s="178" t="s">
        <v>17</v>
      </c>
      <c r="T18" s="178" t="s">
        <v>17</v>
      </c>
      <c r="U18" s="178">
        <v>0.0</v>
      </c>
      <c r="V18">
        <f>G131-G130</f>
        <v>84</v>
      </c>
      <c r="W18" s="178" t="s">
        <v>17</v>
      </c>
      <c r="X18" s="178" t="s">
        <v>17</v>
      </c>
      <c r="Y18" s="178">
        <v>0.0</v>
      </c>
      <c r="Z18" s="178" t="s">
        <v>17</v>
      </c>
      <c r="AA18" s="178" t="s">
        <v>7</v>
      </c>
      <c r="AB18" s="178" t="s">
        <v>358</v>
      </c>
      <c r="AC18" s="178" t="s">
        <v>1117</v>
      </c>
    </row>
    <row r="19" hidden="1">
      <c r="A19" s="45" t="s">
        <v>84</v>
      </c>
      <c r="B19" s="85" t="s">
        <v>474</v>
      </c>
      <c r="C19" s="47" t="s">
        <v>439</v>
      </c>
      <c r="D19" s="48" t="s">
        <v>7</v>
      </c>
      <c r="E19" s="46" t="s">
        <v>67</v>
      </c>
      <c r="F19" s="178" t="s">
        <v>475</v>
      </c>
      <c r="G19" s="178">
        <v>1.0</v>
      </c>
      <c r="H19" s="178">
        <v>1.0</v>
      </c>
      <c r="I19">
        <f>H136-H130</f>
        <v>365</v>
      </c>
      <c r="J19">
        <f>H136-H133</f>
        <v>168</v>
      </c>
      <c r="K19" s="178" t="s">
        <v>380</v>
      </c>
      <c r="L19">
        <f>H133-H131</f>
        <v>113</v>
      </c>
      <c r="M19" s="178" t="s">
        <v>380</v>
      </c>
      <c r="N19" s="178">
        <v>1.0</v>
      </c>
      <c r="O19" s="178" t="s">
        <v>1116</v>
      </c>
      <c r="P19" s="178" t="s">
        <v>17</v>
      </c>
      <c r="Q19" s="178" t="s">
        <v>17</v>
      </c>
      <c r="R19" s="178">
        <v>1.0</v>
      </c>
      <c r="S19" s="178">
        <f>H139-H132</f>
        <v>682</v>
      </c>
      <c r="T19" s="178" t="s">
        <v>413</v>
      </c>
      <c r="U19" s="178">
        <v>1.0</v>
      </c>
      <c r="V19" s="178">
        <v>0.0</v>
      </c>
      <c r="W19" s="178" t="s">
        <v>17</v>
      </c>
      <c r="X19">
        <f>G132-G130</f>
        <v>121</v>
      </c>
      <c r="Y19" s="178">
        <v>0.0</v>
      </c>
      <c r="Z19" s="178">
        <v>0.0</v>
      </c>
      <c r="AA19" s="178" t="s">
        <v>7</v>
      </c>
      <c r="AB19" s="178" t="s">
        <v>380</v>
      </c>
      <c r="AC19" s="178" t="s">
        <v>1118</v>
      </c>
    </row>
    <row r="20">
      <c r="A20" s="298" t="s">
        <v>488</v>
      </c>
      <c r="B20" s="298" t="s">
        <v>489</v>
      </c>
      <c r="C20" s="299">
        <v>43200.0</v>
      </c>
      <c r="D20" s="157" t="s">
        <v>1119</v>
      </c>
      <c r="E20" s="300" t="s">
        <v>67</v>
      </c>
      <c r="F20" s="178" t="s">
        <v>475</v>
      </c>
      <c r="G20" s="178">
        <v>1.0</v>
      </c>
      <c r="H20" s="178">
        <v>1.0</v>
      </c>
      <c r="I20">
        <f>H142-H139</f>
        <v>58</v>
      </c>
      <c r="J20">
        <f>H140-H139</f>
        <v>14</v>
      </c>
      <c r="K20" s="178" t="s">
        <v>420</v>
      </c>
      <c r="L20">
        <f>H141-H139</f>
        <v>28</v>
      </c>
      <c r="M20" s="178" t="s">
        <v>1120</v>
      </c>
      <c r="N20" s="178">
        <v>1.0</v>
      </c>
      <c r="O20" s="178" t="s">
        <v>1121</v>
      </c>
      <c r="P20" s="178" t="s">
        <v>17</v>
      </c>
      <c r="Q20" s="178" t="s">
        <v>17</v>
      </c>
      <c r="R20" s="178">
        <v>1.0</v>
      </c>
      <c r="S20" s="178">
        <f>H139-H132</f>
        <v>682</v>
      </c>
      <c r="T20" s="178" t="s">
        <v>413</v>
      </c>
      <c r="U20" s="178">
        <v>0.0</v>
      </c>
      <c r="V20">
        <f>G139-date(2010,4,1)</f>
        <v>656</v>
      </c>
      <c r="W20">
        <f>G142-G139</f>
        <v>58</v>
      </c>
      <c r="X20" s="178" t="s">
        <v>17</v>
      </c>
      <c r="Y20" s="178">
        <v>0.0</v>
      </c>
      <c r="Z20" s="178">
        <v>1.0</v>
      </c>
      <c r="AA20" s="178" t="s">
        <v>37</v>
      </c>
      <c r="AB20" s="178" t="s">
        <v>1122</v>
      </c>
      <c r="AC20" s="178" t="s">
        <v>1123</v>
      </c>
    </row>
    <row r="21" hidden="1">
      <c r="A21" s="301" t="s">
        <v>498</v>
      </c>
      <c r="B21" s="296" t="s">
        <v>499</v>
      </c>
      <c r="C21" s="47" t="s">
        <v>439</v>
      </c>
      <c r="D21" s="48" t="s">
        <v>7</v>
      </c>
      <c r="E21" s="46" t="s">
        <v>8</v>
      </c>
      <c r="F21" s="178" t="s">
        <v>17</v>
      </c>
      <c r="G21" s="178">
        <v>1.0</v>
      </c>
      <c r="H21" s="178">
        <v>1.0</v>
      </c>
      <c r="I21">
        <f>H132-H130</f>
        <v>121</v>
      </c>
      <c r="J21">
        <f>H132-H130</f>
        <v>121</v>
      </c>
      <c r="K21" s="178" t="s">
        <v>357</v>
      </c>
      <c r="L21">
        <f>H138-H136</f>
        <v>250</v>
      </c>
      <c r="M21" s="178" t="s">
        <v>357</v>
      </c>
      <c r="N21" s="178">
        <v>1.0</v>
      </c>
      <c r="O21" s="178" t="s">
        <v>1124</v>
      </c>
      <c r="P21" s="178" t="s">
        <v>17</v>
      </c>
      <c r="Q21" s="178" t="s">
        <v>17</v>
      </c>
      <c r="R21" s="178">
        <v>0.0</v>
      </c>
      <c r="S21" s="178" t="s">
        <v>17</v>
      </c>
      <c r="T21" s="178" t="s">
        <v>17</v>
      </c>
      <c r="U21" s="178">
        <v>1.0</v>
      </c>
      <c r="V21" s="178">
        <v>0.0</v>
      </c>
      <c r="W21" s="178" t="s">
        <v>17</v>
      </c>
      <c r="X21">
        <f>G135-G130</f>
        <v>322</v>
      </c>
      <c r="Y21" s="178">
        <v>0.0</v>
      </c>
      <c r="Z21" s="178">
        <v>0.0</v>
      </c>
      <c r="AA21" s="178" t="s">
        <v>7</v>
      </c>
      <c r="AB21" s="178" t="s">
        <v>357</v>
      </c>
      <c r="AC21" s="178" t="s">
        <v>1125</v>
      </c>
    </row>
    <row r="22" hidden="1">
      <c r="A22" s="45" t="s">
        <v>94</v>
      </c>
      <c r="B22" s="295" t="s">
        <v>506</v>
      </c>
      <c r="C22" s="47" t="s">
        <v>439</v>
      </c>
      <c r="D22" s="48" t="s">
        <v>37</v>
      </c>
      <c r="E22" s="46" t="s">
        <v>67</v>
      </c>
      <c r="F22" s="178" t="s">
        <v>17</v>
      </c>
      <c r="G22" s="178">
        <v>1.0</v>
      </c>
      <c r="H22" s="178">
        <v>1.0</v>
      </c>
      <c r="I22">
        <f>H135-H130</f>
        <v>322</v>
      </c>
      <c r="J22">
        <f>H134-H131</f>
        <v>167</v>
      </c>
      <c r="K22" s="178" t="s">
        <v>357</v>
      </c>
      <c r="L22" s="178" t="s">
        <v>17</v>
      </c>
      <c r="M22" s="178" t="s">
        <v>17</v>
      </c>
      <c r="N22" s="178">
        <v>0.0</v>
      </c>
      <c r="O22" s="178" t="s">
        <v>17</v>
      </c>
      <c r="P22" s="178" t="s">
        <v>17</v>
      </c>
      <c r="Q22" s="178" t="s">
        <v>17</v>
      </c>
      <c r="R22" s="178">
        <v>0.0</v>
      </c>
      <c r="S22" s="178" t="s">
        <v>17</v>
      </c>
      <c r="T22" s="178" t="s">
        <v>17</v>
      </c>
      <c r="U22" s="178">
        <v>1.0</v>
      </c>
      <c r="V22" s="178">
        <v>0.0</v>
      </c>
      <c r="W22" s="178" t="s">
        <v>17</v>
      </c>
      <c r="X22">
        <f>G131-G130</f>
        <v>84</v>
      </c>
      <c r="Y22" s="178">
        <v>0.0</v>
      </c>
      <c r="Z22" s="178">
        <v>0.0</v>
      </c>
      <c r="AA22" s="178" t="s">
        <v>37</v>
      </c>
      <c r="AB22" s="178" t="s">
        <v>358</v>
      </c>
      <c r="AC22" s="178" t="s">
        <v>1126</v>
      </c>
    </row>
    <row r="23" hidden="1">
      <c r="A23" s="301" t="s">
        <v>509</v>
      </c>
      <c r="B23" s="296" t="s">
        <v>510</v>
      </c>
      <c r="C23" s="47" t="s">
        <v>439</v>
      </c>
      <c r="D23" s="48" t="s">
        <v>37</v>
      </c>
      <c r="E23" s="46" t="s">
        <v>67</v>
      </c>
      <c r="F23" s="178" t="s">
        <v>17</v>
      </c>
      <c r="G23" s="178">
        <v>1.0</v>
      </c>
      <c r="H23" s="178">
        <v>1.0</v>
      </c>
      <c r="I23" s="178" t="s">
        <v>17</v>
      </c>
      <c r="J23" s="178" t="s">
        <v>17</v>
      </c>
      <c r="K23" s="178" t="s">
        <v>1127</v>
      </c>
      <c r="L23">
        <f>H134-H132</f>
        <v>130</v>
      </c>
      <c r="M23" s="178" t="s">
        <v>357</v>
      </c>
      <c r="N23" s="178">
        <v>0.0</v>
      </c>
      <c r="O23" s="178" t="s">
        <v>17</v>
      </c>
      <c r="P23" s="178" t="s">
        <v>17</v>
      </c>
      <c r="Q23" s="178" t="s">
        <v>17</v>
      </c>
      <c r="R23" s="178">
        <v>0.0</v>
      </c>
      <c r="S23" s="178" t="s">
        <v>17</v>
      </c>
      <c r="T23" s="178" t="s">
        <v>17</v>
      </c>
      <c r="U23" s="178">
        <v>1.0</v>
      </c>
      <c r="V23" s="178">
        <v>0.0</v>
      </c>
      <c r="W23" s="178" t="s">
        <v>17</v>
      </c>
      <c r="X23">
        <f>G132-G130</f>
        <v>121</v>
      </c>
      <c r="Y23" s="178">
        <v>0.0</v>
      </c>
      <c r="Z23" s="178">
        <v>0.0</v>
      </c>
      <c r="AA23" s="178" t="s">
        <v>37</v>
      </c>
      <c r="AB23" s="178" t="s">
        <v>358</v>
      </c>
      <c r="AC23" s="178" t="s">
        <v>1126</v>
      </c>
    </row>
    <row r="24" hidden="1">
      <c r="A24" s="45" t="s">
        <v>101</v>
      </c>
      <c r="B24" s="85" t="s">
        <v>518</v>
      </c>
      <c r="C24" s="47" t="s">
        <v>439</v>
      </c>
      <c r="D24" s="48" t="s">
        <v>7</v>
      </c>
      <c r="E24" s="46" t="s">
        <v>8</v>
      </c>
      <c r="F24" s="178" t="s">
        <v>17</v>
      </c>
      <c r="G24" s="178">
        <v>1.0</v>
      </c>
      <c r="H24" s="178">
        <v>1.0</v>
      </c>
      <c r="I24">
        <f>H136-H130</f>
        <v>365</v>
      </c>
      <c r="J24">
        <f>H142-H138</f>
        <v>246</v>
      </c>
      <c r="K24" s="178" t="s">
        <v>357</v>
      </c>
      <c r="L24">
        <f>H138-H136</f>
        <v>250</v>
      </c>
      <c r="M24" s="178" t="s">
        <v>357</v>
      </c>
      <c r="N24" s="178">
        <v>1.0</v>
      </c>
      <c r="O24" s="178" t="s">
        <v>1128</v>
      </c>
      <c r="P24">
        <f>H131-H130</f>
        <v>84</v>
      </c>
      <c r="Q24" s="178" t="s">
        <v>1129</v>
      </c>
      <c r="R24" s="178">
        <v>0.0</v>
      </c>
      <c r="S24" s="178" t="s">
        <v>17</v>
      </c>
      <c r="T24" s="178" t="s">
        <v>17</v>
      </c>
      <c r="U24" s="178">
        <v>1.0</v>
      </c>
      <c r="V24" s="178">
        <v>0.0</v>
      </c>
      <c r="W24" s="178" t="s">
        <v>17</v>
      </c>
      <c r="X24">
        <f>G139-G130</f>
        <v>803</v>
      </c>
      <c r="Y24" s="178">
        <v>0.0</v>
      </c>
      <c r="Z24" s="178">
        <v>0.0</v>
      </c>
      <c r="AA24" s="178" t="s">
        <v>7</v>
      </c>
      <c r="AB24" s="178" t="s">
        <v>1129</v>
      </c>
      <c r="AC24" s="178" t="s">
        <v>1130</v>
      </c>
    </row>
    <row r="25" hidden="1">
      <c r="A25" s="17" t="s">
        <v>105</v>
      </c>
      <c r="B25" s="95" t="s">
        <v>522</v>
      </c>
      <c r="C25" s="47" t="s">
        <v>439</v>
      </c>
      <c r="D25" s="48" t="s">
        <v>7</v>
      </c>
      <c r="E25" s="46" t="s">
        <v>67</v>
      </c>
      <c r="F25" s="178" t="s">
        <v>523</v>
      </c>
      <c r="G25" s="178">
        <v>1.0</v>
      </c>
      <c r="H25" s="178">
        <v>1.0</v>
      </c>
      <c r="I25">
        <f>H142-H134</f>
        <v>610</v>
      </c>
      <c r="J25">
        <f>H142-H134</f>
        <v>610</v>
      </c>
      <c r="K25" s="178" t="s">
        <v>358</v>
      </c>
      <c r="L25">
        <f>H140-H136</f>
        <v>452</v>
      </c>
      <c r="M25" s="178" t="s">
        <v>420</v>
      </c>
      <c r="N25" s="178">
        <v>1.0</v>
      </c>
      <c r="O25" s="178" t="s">
        <v>1131</v>
      </c>
      <c r="P25" s="178" t="s">
        <v>17</v>
      </c>
      <c r="Q25" s="178" t="s">
        <v>17</v>
      </c>
      <c r="R25" s="178">
        <v>1.0</v>
      </c>
      <c r="S25" s="178">
        <f>H135-H135</f>
        <v>0</v>
      </c>
      <c r="T25" s="178" t="s">
        <v>380</v>
      </c>
      <c r="U25" s="178">
        <v>1.0</v>
      </c>
      <c r="V25" s="178">
        <v>0.0</v>
      </c>
      <c r="W25" s="178" t="s">
        <v>17</v>
      </c>
      <c r="X25">
        <f>G131-G130</f>
        <v>84</v>
      </c>
      <c r="Y25" s="178">
        <v>0.0</v>
      </c>
      <c r="Z25" s="178">
        <v>0.0</v>
      </c>
      <c r="AA25" s="178" t="s">
        <v>7</v>
      </c>
      <c r="AB25" s="178" t="s">
        <v>413</v>
      </c>
      <c r="AC25" s="178" t="s">
        <v>1111</v>
      </c>
    </row>
    <row r="26">
      <c r="A26" s="121" t="s">
        <v>531</v>
      </c>
      <c r="B26" s="302" t="s">
        <v>532</v>
      </c>
      <c r="C26" s="299">
        <v>43200.0</v>
      </c>
      <c r="D26" s="157" t="s">
        <v>1119</v>
      </c>
      <c r="E26" s="46" t="s">
        <v>8</v>
      </c>
      <c r="F26" s="178" t="s">
        <v>523</v>
      </c>
      <c r="G26" s="178">
        <v>1.0</v>
      </c>
      <c r="H26" s="178">
        <v>1.0</v>
      </c>
      <c r="I26" s="178" t="s">
        <v>17</v>
      </c>
      <c r="J26" s="178" t="s">
        <v>17</v>
      </c>
      <c r="K26" s="178" t="s">
        <v>380</v>
      </c>
      <c r="L26" s="178" t="s">
        <v>17</v>
      </c>
      <c r="M26" s="178" t="s">
        <v>17</v>
      </c>
      <c r="N26" s="178">
        <v>0.0</v>
      </c>
      <c r="O26" s="178" t="s">
        <v>17</v>
      </c>
      <c r="P26" s="178" t="s">
        <v>17</v>
      </c>
      <c r="Q26" s="178" t="s">
        <v>17</v>
      </c>
      <c r="R26" s="178">
        <v>1.0</v>
      </c>
      <c r="S26" s="178">
        <f>H135-H135</f>
        <v>0</v>
      </c>
      <c r="T26" s="178" t="s">
        <v>380</v>
      </c>
      <c r="U26" s="178">
        <v>0.0</v>
      </c>
      <c r="V26">
        <f>G135-date(2010,4,1)</f>
        <v>175</v>
      </c>
      <c r="W26" s="178" t="s">
        <v>17</v>
      </c>
      <c r="X26" s="178" t="s">
        <v>17</v>
      </c>
      <c r="Y26" s="178">
        <v>0.0</v>
      </c>
      <c r="Z26" s="178" t="s">
        <v>17</v>
      </c>
      <c r="AA26" s="178" t="s">
        <v>62</v>
      </c>
      <c r="AB26" s="178" t="s">
        <v>380</v>
      </c>
      <c r="AC26" s="178" t="s">
        <v>1132</v>
      </c>
    </row>
    <row r="27" hidden="1">
      <c r="A27" s="45" t="s">
        <v>109</v>
      </c>
      <c r="B27" s="85" t="s">
        <v>536</v>
      </c>
      <c r="C27" s="47" t="s">
        <v>439</v>
      </c>
      <c r="D27" s="63" t="s">
        <v>37</v>
      </c>
      <c r="E27" s="46" t="s">
        <v>8</v>
      </c>
      <c r="F27" s="178" t="s">
        <v>17</v>
      </c>
      <c r="G27" s="178">
        <v>1.0</v>
      </c>
      <c r="H27" s="178">
        <v>1.0</v>
      </c>
      <c r="I27">
        <f>H134-H130</f>
        <v>251</v>
      </c>
      <c r="J27">
        <f>H133-H132</f>
        <v>76</v>
      </c>
      <c r="K27" s="178" t="s">
        <v>357</v>
      </c>
      <c r="L27">
        <f>H139-H134</f>
        <v>552</v>
      </c>
      <c r="M27" s="178" t="s">
        <v>413</v>
      </c>
      <c r="N27" s="178">
        <v>1.0</v>
      </c>
      <c r="O27" s="178" t="s">
        <v>1133</v>
      </c>
      <c r="P27" s="178" t="s">
        <v>17</v>
      </c>
      <c r="Q27" s="178" t="s">
        <v>17</v>
      </c>
      <c r="R27" s="178">
        <v>0.0</v>
      </c>
      <c r="S27" s="178" t="s">
        <v>17</v>
      </c>
      <c r="T27" s="178" t="s">
        <v>17</v>
      </c>
      <c r="U27" s="178">
        <v>1.0</v>
      </c>
      <c r="V27" s="178">
        <v>0.0</v>
      </c>
      <c r="W27" s="178" t="s">
        <v>17</v>
      </c>
      <c r="X27">
        <f>G131-G130</f>
        <v>84</v>
      </c>
      <c r="Y27" s="178">
        <v>0.0</v>
      </c>
      <c r="Z27" s="178">
        <v>0.0</v>
      </c>
      <c r="AA27" s="178" t="s">
        <v>37</v>
      </c>
      <c r="AB27" s="178" t="s">
        <v>358</v>
      </c>
      <c r="AC27" s="178" t="s">
        <v>1134</v>
      </c>
    </row>
    <row r="28" hidden="1">
      <c r="A28" s="17" t="s">
        <v>113</v>
      </c>
      <c r="B28" s="296" t="s">
        <v>541</v>
      </c>
      <c r="C28" s="47" t="s">
        <v>439</v>
      </c>
      <c r="D28" s="48" t="s">
        <v>7</v>
      </c>
      <c r="E28" s="46" t="s">
        <v>8</v>
      </c>
      <c r="F28" s="178" t="s">
        <v>17</v>
      </c>
      <c r="G28" s="178">
        <v>1.0</v>
      </c>
      <c r="H28" s="178">
        <v>1.0</v>
      </c>
      <c r="I28">
        <f>H133-H130</f>
        <v>197</v>
      </c>
      <c r="J28">
        <f>H131-H130</f>
        <v>84</v>
      </c>
      <c r="K28" s="178" t="s">
        <v>358</v>
      </c>
      <c r="L28">
        <f>H132-H130</f>
        <v>121</v>
      </c>
      <c r="M28" s="178" t="s">
        <v>363</v>
      </c>
      <c r="N28" s="178">
        <v>1.0</v>
      </c>
      <c r="O28" s="178" t="s">
        <v>1133</v>
      </c>
      <c r="P28" s="178" t="s">
        <v>17</v>
      </c>
      <c r="Q28" s="178" t="s">
        <v>17</v>
      </c>
      <c r="R28" s="178">
        <v>0.0</v>
      </c>
      <c r="S28" s="178" t="s">
        <v>17</v>
      </c>
      <c r="T28" s="178" t="s">
        <v>17</v>
      </c>
      <c r="U28" s="178">
        <v>1.0</v>
      </c>
      <c r="V28" s="178">
        <v>0.0</v>
      </c>
      <c r="W28" s="178" t="s">
        <v>17</v>
      </c>
      <c r="X28">
        <f>G136-G130</f>
        <v>365</v>
      </c>
      <c r="Y28" s="178">
        <v>0.0</v>
      </c>
      <c r="Z28" s="178">
        <v>0.0</v>
      </c>
      <c r="AA28" s="178" t="s">
        <v>7</v>
      </c>
      <c r="AB28" s="178" t="s">
        <v>1095</v>
      </c>
      <c r="AC28" s="178" t="s">
        <v>1135</v>
      </c>
    </row>
    <row r="29" hidden="1">
      <c r="A29" s="45" t="s">
        <v>117</v>
      </c>
      <c r="B29" s="85" t="s">
        <v>546</v>
      </c>
      <c r="C29" s="47" t="s">
        <v>547</v>
      </c>
      <c r="D29" s="48" t="s">
        <v>7</v>
      </c>
      <c r="E29" s="46" t="s">
        <v>8</v>
      </c>
      <c r="F29" s="178" t="s">
        <v>17</v>
      </c>
      <c r="G29" s="178">
        <v>1.0</v>
      </c>
      <c r="H29" s="178">
        <v>1.0</v>
      </c>
      <c r="I29">
        <f>H131-H130</f>
        <v>84</v>
      </c>
      <c r="J29">
        <f>H131-H130</f>
        <v>84</v>
      </c>
      <c r="K29" s="178" t="s">
        <v>357</v>
      </c>
      <c r="L29">
        <f>H141-H135</f>
        <v>509</v>
      </c>
      <c r="M29" s="178" t="s">
        <v>357</v>
      </c>
      <c r="N29" s="178">
        <v>0.0</v>
      </c>
      <c r="O29" s="178" t="s">
        <v>17</v>
      </c>
      <c r="P29" s="178" t="s">
        <v>17</v>
      </c>
      <c r="Q29" s="178" t="s">
        <v>17</v>
      </c>
      <c r="R29" s="178">
        <v>0.0</v>
      </c>
      <c r="S29" s="178" t="s">
        <v>17</v>
      </c>
      <c r="T29" s="178" t="s">
        <v>17</v>
      </c>
      <c r="U29" s="178">
        <v>1.0</v>
      </c>
      <c r="V29" s="178">
        <v>0.0</v>
      </c>
      <c r="W29" s="178" t="s">
        <v>17</v>
      </c>
      <c r="X29" s="178" t="s">
        <v>17</v>
      </c>
      <c r="Y29" s="178">
        <v>0.0</v>
      </c>
      <c r="Z29" s="178" t="s">
        <v>17</v>
      </c>
      <c r="AA29" s="178" t="s">
        <v>7</v>
      </c>
      <c r="AB29" s="178" t="s">
        <v>357</v>
      </c>
      <c r="AC29" s="178" t="s">
        <v>1097</v>
      </c>
    </row>
    <row r="30" hidden="1">
      <c r="A30" s="17" t="s">
        <v>120</v>
      </c>
      <c r="B30" s="95" t="s">
        <v>552</v>
      </c>
      <c r="C30" s="47" t="s">
        <v>547</v>
      </c>
      <c r="D30" s="63" t="s">
        <v>37</v>
      </c>
      <c r="E30" s="46" t="s">
        <v>8</v>
      </c>
      <c r="F30" s="178" t="s">
        <v>17</v>
      </c>
      <c r="G30" s="178">
        <v>1.0</v>
      </c>
      <c r="H30" s="178">
        <v>1.0</v>
      </c>
      <c r="I30">
        <f>H136-H134</f>
        <v>114</v>
      </c>
      <c r="J30">
        <f>H136-H135</f>
        <v>43</v>
      </c>
      <c r="K30" s="178" t="s">
        <v>380</v>
      </c>
      <c r="L30">
        <f>H134-H131</f>
        <v>167</v>
      </c>
      <c r="M30" s="178" t="s">
        <v>413</v>
      </c>
      <c r="N30" s="178">
        <v>1.0</v>
      </c>
      <c r="O30" s="178" t="s">
        <v>1136</v>
      </c>
      <c r="P30" s="178" t="s">
        <v>17</v>
      </c>
      <c r="Q30" s="178" t="s">
        <v>17</v>
      </c>
      <c r="R30" s="178">
        <v>0.0</v>
      </c>
      <c r="S30" s="178" t="s">
        <v>17</v>
      </c>
      <c r="T30" s="178" t="s">
        <v>17</v>
      </c>
      <c r="U30" s="178">
        <v>1.0</v>
      </c>
      <c r="V30" s="178">
        <v>0.0</v>
      </c>
      <c r="W30" s="178" t="s">
        <v>17</v>
      </c>
      <c r="X30">
        <f>G135-G131</f>
        <v>238</v>
      </c>
      <c r="Y30" s="178">
        <v>0.0</v>
      </c>
      <c r="Z30" s="178">
        <v>0.0</v>
      </c>
      <c r="AA30" s="178" t="s">
        <v>37</v>
      </c>
      <c r="AB30" s="178" t="s">
        <v>1137</v>
      </c>
      <c r="AC30" s="178" t="s">
        <v>1138</v>
      </c>
    </row>
    <row r="31" hidden="1">
      <c r="A31" s="45" t="s">
        <v>123</v>
      </c>
      <c r="B31" s="295" t="s">
        <v>557</v>
      </c>
      <c r="C31" s="47" t="s">
        <v>547</v>
      </c>
      <c r="D31" s="48" t="s">
        <v>7</v>
      </c>
      <c r="E31" s="46" t="s">
        <v>8</v>
      </c>
      <c r="F31" s="178" t="s">
        <v>17</v>
      </c>
      <c r="G31" s="178">
        <v>1.0</v>
      </c>
      <c r="H31" s="178">
        <v>1.0</v>
      </c>
      <c r="I31">
        <f>H132-H131</f>
        <v>37</v>
      </c>
      <c r="J31">
        <f>H132-H131</f>
        <v>37</v>
      </c>
      <c r="K31" s="178" t="s">
        <v>357</v>
      </c>
      <c r="L31" s="178" t="s">
        <v>17</v>
      </c>
      <c r="M31" s="178" t="s">
        <v>17</v>
      </c>
      <c r="N31" s="178">
        <v>1.0</v>
      </c>
      <c r="O31" s="178" t="s">
        <v>1139</v>
      </c>
      <c r="P31" s="178" t="s">
        <v>17</v>
      </c>
      <c r="Q31" s="178" t="s">
        <v>17</v>
      </c>
      <c r="R31" s="178">
        <v>0.0</v>
      </c>
      <c r="S31" s="178" t="s">
        <v>17</v>
      </c>
      <c r="T31" s="178" t="s">
        <v>17</v>
      </c>
      <c r="U31" s="178">
        <v>1.0</v>
      </c>
      <c r="V31" s="178">
        <v>0.0</v>
      </c>
      <c r="W31" s="178" t="s">
        <v>17</v>
      </c>
      <c r="X31" s="178" t="s">
        <v>17</v>
      </c>
      <c r="Y31" s="178">
        <v>0.0</v>
      </c>
      <c r="Z31" s="178" t="s">
        <v>17</v>
      </c>
      <c r="AA31" s="178" t="s">
        <v>7</v>
      </c>
      <c r="AB31" s="178" t="s">
        <v>1130</v>
      </c>
      <c r="AC31" s="178" t="s">
        <v>1140</v>
      </c>
    </row>
    <row r="32" hidden="1">
      <c r="A32" s="297" t="s">
        <v>560</v>
      </c>
      <c r="B32" s="297" t="s">
        <v>561</v>
      </c>
      <c r="C32" s="264" t="s">
        <v>547</v>
      </c>
      <c r="D32" s="265" t="s">
        <v>7</v>
      </c>
      <c r="E32" s="265" t="s">
        <v>8</v>
      </c>
      <c r="F32" s="178" t="s">
        <v>17</v>
      </c>
      <c r="G32" s="178">
        <v>1.0</v>
      </c>
      <c r="H32" s="178">
        <v>1.0</v>
      </c>
      <c r="I32">
        <f>H136-H134</f>
        <v>114</v>
      </c>
      <c r="J32">
        <f>H136-H134</f>
        <v>114</v>
      </c>
      <c r="K32" s="178" t="s">
        <v>363</v>
      </c>
      <c r="L32">
        <f>H134-H132</f>
        <v>130</v>
      </c>
      <c r="M32" s="178" t="s">
        <v>363</v>
      </c>
      <c r="N32" s="178">
        <v>1.0</v>
      </c>
      <c r="O32" s="178" t="s">
        <v>1141</v>
      </c>
      <c r="P32" s="178" t="s">
        <v>17</v>
      </c>
      <c r="Q32" s="178" t="s">
        <v>17</v>
      </c>
      <c r="R32" s="178">
        <v>0.0</v>
      </c>
      <c r="S32" s="178" t="s">
        <v>17</v>
      </c>
      <c r="T32" s="178" t="s">
        <v>17</v>
      </c>
      <c r="U32" s="178">
        <v>1.0</v>
      </c>
      <c r="V32" s="178">
        <v>0.0</v>
      </c>
      <c r="W32" s="178" t="s">
        <v>17</v>
      </c>
      <c r="X32">
        <f>G132-G131</f>
        <v>37</v>
      </c>
      <c r="Y32" s="178">
        <v>0.0</v>
      </c>
      <c r="Z32" s="178">
        <v>0.0</v>
      </c>
      <c r="AA32" s="178" t="s">
        <v>7</v>
      </c>
      <c r="AB32" s="178" t="s">
        <v>1095</v>
      </c>
      <c r="AC32" s="178" t="s">
        <v>1142</v>
      </c>
    </row>
    <row r="33" hidden="1">
      <c r="A33" s="45" t="s">
        <v>129</v>
      </c>
      <c r="B33" s="85" t="s">
        <v>564</v>
      </c>
      <c r="C33" s="47" t="s">
        <v>547</v>
      </c>
      <c r="D33" s="48" t="s">
        <v>7</v>
      </c>
      <c r="E33" s="46" t="s">
        <v>8</v>
      </c>
      <c r="F33" s="178" t="s">
        <v>17</v>
      </c>
      <c r="G33" s="178">
        <v>1.0</v>
      </c>
      <c r="H33" s="178">
        <v>1.0</v>
      </c>
      <c r="I33">
        <f>H140-H139</f>
        <v>14</v>
      </c>
      <c r="J33" s="178" t="s">
        <v>17</v>
      </c>
      <c r="K33" s="178" t="s">
        <v>1143</v>
      </c>
      <c r="L33">
        <f>H140-H132</f>
        <v>696</v>
      </c>
      <c r="M33" s="178" t="s">
        <v>420</v>
      </c>
      <c r="N33" s="178">
        <v>1.0</v>
      </c>
      <c r="O33" s="178" t="s">
        <v>1144</v>
      </c>
      <c r="P33" s="178" t="s">
        <v>17</v>
      </c>
      <c r="Q33" s="178" t="s">
        <v>17</v>
      </c>
      <c r="R33" s="178">
        <v>0.0</v>
      </c>
      <c r="S33" s="178" t="s">
        <v>17</v>
      </c>
      <c r="T33" s="178" t="s">
        <v>17</v>
      </c>
      <c r="U33" s="178">
        <v>0.0</v>
      </c>
      <c r="V33">
        <f>G132-G131</f>
        <v>37</v>
      </c>
      <c r="W33">
        <f>G135-G132</f>
        <v>201</v>
      </c>
      <c r="X33" s="178" t="s">
        <v>17</v>
      </c>
      <c r="Y33" s="178">
        <v>0.0</v>
      </c>
      <c r="Z33" s="178">
        <v>0.0</v>
      </c>
      <c r="AA33" s="178" t="s">
        <v>7</v>
      </c>
      <c r="AB33" s="178" t="s">
        <v>1145</v>
      </c>
      <c r="AC33" s="178" t="s">
        <v>1146</v>
      </c>
    </row>
    <row r="34" hidden="1">
      <c r="A34" s="95" t="s">
        <v>572</v>
      </c>
      <c r="B34" s="95" t="s">
        <v>573</v>
      </c>
      <c r="C34" s="47" t="s">
        <v>547</v>
      </c>
      <c r="D34" s="48" t="s">
        <v>7</v>
      </c>
      <c r="E34" s="46" t="s">
        <v>67</v>
      </c>
      <c r="F34" s="178" t="s">
        <v>574</v>
      </c>
      <c r="G34" s="178">
        <v>1.0</v>
      </c>
      <c r="H34" s="178">
        <v>1.0</v>
      </c>
      <c r="I34">
        <f>H136-H131</f>
        <v>281</v>
      </c>
      <c r="J34">
        <f>H136-H133</f>
        <v>168</v>
      </c>
      <c r="K34" s="178" t="s">
        <v>357</v>
      </c>
      <c r="L34">
        <f>H140-H136</f>
        <v>452</v>
      </c>
      <c r="M34" s="178" t="s">
        <v>357</v>
      </c>
      <c r="N34" s="178">
        <v>1.0</v>
      </c>
      <c r="O34" s="178" t="s">
        <v>1147</v>
      </c>
      <c r="P34">
        <f>H136-H135</f>
        <v>43</v>
      </c>
      <c r="Q34" s="178" t="s">
        <v>1090</v>
      </c>
      <c r="R34" s="178">
        <v>0.0</v>
      </c>
      <c r="S34" s="178" t="s">
        <v>17</v>
      </c>
      <c r="T34" s="178" t="s">
        <v>17</v>
      </c>
      <c r="U34" s="178">
        <v>1.0</v>
      </c>
      <c r="V34" s="178">
        <v>0.0</v>
      </c>
      <c r="W34" s="178" t="s">
        <v>17</v>
      </c>
      <c r="X34">
        <f>G132-G131</f>
        <v>37</v>
      </c>
      <c r="Y34" s="178">
        <v>0.0</v>
      </c>
      <c r="Z34" s="178">
        <v>0.0</v>
      </c>
      <c r="AA34" s="178" t="s">
        <v>7</v>
      </c>
      <c r="AB34" s="178" t="s">
        <v>357</v>
      </c>
      <c r="AC34" s="178" t="s">
        <v>1148</v>
      </c>
    </row>
    <row r="35">
      <c r="A35" s="121" t="s">
        <v>587</v>
      </c>
      <c r="B35" s="121" t="s">
        <v>588</v>
      </c>
      <c r="C35" s="299">
        <v>43200.0</v>
      </c>
      <c r="D35" s="63" t="s">
        <v>1119</v>
      </c>
      <c r="E35" s="46" t="s">
        <v>67</v>
      </c>
      <c r="F35" s="178" t="s">
        <v>574</v>
      </c>
      <c r="G35" s="178">
        <v>1.0</v>
      </c>
      <c r="H35" s="178">
        <v>1.0</v>
      </c>
      <c r="I35" s="178" t="s">
        <v>17</v>
      </c>
      <c r="J35" s="178" t="s">
        <v>17</v>
      </c>
      <c r="K35" s="178" t="s">
        <v>1120</v>
      </c>
      <c r="L35" s="178" t="s">
        <v>17</v>
      </c>
      <c r="M35" s="178" t="s">
        <v>17</v>
      </c>
      <c r="N35" s="178">
        <v>1.0</v>
      </c>
      <c r="O35" s="178" t="s">
        <v>1149</v>
      </c>
      <c r="P35" s="178" t="s">
        <v>17</v>
      </c>
      <c r="Q35" s="178" t="s">
        <v>17</v>
      </c>
      <c r="R35" s="178">
        <v>0.0</v>
      </c>
      <c r="S35" s="178" t="s">
        <v>17</v>
      </c>
      <c r="T35" s="178" t="s">
        <v>17</v>
      </c>
      <c r="U35" s="178">
        <v>0.0</v>
      </c>
      <c r="V35">
        <f>G140-date(2010,4,1)</f>
        <v>670</v>
      </c>
      <c r="W35" s="178" t="s">
        <v>17</v>
      </c>
      <c r="X35" s="178" t="s">
        <v>17</v>
      </c>
      <c r="Y35" s="178">
        <v>1.0</v>
      </c>
      <c r="Z35" s="178">
        <v>0.0</v>
      </c>
      <c r="AA35" s="178" t="s">
        <v>37</v>
      </c>
      <c r="AB35" s="178" t="s">
        <v>1120</v>
      </c>
      <c r="AC35" s="178" t="s">
        <v>1150</v>
      </c>
    </row>
    <row r="36" hidden="1">
      <c r="A36" s="45" t="s">
        <v>135</v>
      </c>
      <c r="B36" s="85" t="s">
        <v>596</v>
      </c>
      <c r="C36" s="47" t="s">
        <v>547</v>
      </c>
      <c r="D36" s="48" t="s">
        <v>7</v>
      </c>
      <c r="E36" s="46" t="s">
        <v>8</v>
      </c>
      <c r="F36" s="178" t="s">
        <v>17</v>
      </c>
      <c r="G36" s="178">
        <v>1.0</v>
      </c>
      <c r="H36" s="178">
        <v>1.0</v>
      </c>
      <c r="I36">
        <f>H137-H134</f>
        <v>233</v>
      </c>
      <c r="J36">
        <f>H135-H134</f>
        <v>71</v>
      </c>
      <c r="K36" s="178" t="s">
        <v>357</v>
      </c>
      <c r="L36">
        <f>H142-H137</f>
        <v>377</v>
      </c>
      <c r="M36" s="178" t="s">
        <v>357</v>
      </c>
      <c r="N36" s="178">
        <v>1.0</v>
      </c>
      <c r="O36" s="178" t="s">
        <v>1092</v>
      </c>
      <c r="P36" s="178" t="s">
        <v>17</v>
      </c>
      <c r="Q36" s="178" t="s">
        <v>17</v>
      </c>
      <c r="R36" s="178">
        <v>0.0</v>
      </c>
      <c r="S36" s="178" t="s">
        <v>17</v>
      </c>
      <c r="T36" s="178" t="s">
        <v>17</v>
      </c>
      <c r="U36" s="178">
        <v>1.0</v>
      </c>
      <c r="V36" s="178">
        <v>0.0</v>
      </c>
      <c r="W36" s="178" t="s">
        <v>17</v>
      </c>
      <c r="X36">
        <f>G132-G131</f>
        <v>37</v>
      </c>
      <c r="Y36" s="178">
        <v>0.0</v>
      </c>
      <c r="Z36" s="178">
        <v>0.0</v>
      </c>
      <c r="AA36" s="178" t="s">
        <v>7</v>
      </c>
      <c r="AB36" s="178" t="s">
        <v>413</v>
      </c>
      <c r="AC36" s="178" t="s">
        <v>1151</v>
      </c>
    </row>
    <row r="37" hidden="1">
      <c r="A37" s="17" t="s">
        <v>138</v>
      </c>
      <c r="B37" s="296" t="s">
        <v>602</v>
      </c>
      <c r="C37" s="47" t="s">
        <v>547</v>
      </c>
      <c r="D37" s="48" t="s">
        <v>37</v>
      </c>
      <c r="E37" s="46" t="s">
        <v>8</v>
      </c>
      <c r="F37" s="178" t="s">
        <v>17</v>
      </c>
      <c r="G37" s="178">
        <v>1.0</v>
      </c>
      <c r="H37" s="178">
        <v>1.0</v>
      </c>
      <c r="I37">
        <f>H134-H131</f>
        <v>167</v>
      </c>
      <c r="J37">
        <f>H134-H131</f>
        <v>167</v>
      </c>
      <c r="K37" s="178" t="s">
        <v>357</v>
      </c>
      <c r="L37" s="178" t="s">
        <v>17</v>
      </c>
      <c r="M37" s="178" t="s">
        <v>17</v>
      </c>
      <c r="N37" s="178">
        <v>1.0</v>
      </c>
      <c r="O37" s="178" t="s">
        <v>1092</v>
      </c>
      <c r="P37" s="178" t="s">
        <v>17</v>
      </c>
      <c r="Q37" s="178" t="s">
        <v>17</v>
      </c>
      <c r="R37" s="178">
        <v>0.0</v>
      </c>
      <c r="S37" s="178" t="s">
        <v>17</v>
      </c>
      <c r="T37" s="178" t="s">
        <v>17</v>
      </c>
      <c r="U37" s="178">
        <v>1.0</v>
      </c>
      <c r="V37" s="178">
        <v>0.0</v>
      </c>
      <c r="W37" s="178" t="s">
        <v>17</v>
      </c>
      <c r="X37">
        <f>G134-G131</f>
        <v>167</v>
      </c>
      <c r="Y37" s="178">
        <v>0.0</v>
      </c>
      <c r="Z37" s="178">
        <v>0.0</v>
      </c>
      <c r="AA37" s="178" t="s">
        <v>7</v>
      </c>
      <c r="AB37" s="178" t="s">
        <v>357</v>
      </c>
      <c r="AC37" s="178" t="s">
        <v>1152</v>
      </c>
    </row>
    <row r="38" hidden="1">
      <c r="A38" s="45" t="s">
        <v>141</v>
      </c>
      <c r="B38" s="85" t="s">
        <v>609</v>
      </c>
      <c r="C38" s="47" t="s">
        <v>547</v>
      </c>
      <c r="D38" s="48" t="s">
        <v>7</v>
      </c>
      <c r="E38" s="46" t="s">
        <v>8</v>
      </c>
      <c r="F38" s="178" t="s">
        <v>17</v>
      </c>
      <c r="G38" s="178">
        <v>1.0</v>
      </c>
      <c r="H38" s="178">
        <v>1.0</v>
      </c>
      <c r="I38">
        <f>H133-H131</f>
        <v>113</v>
      </c>
      <c r="J38">
        <f>H133-H132</f>
        <v>76</v>
      </c>
      <c r="K38" s="178" t="s">
        <v>363</v>
      </c>
      <c r="L38" s="178" t="s">
        <v>17</v>
      </c>
      <c r="M38" s="178" t="s">
        <v>17</v>
      </c>
      <c r="N38" s="178">
        <v>0.0</v>
      </c>
      <c r="O38" s="178" t="s">
        <v>17</v>
      </c>
      <c r="P38" s="178" t="s">
        <v>17</v>
      </c>
      <c r="Q38" s="178" t="s">
        <v>17</v>
      </c>
      <c r="R38" s="178">
        <v>0.0</v>
      </c>
      <c r="S38" s="178" t="s">
        <v>17</v>
      </c>
      <c r="T38" s="178" t="s">
        <v>17</v>
      </c>
      <c r="U38" s="178">
        <v>1.0</v>
      </c>
      <c r="V38" s="178">
        <v>0.0</v>
      </c>
      <c r="W38" s="178" t="s">
        <v>17</v>
      </c>
      <c r="X38">
        <f>G132-G131</f>
        <v>37</v>
      </c>
      <c r="Y38" s="178">
        <v>0.0</v>
      </c>
      <c r="Z38" s="178">
        <v>0.0</v>
      </c>
      <c r="AA38" s="178" t="s">
        <v>7</v>
      </c>
      <c r="AB38" s="178" t="s">
        <v>358</v>
      </c>
      <c r="AC38" s="178" t="s">
        <v>1106</v>
      </c>
    </row>
    <row r="39" hidden="1">
      <c r="A39" s="95" t="s">
        <v>616</v>
      </c>
      <c r="B39" s="95" t="s">
        <v>617</v>
      </c>
      <c r="C39" s="47" t="s">
        <v>547</v>
      </c>
      <c r="D39" s="48" t="s">
        <v>7</v>
      </c>
      <c r="E39" s="46" t="s">
        <v>8</v>
      </c>
      <c r="F39" s="178" t="s">
        <v>17</v>
      </c>
      <c r="G39" s="178">
        <v>1.0</v>
      </c>
      <c r="H39" s="178">
        <v>1.0</v>
      </c>
      <c r="I39">
        <f>H135-H131</f>
        <v>238</v>
      </c>
      <c r="J39">
        <f>H134-H132</f>
        <v>130</v>
      </c>
      <c r="K39" s="178" t="s">
        <v>357</v>
      </c>
      <c r="L39">
        <f>H141-H135</f>
        <v>509</v>
      </c>
      <c r="M39" s="178" t="s">
        <v>413</v>
      </c>
      <c r="N39" s="178">
        <v>1.0</v>
      </c>
      <c r="O39" s="178" t="s">
        <v>1098</v>
      </c>
      <c r="P39" s="178" t="s">
        <v>17</v>
      </c>
      <c r="Q39" s="178" t="s">
        <v>17</v>
      </c>
      <c r="R39" s="178">
        <v>0.0</v>
      </c>
      <c r="S39" s="178" t="s">
        <v>17</v>
      </c>
      <c r="T39" s="178" t="s">
        <v>17</v>
      </c>
      <c r="U39" s="178">
        <v>1.0</v>
      </c>
      <c r="V39" s="178">
        <v>0.0</v>
      </c>
      <c r="W39" s="178" t="s">
        <v>17</v>
      </c>
      <c r="X39">
        <f>G132-G131</f>
        <v>37</v>
      </c>
      <c r="Y39" s="178">
        <v>0.0</v>
      </c>
      <c r="Z39" s="178">
        <v>0.0</v>
      </c>
      <c r="AA39" s="178" t="s">
        <v>7</v>
      </c>
      <c r="AB39" s="178" t="s">
        <v>413</v>
      </c>
      <c r="AC39" s="178" t="s">
        <v>1153</v>
      </c>
    </row>
    <row r="40" hidden="1">
      <c r="A40" s="45" t="s">
        <v>147</v>
      </c>
      <c r="B40" s="295" t="s">
        <v>626</v>
      </c>
      <c r="C40" s="47" t="s">
        <v>547</v>
      </c>
      <c r="D40" s="48" t="s">
        <v>7</v>
      </c>
      <c r="E40" s="46" t="s">
        <v>67</v>
      </c>
      <c r="F40" s="178" t="s">
        <v>17</v>
      </c>
      <c r="G40" s="178">
        <v>1.0</v>
      </c>
      <c r="H40" s="178">
        <v>1.0</v>
      </c>
      <c r="I40">
        <f>H134-H133</f>
        <v>54</v>
      </c>
      <c r="J40">
        <f>H134-H133</f>
        <v>54</v>
      </c>
      <c r="K40" s="178" t="s">
        <v>1090</v>
      </c>
      <c r="L40">
        <f>H133-H131</f>
        <v>113</v>
      </c>
      <c r="M40" s="178" t="s">
        <v>358</v>
      </c>
      <c r="N40" s="178">
        <v>1.0</v>
      </c>
      <c r="O40" s="178" t="s">
        <v>1154</v>
      </c>
      <c r="P40">
        <f>H134-H133</f>
        <v>54</v>
      </c>
      <c r="Q40" s="178" t="s">
        <v>1090</v>
      </c>
      <c r="R40" s="178">
        <v>0.0</v>
      </c>
      <c r="S40" s="178" t="s">
        <v>17</v>
      </c>
      <c r="T40" s="178" t="s">
        <v>17</v>
      </c>
      <c r="U40" s="178">
        <v>1.0</v>
      </c>
      <c r="V40" s="178">
        <v>0.0</v>
      </c>
      <c r="W40" s="178" t="s">
        <v>17</v>
      </c>
      <c r="X40">
        <f>G133-G131</f>
        <v>113</v>
      </c>
      <c r="Y40" s="178">
        <v>0.0</v>
      </c>
      <c r="Z40" s="178">
        <v>0.0</v>
      </c>
      <c r="AA40" s="178" t="s">
        <v>7</v>
      </c>
      <c r="AB40" s="178" t="s">
        <v>358</v>
      </c>
      <c r="AC40" s="178" t="s">
        <v>1155</v>
      </c>
    </row>
    <row r="41" hidden="1">
      <c r="A41" s="17" t="s">
        <v>152</v>
      </c>
      <c r="B41" s="95" t="s">
        <v>629</v>
      </c>
      <c r="C41" s="47" t="s">
        <v>547</v>
      </c>
      <c r="D41" s="48" t="s">
        <v>37</v>
      </c>
      <c r="E41" s="46" t="s">
        <v>8</v>
      </c>
      <c r="F41" s="178" t="s">
        <v>17</v>
      </c>
      <c r="G41" s="178">
        <v>1.0</v>
      </c>
      <c r="H41" s="178">
        <v>1.0</v>
      </c>
      <c r="I41">
        <f>H133-H131</f>
        <v>113</v>
      </c>
      <c r="J41">
        <f>H136-H135</f>
        <v>43</v>
      </c>
      <c r="K41" s="178" t="s">
        <v>357</v>
      </c>
      <c r="L41">
        <f>H138-H136</f>
        <v>250</v>
      </c>
      <c r="M41" s="178" t="s">
        <v>357</v>
      </c>
      <c r="N41" s="178">
        <v>1.0</v>
      </c>
      <c r="O41" s="178" t="s">
        <v>1156</v>
      </c>
      <c r="P41" s="178" t="s">
        <v>17</v>
      </c>
      <c r="Q41" s="178" t="s">
        <v>17</v>
      </c>
      <c r="R41" s="178">
        <v>0.0</v>
      </c>
      <c r="S41" s="178" t="s">
        <v>17</v>
      </c>
      <c r="T41" s="178" t="s">
        <v>17</v>
      </c>
      <c r="U41" s="178">
        <v>1.0</v>
      </c>
      <c r="V41" s="178">
        <v>0.0</v>
      </c>
      <c r="W41" s="178" t="s">
        <v>17</v>
      </c>
      <c r="X41">
        <f>G132-G131</f>
        <v>37</v>
      </c>
      <c r="Y41" s="178">
        <v>0.0</v>
      </c>
      <c r="Z41" s="178">
        <v>0.0</v>
      </c>
      <c r="AA41" s="178" t="s">
        <v>37</v>
      </c>
      <c r="AB41" s="178" t="s">
        <v>1157</v>
      </c>
      <c r="AC41" s="178" t="s">
        <v>1158</v>
      </c>
    </row>
    <row r="42" hidden="1">
      <c r="A42" s="45" t="s">
        <v>155</v>
      </c>
      <c r="B42" s="295" t="s">
        <v>638</v>
      </c>
      <c r="C42" s="47" t="s">
        <v>547</v>
      </c>
      <c r="D42" s="48" t="s">
        <v>7</v>
      </c>
      <c r="E42" s="46" t="s">
        <v>67</v>
      </c>
      <c r="F42" s="178" t="s">
        <v>17</v>
      </c>
      <c r="G42" s="178">
        <v>0.0</v>
      </c>
      <c r="H42" s="178">
        <v>0.0</v>
      </c>
      <c r="I42" s="178" t="s">
        <v>17</v>
      </c>
      <c r="J42" s="178" t="s">
        <v>17</v>
      </c>
      <c r="K42" s="178" t="s">
        <v>17</v>
      </c>
      <c r="L42" s="178" t="s">
        <v>17</v>
      </c>
      <c r="M42" s="178" t="s">
        <v>17</v>
      </c>
      <c r="N42" s="178">
        <v>0.0</v>
      </c>
      <c r="O42" s="178" t="s">
        <v>17</v>
      </c>
      <c r="P42" s="178" t="s">
        <v>17</v>
      </c>
      <c r="Q42" s="178" t="s">
        <v>17</v>
      </c>
      <c r="R42" s="178">
        <v>0.0</v>
      </c>
      <c r="S42" s="178" t="s">
        <v>17</v>
      </c>
      <c r="T42" s="178" t="s">
        <v>17</v>
      </c>
      <c r="U42" s="178">
        <v>0.0</v>
      </c>
      <c r="V42" s="178" t="s">
        <v>17</v>
      </c>
      <c r="W42" s="178" t="s">
        <v>17</v>
      </c>
      <c r="X42" s="178" t="s">
        <v>17</v>
      </c>
      <c r="Y42" s="178" t="s">
        <v>17</v>
      </c>
      <c r="Z42" s="178" t="s">
        <v>17</v>
      </c>
      <c r="AA42" s="178" t="s">
        <v>17</v>
      </c>
      <c r="AB42" s="178" t="s">
        <v>17</v>
      </c>
      <c r="AC42" s="178" t="s">
        <v>1100</v>
      </c>
    </row>
    <row r="43" hidden="1">
      <c r="A43" s="17" t="s">
        <v>158</v>
      </c>
      <c r="B43" s="95" t="s">
        <v>640</v>
      </c>
      <c r="C43" s="47" t="s">
        <v>547</v>
      </c>
      <c r="D43" s="48" t="s">
        <v>7</v>
      </c>
      <c r="E43" s="46" t="s">
        <v>8</v>
      </c>
      <c r="F43" s="178" t="s">
        <v>17</v>
      </c>
      <c r="G43" s="178">
        <v>1.0</v>
      </c>
      <c r="H43" s="178">
        <v>1.0</v>
      </c>
      <c r="I43">
        <f>H136-H131</f>
        <v>281</v>
      </c>
      <c r="J43">
        <f>H136-H131</f>
        <v>281</v>
      </c>
      <c r="K43" s="178" t="s">
        <v>357</v>
      </c>
      <c r="L43" s="178" t="s">
        <v>17</v>
      </c>
      <c r="M43" s="178" t="s">
        <v>17</v>
      </c>
      <c r="N43" s="178">
        <v>0.0</v>
      </c>
      <c r="O43" s="178" t="s">
        <v>17</v>
      </c>
      <c r="P43" s="178" t="s">
        <v>17</v>
      </c>
      <c r="Q43" s="178" t="s">
        <v>17</v>
      </c>
      <c r="R43" s="178">
        <v>0.0</v>
      </c>
      <c r="S43" s="178" t="s">
        <v>17</v>
      </c>
      <c r="T43" s="178" t="s">
        <v>17</v>
      </c>
      <c r="U43" s="178">
        <v>1.0</v>
      </c>
      <c r="V43" s="178">
        <v>0.0</v>
      </c>
      <c r="W43" s="178" t="s">
        <v>17</v>
      </c>
      <c r="X43" s="178" t="s">
        <v>17</v>
      </c>
      <c r="Y43" s="178">
        <v>0.0</v>
      </c>
      <c r="Z43" s="178" t="s">
        <v>17</v>
      </c>
      <c r="AA43" s="178" t="s">
        <v>7</v>
      </c>
      <c r="AB43" s="178" t="s">
        <v>357</v>
      </c>
      <c r="AC43" s="178" t="s">
        <v>1097</v>
      </c>
    </row>
    <row r="44" hidden="1">
      <c r="A44" s="45" t="s">
        <v>161</v>
      </c>
      <c r="B44" s="85" t="s">
        <v>645</v>
      </c>
      <c r="C44" s="47" t="s">
        <v>547</v>
      </c>
      <c r="D44" s="63" t="s">
        <v>37</v>
      </c>
      <c r="E44" s="46" t="s">
        <v>67</v>
      </c>
      <c r="F44" s="178" t="s">
        <v>17</v>
      </c>
      <c r="G44" s="178">
        <v>1.0</v>
      </c>
      <c r="H44" s="178">
        <v>1.0</v>
      </c>
      <c r="I44">
        <f>H139-H138</f>
        <v>188</v>
      </c>
      <c r="J44" s="178" t="s">
        <v>17</v>
      </c>
      <c r="K44" s="178" t="s">
        <v>1159</v>
      </c>
      <c r="L44">
        <f>H142-H132</f>
        <v>740</v>
      </c>
      <c r="M44" s="178" t="s">
        <v>358</v>
      </c>
      <c r="N44" s="178">
        <v>1.0</v>
      </c>
      <c r="O44" s="178" t="s">
        <v>1160</v>
      </c>
      <c r="P44" s="178" t="s">
        <v>17</v>
      </c>
      <c r="Q44" s="178" t="s">
        <v>17</v>
      </c>
      <c r="R44" s="178">
        <v>0.0</v>
      </c>
      <c r="S44" s="178" t="s">
        <v>17</v>
      </c>
      <c r="T44" s="178" t="s">
        <v>17</v>
      </c>
      <c r="U44" s="178">
        <v>1.0</v>
      </c>
      <c r="V44" s="178">
        <v>0.0</v>
      </c>
      <c r="W44" s="178" t="s">
        <v>17</v>
      </c>
      <c r="X44">
        <f>G132-G131</f>
        <v>37</v>
      </c>
      <c r="Y44" s="178">
        <v>0.0</v>
      </c>
      <c r="Z44" s="178">
        <v>0.0</v>
      </c>
      <c r="AA44" s="178" t="s">
        <v>37</v>
      </c>
      <c r="AB44" s="178" t="s">
        <v>413</v>
      </c>
      <c r="AC44" s="178" t="s">
        <v>1161</v>
      </c>
    </row>
    <row r="45" hidden="1">
      <c r="A45" s="17" t="s">
        <v>165</v>
      </c>
      <c r="B45" s="95" t="s">
        <v>650</v>
      </c>
      <c r="C45" s="47" t="s">
        <v>547</v>
      </c>
      <c r="D45" s="63" t="s">
        <v>37</v>
      </c>
      <c r="E45" s="46" t="s">
        <v>8</v>
      </c>
      <c r="F45" s="178" t="s">
        <v>17</v>
      </c>
      <c r="G45" s="178">
        <v>1.0</v>
      </c>
      <c r="H45" s="178">
        <v>1.0</v>
      </c>
      <c r="I45">
        <f>H136-H131</f>
        <v>281</v>
      </c>
      <c r="J45">
        <f>H134-H131</f>
        <v>167</v>
      </c>
      <c r="K45" s="178" t="s">
        <v>357</v>
      </c>
      <c r="L45">
        <f>H141-H134</f>
        <v>580</v>
      </c>
      <c r="M45" s="178" t="s">
        <v>363</v>
      </c>
      <c r="N45" s="178">
        <v>1.0</v>
      </c>
      <c r="O45" s="178" t="s">
        <v>1162</v>
      </c>
      <c r="P45" s="178" t="s">
        <v>17</v>
      </c>
      <c r="Q45" s="178" t="s">
        <v>17</v>
      </c>
      <c r="R45" s="178">
        <v>0.0</v>
      </c>
      <c r="S45" s="178" t="s">
        <v>17</v>
      </c>
      <c r="T45" s="178" t="s">
        <v>17</v>
      </c>
      <c r="U45" s="178">
        <v>1.0</v>
      </c>
      <c r="V45" s="178">
        <v>0.0</v>
      </c>
      <c r="W45" s="178" t="s">
        <v>17</v>
      </c>
      <c r="X45">
        <f>G134-G131</f>
        <v>167</v>
      </c>
      <c r="Y45" s="178">
        <v>0.0</v>
      </c>
      <c r="Z45" s="178">
        <v>0.0</v>
      </c>
      <c r="AA45" s="178" t="s">
        <v>37</v>
      </c>
      <c r="AB45" s="178" t="s">
        <v>1163</v>
      </c>
      <c r="AC45" s="178" t="s">
        <v>1164</v>
      </c>
    </row>
    <row r="46" hidden="1">
      <c r="A46" s="45" t="s">
        <v>168</v>
      </c>
      <c r="B46" s="85" t="s">
        <v>656</v>
      </c>
      <c r="C46" s="47" t="s">
        <v>547</v>
      </c>
      <c r="D46" s="48" t="s">
        <v>7</v>
      </c>
      <c r="E46" s="46" t="s">
        <v>8</v>
      </c>
      <c r="F46" s="178" t="s">
        <v>17</v>
      </c>
      <c r="G46" s="178">
        <v>1.0</v>
      </c>
      <c r="H46" s="178">
        <v>1.0</v>
      </c>
      <c r="I46">
        <f>H134-H131</f>
        <v>167</v>
      </c>
      <c r="J46">
        <f>H134-H131</f>
        <v>167</v>
      </c>
      <c r="K46" s="178" t="s">
        <v>357</v>
      </c>
      <c r="L46" s="178" t="s">
        <v>17</v>
      </c>
      <c r="M46" s="178" t="s">
        <v>17</v>
      </c>
      <c r="N46" s="178">
        <v>0.0</v>
      </c>
      <c r="O46" s="178" t="s">
        <v>17</v>
      </c>
      <c r="P46" s="178" t="s">
        <v>17</v>
      </c>
      <c r="Q46" s="178" t="s">
        <v>17</v>
      </c>
      <c r="R46" s="178">
        <v>0.0</v>
      </c>
      <c r="S46" s="178" t="s">
        <v>17</v>
      </c>
      <c r="T46" s="178" t="s">
        <v>17</v>
      </c>
      <c r="U46" s="178">
        <v>1.0</v>
      </c>
      <c r="V46" s="178">
        <v>0.0</v>
      </c>
      <c r="W46" s="178" t="s">
        <v>17</v>
      </c>
      <c r="X46">
        <f>G139-G131</f>
        <v>719</v>
      </c>
      <c r="Y46" s="178">
        <v>0.0</v>
      </c>
      <c r="Z46" s="178">
        <v>0.0</v>
      </c>
      <c r="AA46" s="178" t="s">
        <v>7</v>
      </c>
      <c r="AB46" s="178" t="s">
        <v>358</v>
      </c>
      <c r="AC46" s="178" t="s">
        <v>1165</v>
      </c>
    </row>
    <row r="47" hidden="1">
      <c r="A47" s="17" t="s">
        <v>171</v>
      </c>
      <c r="B47" s="95" t="s">
        <v>658</v>
      </c>
      <c r="C47" s="47" t="s">
        <v>547</v>
      </c>
      <c r="D47" s="48" t="s">
        <v>7</v>
      </c>
      <c r="E47" s="46" t="s">
        <v>67</v>
      </c>
      <c r="F47" s="178" t="s">
        <v>659</v>
      </c>
      <c r="G47" s="178">
        <v>1.0</v>
      </c>
      <c r="H47" s="178">
        <v>1.0</v>
      </c>
      <c r="I47" s="178">
        <f>H132-H131</f>
        <v>37</v>
      </c>
      <c r="J47">
        <f>H132-H131</f>
        <v>37</v>
      </c>
      <c r="K47" s="178" t="s">
        <v>357</v>
      </c>
      <c r="L47">
        <f>H142-H134</f>
        <v>610</v>
      </c>
      <c r="M47" s="178" t="s">
        <v>357</v>
      </c>
      <c r="N47" s="178">
        <v>0.0</v>
      </c>
      <c r="O47" s="178" t="s">
        <v>17</v>
      </c>
      <c r="P47" s="178" t="s">
        <v>17</v>
      </c>
      <c r="Q47" s="178" t="s">
        <v>17</v>
      </c>
      <c r="R47" s="178">
        <v>1.0</v>
      </c>
      <c r="S47" s="178">
        <f>H140-H134</f>
        <v>566</v>
      </c>
      <c r="T47" s="178" t="s">
        <v>357</v>
      </c>
      <c r="U47" s="178">
        <v>1.0</v>
      </c>
      <c r="V47" s="178">
        <v>0.0</v>
      </c>
      <c r="W47" s="178" t="s">
        <v>17</v>
      </c>
      <c r="X47">
        <f>G139-G131</f>
        <v>719</v>
      </c>
      <c r="Y47" s="178">
        <v>0.0</v>
      </c>
      <c r="Z47" s="178">
        <v>0.0</v>
      </c>
      <c r="AA47" s="178" t="s">
        <v>7</v>
      </c>
      <c r="AB47" s="178" t="s">
        <v>357</v>
      </c>
      <c r="AC47" s="178" t="s">
        <v>1099</v>
      </c>
    </row>
    <row r="48">
      <c r="A48" s="121" t="s">
        <v>666</v>
      </c>
      <c r="B48" s="121" t="s">
        <v>667</v>
      </c>
      <c r="C48" s="299">
        <v>43200.0</v>
      </c>
      <c r="D48" s="157" t="s">
        <v>1119</v>
      </c>
      <c r="E48" s="46" t="s">
        <v>8</v>
      </c>
      <c r="F48" s="108" t="s">
        <v>659</v>
      </c>
      <c r="G48" s="178">
        <v>1.0</v>
      </c>
      <c r="H48" s="178">
        <v>1.0</v>
      </c>
      <c r="I48">
        <f>H140-H139</f>
        <v>14</v>
      </c>
      <c r="J48">
        <f>H140-H139</f>
        <v>14</v>
      </c>
      <c r="K48" s="178" t="s">
        <v>413</v>
      </c>
      <c r="L48" s="178" t="s">
        <v>17</v>
      </c>
      <c r="M48" s="178" t="s">
        <v>17</v>
      </c>
      <c r="N48" s="178">
        <v>1.0</v>
      </c>
      <c r="O48" s="178" t="s">
        <v>1166</v>
      </c>
      <c r="P48" s="178" t="s">
        <v>17</v>
      </c>
      <c r="Q48" s="178" t="s">
        <v>17</v>
      </c>
      <c r="R48" s="178">
        <v>1.0</v>
      </c>
      <c r="S48" s="178">
        <f>H140-H134</f>
        <v>566</v>
      </c>
      <c r="T48" s="178" t="s">
        <v>357</v>
      </c>
      <c r="U48" s="178">
        <v>0.0</v>
      </c>
      <c r="V48">
        <f>G139-date(2010,4,1)</f>
        <v>656</v>
      </c>
      <c r="W48">
        <f>G140-G139</f>
        <v>14</v>
      </c>
      <c r="X48" s="178" t="s">
        <v>17</v>
      </c>
      <c r="Y48" s="178">
        <v>0.0</v>
      </c>
      <c r="Z48" s="178">
        <v>1.0</v>
      </c>
      <c r="AA48" s="178" t="s">
        <v>37</v>
      </c>
      <c r="AB48" s="178" t="s">
        <v>413</v>
      </c>
      <c r="AC48" s="178" t="s">
        <v>1167</v>
      </c>
    </row>
    <row r="49" hidden="1">
      <c r="A49" s="45" t="s">
        <v>174</v>
      </c>
      <c r="B49" s="295" t="s">
        <v>673</v>
      </c>
      <c r="C49" s="47" t="s">
        <v>547</v>
      </c>
      <c r="D49" s="48" t="s">
        <v>7</v>
      </c>
      <c r="E49" s="46" t="s">
        <v>8</v>
      </c>
      <c r="F49" s="178" t="s">
        <v>17</v>
      </c>
      <c r="G49" s="178">
        <v>0.0</v>
      </c>
      <c r="H49" s="178">
        <v>1.0</v>
      </c>
      <c r="I49" s="178" t="s">
        <v>17</v>
      </c>
      <c r="J49" s="178" t="s">
        <v>17</v>
      </c>
      <c r="K49" s="178" t="s">
        <v>358</v>
      </c>
      <c r="L49" s="178" t="s">
        <v>17</v>
      </c>
      <c r="M49" s="178" t="s">
        <v>17</v>
      </c>
      <c r="N49" s="178">
        <v>0.0</v>
      </c>
      <c r="O49" s="178" t="s">
        <v>17</v>
      </c>
      <c r="P49" s="178" t="s">
        <v>17</v>
      </c>
      <c r="Q49" s="178" t="s">
        <v>17</v>
      </c>
      <c r="R49" s="178">
        <v>0.0</v>
      </c>
      <c r="S49" s="178" t="s">
        <v>17</v>
      </c>
      <c r="T49" s="178" t="s">
        <v>17</v>
      </c>
      <c r="U49" s="178">
        <v>1.0</v>
      </c>
      <c r="V49" s="178">
        <v>0.0</v>
      </c>
      <c r="W49" s="178" t="s">
        <v>17</v>
      </c>
      <c r="X49" s="178" t="s">
        <v>17</v>
      </c>
      <c r="Y49" s="178">
        <v>0.0</v>
      </c>
      <c r="Z49" s="178" t="s">
        <v>17</v>
      </c>
      <c r="AA49" s="178" t="s">
        <v>7</v>
      </c>
      <c r="AB49" s="178" t="s">
        <v>358</v>
      </c>
      <c r="AC49" s="178" t="s">
        <v>1109</v>
      </c>
    </row>
    <row r="50" hidden="1">
      <c r="A50" s="95" t="s">
        <v>675</v>
      </c>
      <c r="B50" s="95" t="s">
        <v>676</v>
      </c>
      <c r="C50" s="47" t="s">
        <v>547</v>
      </c>
      <c r="D50" s="48" t="s">
        <v>37</v>
      </c>
      <c r="E50" s="46" t="s">
        <v>8</v>
      </c>
      <c r="F50" s="178" t="s">
        <v>17</v>
      </c>
      <c r="G50" s="178">
        <v>1.0</v>
      </c>
      <c r="H50" s="178">
        <v>1.0</v>
      </c>
      <c r="I50">
        <f>H133-H131</f>
        <v>113</v>
      </c>
      <c r="J50">
        <f>H133-H131</f>
        <v>113</v>
      </c>
      <c r="K50" s="178" t="s">
        <v>357</v>
      </c>
      <c r="L50">
        <f>H138-H136</f>
        <v>250</v>
      </c>
      <c r="M50" s="178" t="s">
        <v>357</v>
      </c>
      <c r="N50" s="178">
        <v>1.0</v>
      </c>
      <c r="O50" s="178" t="s">
        <v>1124</v>
      </c>
      <c r="P50" s="178" t="s">
        <v>17</v>
      </c>
      <c r="Q50" s="178" t="s">
        <v>17</v>
      </c>
      <c r="R50" s="178">
        <v>0.0</v>
      </c>
      <c r="S50" s="178" t="s">
        <v>17</v>
      </c>
      <c r="T50" s="178" t="s">
        <v>17</v>
      </c>
      <c r="U50" s="178">
        <v>1.0</v>
      </c>
      <c r="V50" s="178">
        <v>0.0</v>
      </c>
      <c r="W50" s="178" t="s">
        <v>17</v>
      </c>
      <c r="X50" s="178" t="s">
        <v>17</v>
      </c>
      <c r="Y50" s="178">
        <v>0.0</v>
      </c>
      <c r="Z50" s="178" t="s">
        <v>17</v>
      </c>
      <c r="AA50" s="178" t="s">
        <v>37</v>
      </c>
      <c r="AB50" s="178" t="s">
        <v>1129</v>
      </c>
      <c r="AC50" s="178" t="s">
        <v>1140</v>
      </c>
    </row>
    <row r="51" hidden="1">
      <c r="A51" s="45" t="s">
        <v>180</v>
      </c>
      <c r="B51" s="85" t="s">
        <v>685</v>
      </c>
      <c r="C51" s="47" t="s">
        <v>547</v>
      </c>
      <c r="D51" s="48" t="s">
        <v>7</v>
      </c>
      <c r="E51" s="46" t="s">
        <v>8</v>
      </c>
      <c r="F51" s="178" t="s">
        <v>17</v>
      </c>
      <c r="G51" s="178">
        <v>1.0</v>
      </c>
      <c r="H51" s="178">
        <v>1.0</v>
      </c>
      <c r="I51">
        <f>H137-H131</f>
        <v>400</v>
      </c>
      <c r="J51">
        <f>H137-H133</f>
        <v>287</v>
      </c>
      <c r="K51" s="178" t="s">
        <v>357</v>
      </c>
      <c r="L51">
        <f>H139-H132</f>
        <v>682</v>
      </c>
      <c r="M51" s="178" t="s">
        <v>413</v>
      </c>
      <c r="N51" s="178">
        <v>1.0</v>
      </c>
      <c r="O51" s="178" t="s">
        <v>1168</v>
      </c>
      <c r="P51">
        <f>H142-H139</f>
        <v>58</v>
      </c>
      <c r="Q51" s="178" t="s">
        <v>1090</v>
      </c>
      <c r="R51" s="178">
        <v>0.0</v>
      </c>
      <c r="S51" s="178" t="s">
        <v>17</v>
      </c>
      <c r="T51" s="178" t="s">
        <v>17</v>
      </c>
      <c r="U51" s="178">
        <v>1.0</v>
      </c>
      <c r="V51" s="178">
        <v>0.0</v>
      </c>
      <c r="W51" s="178" t="s">
        <v>17</v>
      </c>
      <c r="X51">
        <f>G133-G131</f>
        <v>113</v>
      </c>
      <c r="Y51" s="178">
        <v>0.0</v>
      </c>
      <c r="Z51" s="178">
        <v>0.0</v>
      </c>
      <c r="AA51" s="178" t="s">
        <v>7</v>
      </c>
      <c r="AB51" s="178" t="s">
        <v>413</v>
      </c>
      <c r="AC51" s="178" t="s">
        <v>1151</v>
      </c>
    </row>
    <row r="52" hidden="1">
      <c r="A52" s="95" t="s">
        <v>694</v>
      </c>
      <c r="B52" s="95" t="s">
        <v>695</v>
      </c>
      <c r="C52" s="47" t="s">
        <v>547</v>
      </c>
      <c r="D52" s="48" t="s">
        <v>7</v>
      </c>
      <c r="E52" s="46" t="s">
        <v>8</v>
      </c>
      <c r="F52" s="178" t="s">
        <v>17</v>
      </c>
      <c r="G52" s="178">
        <v>1.0</v>
      </c>
      <c r="H52" s="178">
        <v>1.0</v>
      </c>
      <c r="I52">
        <f>H133-H131</f>
        <v>113</v>
      </c>
      <c r="J52" s="178">
        <f>H133-H131</f>
        <v>113</v>
      </c>
      <c r="K52" s="178" t="s">
        <v>357</v>
      </c>
      <c r="L52">
        <f>H136-H132</f>
        <v>244</v>
      </c>
      <c r="M52" s="178" t="s">
        <v>1103</v>
      </c>
      <c r="N52" s="178">
        <v>1.0</v>
      </c>
      <c r="O52" s="178" t="s">
        <v>1169</v>
      </c>
      <c r="P52">
        <f>H132-H131</f>
        <v>37</v>
      </c>
      <c r="Q52" s="178" t="s">
        <v>1155</v>
      </c>
      <c r="R52" s="178">
        <v>0.0</v>
      </c>
      <c r="S52" s="178" t="s">
        <v>17</v>
      </c>
      <c r="T52" s="178" t="s">
        <v>17</v>
      </c>
      <c r="U52" s="178">
        <v>1.0</v>
      </c>
      <c r="V52" s="178">
        <v>0.0</v>
      </c>
      <c r="W52" s="178" t="s">
        <v>17</v>
      </c>
      <c r="X52">
        <f>G141-G131</f>
        <v>747</v>
      </c>
      <c r="Y52" s="178">
        <v>0.0</v>
      </c>
      <c r="Z52" s="178">
        <v>1.0</v>
      </c>
      <c r="AA52" s="178" t="s">
        <v>7</v>
      </c>
      <c r="AB52" s="178" t="s">
        <v>1155</v>
      </c>
      <c r="AC52" s="178" t="s">
        <v>1170</v>
      </c>
    </row>
    <row r="53" hidden="1">
      <c r="A53" s="45" t="s">
        <v>186</v>
      </c>
      <c r="B53" s="295" t="s">
        <v>701</v>
      </c>
      <c r="C53" s="47" t="s">
        <v>547</v>
      </c>
      <c r="D53" s="48" t="s">
        <v>7</v>
      </c>
      <c r="E53" s="46" t="s">
        <v>67</v>
      </c>
      <c r="F53" s="178" t="s">
        <v>17</v>
      </c>
      <c r="G53" s="178">
        <v>0.0</v>
      </c>
      <c r="H53" s="178">
        <v>1.0</v>
      </c>
      <c r="I53" s="178" t="s">
        <v>17</v>
      </c>
      <c r="J53" s="178" t="s">
        <v>17</v>
      </c>
      <c r="K53" s="178" t="s">
        <v>358</v>
      </c>
      <c r="L53" s="178" t="s">
        <v>17</v>
      </c>
      <c r="M53" s="178" t="s">
        <v>17</v>
      </c>
      <c r="N53" s="178">
        <v>0.0</v>
      </c>
      <c r="O53" s="178" t="s">
        <v>17</v>
      </c>
      <c r="P53" s="178" t="s">
        <v>17</v>
      </c>
      <c r="Q53" s="178" t="s">
        <v>17</v>
      </c>
      <c r="R53" s="178">
        <v>0.0</v>
      </c>
      <c r="S53" s="178" t="s">
        <v>17</v>
      </c>
      <c r="T53" s="178" t="s">
        <v>17</v>
      </c>
      <c r="U53" s="178">
        <v>1.0</v>
      </c>
      <c r="V53" s="178">
        <v>0.0</v>
      </c>
      <c r="W53" s="178" t="s">
        <v>17</v>
      </c>
      <c r="X53" s="178" t="s">
        <v>17</v>
      </c>
      <c r="Y53" s="178">
        <v>0.0</v>
      </c>
      <c r="Z53" s="178" t="s">
        <v>17</v>
      </c>
      <c r="AA53" s="178" t="s">
        <v>7</v>
      </c>
      <c r="AB53" s="178" t="s">
        <v>358</v>
      </c>
      <c r="AC53" s="178" t="s">
        <v>1109</v>
      </c>
    </row>
    <row r="54" hidden="1">
      <c r="A54" s="17" t="s">
        <v>189</v>
      </c>
      <c r="B54" s="296" t="s">
        <v>703</v>
      </c>
      <c r="C54" s="47" t="s">
        <v>547</v>
      </c>
      <c r="D54" s="48" t="s">
        <v>7</v>
      </c>
      <c r="E54" s="46" t="s">
        <v>67</v>
      </c>
      <c r="F54" s="178" t="s">
        <v>17</v>
      </c>
      <c r="G54" s="178">
        <v>0.0</v>
      </c>
      <c r="H54" s="178">
        <v>1.0</v>
      </c>
      <c r="I54" s="178" t="s">
        <v>17</v>
      </c>
      <c r="J54" s="178" t="s">
        <v>17</v>
      </c>
      <c r="K54" s="178" t="s">
        <v>1103</v>
      </c>
      <c r="L54" s="178" t="s">
        <v>17</v>
      </c>
      <c r="M54" s="178" t="s">
        <v>17</v>
      </c>
      <c r="N54" s="178">
        <v>1.0</v>
      </c>
      <c r="O54" s="178" t="s">
        <v>1102</v>
      </c>
      <c r="P54" s="178" t="s">
        <v>17</v>
      </c>
      <c r="Q54" s="178" t="s">
        <v>17</v>
      </c>
      <c r="R54" s="178">
        <v>0.0</v>
      </c>
      <c r="S54" s="178" t="s">
        <v>17</v>
      </c>
      <c r="T54" s="178" t="s">
        <v>17</v>
      </c>
      <c r="U54" s="178">
        <v>1.0</v>
      </c>
      <c r="V54" s="178">
        <v>0.0</v>
      </c>
      <c r="W54" s="178" t="s">
        <v>17</v>
      </c>
      <c r="X54" s="178" t="s">
        <v>17</v>
      </c>
      <c r="Y54" s="178">
        <v>0.0</v>
      </c>
      <c r="Z54" s="178" t="s">
        <v>17</v>
      </c>
      <c r="AA54" s="178" t="s">
        <v>7</v>
      </c>
      <c r="AB54" s="178" t="s">
        <v>1103</v>
      </c>
      <c r="AC54" s="178" t="s">
        <v>1109</v>
      </c>
    </row>
    <row r="55" hidden="1">
      <c r="A55" s="45" t="s">
        <v>192</v>
      </c>
      <c r="B55" s="295" t="s">
        <v>705</v>
      </c>
      <c r="C55" s="47" t="s">
        <v>547</v>
      </c>
      <c r="D55" s="48" t="s">
        <v>7</v>
      </c>
      <c r="E55" s="46" t="s">
        <v>67</v>
      </c>
      <c r="F55" s="178" t="s">
        <v>17</v>
      </c>
      <c r="G55" s="178">
        <v>0.0</v>
      </c>
      <c r="H55" s="178">
        <v>0.0</v>
      </c>
      <c r="I55" s="178" t="s">
        <v>17</v>
      </c>
      <c r="J55" s="178" t="s">
        <v>17</v>
      </c>
      <c r="K55" s="108" t="s">
        <v>17</v>
      </c>
      <c r="L55" s="108" t="s">
        <v>17</v>
      </c>
      <c r="M55" s="108" t="s">
        <v>17</v>
      </c>
      <c r="N55" s="178">
        <v>0.0</v>
      </c>
      <c r="O55" s="108" t="s">
        <v>17</v>
      </c>
      <c r="P55" s="108" t="s">
        <v>17</v>
      </c>
      <c r="Q55" s="108" t="s">
        <v>17</v>
      </c>
      <c r="R55" s="178">
        <v>0.0</v>
      </c>
      <c r="S55" s="178" t="s">
        <v>17</v>
      </c>
      <c r="T55" s="178" t="s">
        <v>17</v>
      </c>
      <c r="U55" s="178">
        <v>0.0</v>
      </c>
      <c r="V55" s="178" t="s">
        <v>17</v>
      </c>
      <c r="W55" s="178" t="s">
        <v>17</v>
      </c>
      <c r="X55" s="178" t="s">
        <v>17</v>
      </c>
      <c r="Y55" s="178" t="s">
        <v>17</v>
      </c>
      <c r="Z55" s="178" t="s">
        <v>17</v>
      </c>
      <c r="AA55" s="178" t="s">
        <v>17</v>
      </c>
      <c r="AB55" s="178" t="s">
        <v>17</v>
      </c>
      <c r="AC55" s="178" t="s">
        <v>1100</v>
      </c>
    </row>
    <row r="56" hidden="1">
      <c r="A56" s="17" t="s">
        <v>195</v>
      </c>
      <c r="B56" s="95" t="s">
        <v>707</v>
      </c>
      <c r="C56" s="47" t="s">
        <v>547</v>
      </c>
      <c r="D56" s="48" t="s">
        <v>7</v>
      </c>
      <c r="E56" s="46" t="s">
        <v>67</v>
      </c>
      <c r="F56" s="178" t="s">
        <v>17</v>
      </c>
      <c r="G56" s="178">
        <v>1.0</v>
      </c>
      <c r="H56" s="178">
        <v>1.0</v>
      </c>
      <c r="I56">
        <f>H142-H134</f>
        <v>610</v>
      </c>
      <c r="J56">
        <f>H142-H134</f>
        <v>610</v>
      </c>
      <c r="K56" s="178" t="s">
        <v>357</v>
      </c>
      <c r="L56">
        <f>H134-H132</f>
        <v>130</v>
      </c>
      <c r="M56" s="178" t="s">
        <v>357</v>
      </c>
      <c r="N56" s="178">
        <v>0.0</v>
      </c>
      <c r="O56" s="178" t="s">
        <v>17</v>
      </c>
      <c r="P56" s="178" t="s">
        <v>17</v>
      </c>
      <c r="Q56" s="178" t="s">
        <v>17</v>
      </c>
      <c r="R56" s="178">
        <v>0.0</v>
      </c>
      <c r="S56" s="178" t="s">
        <v>17</v>
      </c>
      <c r="T56" s="178" t="s">
        <v>17</v>
      </c>
      <c r="U56" s="178">
        <v>1.0</v>
      </c>
      <c r="V56" s="178">
        <v>0.0</v>
      </c>
      <c r="W56" s="178" t="s">
        <v>17</v>
      </c>
      <c r="X56" s="178" t="s">
        <v>17</v>
      </c>
      <c r="Y56" s="178">
        <v>0.0</v>
      </c>
      <c r="Z56" s="178" t="s">
        <v>17</v>
      </c>
      <c r="AA56" s="178" t="s">
        <v>7</v>
      </c>
      <c r="AB56" s="178" t="s">
        <v>357</v>
      </c>
      <c r="AC56" s="178" t="s">
        <v>1140</v>
      </c>
    </row>
    <row r="57" hidden="1">
      <c r="A57" s="85" t="s">
        <v>712</v>
      </c>
      <c r="B57" s="85" t="s">
        <v>1171</v>
      </c>
      <c r="C57" s="47" t="s">
        <v>547</v>
      </c>
      <c r="D57" s="48" t="s">
        <v>7</v>
      </c>
      <c r="E57" s="46" t="s">
        <v>67</v>
      </c>
      <c r="F57" s="178" t="s">
        <v>17</v>
      </c>
      <c r="G57" s="178">
        <v>1.0</v>
      </c>
      <c r="H57" s="178">
        <v>1.0</v>
      </c>
      <c r="I57">
        <f>H132-H131</f>
        <v>37</v>
      </c>
      <c r="J57">
        <f>H132-H131</f>
        <v>37</v>
      </c>
      <c r="K57" s="178" t="s">
        <v>357</v>
      </c>
      <c r="L57">
        <f>H134-H132</f>
        <v>130</v>
      </c>
      <c r="M57" s="178" t="s">
        <v>357</v>
      </c>
      <c r="N57" s="178">
        <v>0.0</v>
      </c>
      <c r="O57" s="178" t="s">
        <v>17</v>
      </c>
      <c r="P57" s="178" t="s">
        <v>17</v>
      </c>
      <c r="Q57" s="178" t="s">
        <v>17</v>
      </c>
      <c r="R57" s="178">
        <v>0.0</v>
      </c>
      <c r="S57" s="178" t="s">
        <v>17</v>
      </c>
      <c r="T57" s="178" t="s">
        <v>17</v>
      </c>
      <c r="U57" s="178">
        <v>1.0</v>
      </c>
      <c r="V57" s="178">
        <v>0.0</v>
      </c>
      <c r="W57" s="178" t="s">
        <v>17</v>
      </c>
      <c r="X57" s="178" t="s">
        <v>17</v>
      </c>
      <c r="Y57" s="178">
        <v>0.0</v>
      </c>
      <c r="Z57" s="178" t="s">
        <v>17</v>
      </c>
      <c r="AA57" s="178" t="s">
        <v>7</v>
      </c>
      <c r="AB57" s="178" t="s">
        <v>357</v>
      </c>
      <c r="AC57" s="178" t="s">
        <v>1140</v>
      </c>
    </row>
    <row r="58" hidden="1">
      <c r="A58" s="17" t="s">
        <v>201</v>
      </c>
      <c r="B58" s="95" t="s">
        <v>721</v>
      </c>
      <c r="C58" s="47" t="s">
        <v>547</v>
      </c>
      <c r="D58" s="48" t="s">
        <v>7</v>
      </c>
      <c r="E58" s="46" t="s">
        <v>67</v>
      </c>
      <c r="F58" s="178" t="s">
        <v>17</v>
      </c>
      <c r="G58" s="178">
        <v>1.0</v>
      </c>
      <c r="H58" s="178">
        <v>0.0</v>
      </c>
      <c r="I58" s="178" t="s">
        <v>17</v>
      </c>
      <c r="J58" s="178" t="s">
        <v>17</v>
      </c>
      <c r="K58" s="178" t="s">
        <v>17</v>
      </c>
      <c r="L58" s="178" t="s">
        <v>17</v>
      </c>
      <c r="M58" s="178" t="s">
        <v>17</v>
      </c>
      <c r="N58" s="178">
        <v>0.0</v>
      </c>
      <c r="O58" s="178" t="s">
        <v>17</v>
      </c>
      <c r="P58" s="178" t="s">
        <v>17</v>
      </c>
      <c r="Q58" s="178" t="s">
        <v>17</v>
      </c>
      <c r="R58" s="178">
        <v>0.0</v>
      </c>
      <c r="S58" s="178" t="s">
        <v>17</v>
      </c>
      <c r="T58" s="178" t="s">
        <v>17</v>
      </c>
      <c r="U58" s="178">
        <v>0.0</v>
      </c>
      <c r="V58" s="178" t="s">
        <v>17</v>
      </c>
      <c r="W58" s="178" t="s">
        <v>17</v>
      </c>
      <c r="X58" s="178" t="s">
        <v>17</v>
      </c>
      <c r="Y58" s="178" t="s">
        <v>17</v>
      </c>
      <c r="Z58" s="178" t="s">
        <v>17</v>
      </c>
      <c r="AA58" s="178" t="s">
        <v>17</v>
      </c>
      <c r="AB58" s="178" t="s">
        <v>17</v>
      </c>
      <c r="AC58" s="178" t="s">
        <v>1107</v>
      </c>
    </row>
    <row r="59" hidden="1">
      <c r="A59" s="45" t="s">
        <v>204</v>
      </c>
      <c r="B59" s="85" t="s">
        <v>725</v>
      </c>
      <c r="C59" s="47" t="s">
        <v>547</v>
      </c>
      <c r="D59" s="63" t="s">
        <v>37</v>
      </c>
      <c r="E59" s="46" t="s">
        <v>67</v>
      </c>
      <c r="F59" s="178" t="s">
        <v>726</v>
      </c>
      <c r="G59" s="178">
        <v>1.0</v>
      </c>
      <c r="H59" s="178">
        <v>1.0</v>
      </c>
      <c r="I59">
        <f>H136-H131</f>
        <v>281</v>
      </c>
      <c r="J59">
        <f>H136-H134</f>
        <v>114</v>
      </c>
      <c r="K59" s="178" t="s">
        <v>413</v>
      </c>
      <c r="L59">
        <f>H139-H131</f>
        <v>719</v>
      </c>
      <c r="M59" s="178" t="s">
        <v>358</v>
      </c>
      <c r="N59" s="178">
        <v>1.0</v>
      </c>
      <c r="O59" s="178" t="s">
        <v>1172</v>
      </c>
      <c r="P59" s="178" t="s">
        <v>17</v>
      </c>
      <c r="Q59" s="178" t="s">
        <v>17</v>
      </c>
      <c r="R59" s="178">
        <v>1.0</v>
      </c>
      <c r="S59">
        <f>H140-H140</f>
        <v>0</v>
      </c>
      <c r="T59" s="178" t="s">
        <v>413</v>
      </c>
      <c r="U59" s="178">
        <v>1.0</v>
      </c>
      <c r="V59" s="178">
        <v>0.0</v>
      </c>
      <c r="W59" s="178" t="s">
        <v>17</v>
      </c>
      <c r="X59">
        <f>G132-G131</f>
        <v>37</v>
      </c>
      <c r="Y59" s="178">
        <v>0.0</v>
      </c>
      <c r="Z59" s="178">
        <v>0.0</v>
      </c>
      <c r="AA59" s="178" t="s">
        <v>37</v>
      </c>
      <c r="AB59" s="178" t="s">
        <v>1095</v>
      </c>
      <c r="AC59" s="178" t="s">
        <v>1173</v>
      </c>
    </row>
    <row r="60">
      <c r="A60" s="121" t="s">
        <v>734</v>
      </c>
      <c r="B60" s="121" t="s">
        <v>735</v>
      </c>
      <c r="C60" s="47" t="s">
        <v>736</v>
      </c>
      <c r="D60" s="157" t="s">
        <v>1119</v>
      </c>
      <c r="E60" s="49" t="s">
        <v>8</v>
      </c>
      <c r="F60" s="178" t="s">
        <v>726</v>
      </c>
      <c r="G60" s="178">
        <v>1.0</v>
      </c>
      <c r="H60" s="178">
        <v>1.0</v>
      </c>
      <c r="I60">
        <f>H142-H140</f>
        <v>44</v>
      </c>
      <c r="J60">
        <f>H141-H140</f>
        <v>14</v>
      </c>
      <c r="K60" s="178" t="s">
        <v>413</v>
      </c>
      <c r="L60" s="178" t="s">
        <v>17</v>
      </c>
      <c r="M60" s="178" t="s">
        <v>17</v>
      </c>
      <c r="N60" s="178">
        <v>1.0</v>
      </c>
      <c r="O60" s="178" t="s">
        <v>1174</v>
      </c>
      <c r="P60" s="178" t="s">
        <v>17</v>
      </c>
      <c r="Q60" s="178" t="s">
        <v>17</v>
      </c>
      <c r="R60" s="178">
        <v>1.0</v>
      </c>
      <c r="S60">
        <f>H140-H140</f>
        <v>0</v>
      </c>
      <c r="T60" s="178" t="s">
        <v>413</v>
      </c>
      <c r="U60" s="178">
        <v>0.0</v>
      </c>
      <c r="V60">
        <f>G140-date(2011,4,1)</f>
        <v>305</v>
      </c>
      <c r="W60">
        <f>G141-G140</f>
        <v>14</v>
      </c>
      <c r="X60" s="178" t="s">
        <v>17</v>
      </c>
      <c r="Y60" s="178">
        <v>1.0</v>
      </c>
      <c r="Z60" s="178">
        <v>1.0</v>
      </c>
      <c r="AA60" s="178" t="s">
        <v>37</v>
      </c>
      <c r="AB60" s="178" t="s">
        <v>1103</v>
      </c>
      <c r="AC60" s="178" t="s">
        <v>1175</v>
      </c>
    </row>
    <row r="61" hidden="1">
      <c r="A61" s="17" t="s">
        <v>207</v>
      </c>
      <c r="B61" s="296" t="s">
        <v>743</v>
      </c>
      <c r="C61" s="47" t="s">
        <v>547</v>
      </c>
      <c r="D61" s="48" t="s">
        <v>7</v>
      </c>
      <c r="E61" s="46" t="s">
        <v>67</v>
      </c>
      <c r="F61" s="5" t="s">
        <v>744</v>
      </c>
      <c r="G61" s="178">
        <v>1.0</v>
      </c>
      <c r="H61" s="178">
        <v>1.0</v>
      </c>
      <c r="I61" s="178" t="s">
        <v>17</v>
      </c>
      <c r="J61" s="178" t="s">
        <v>17</v>
      </c>
      <c r="K61" s="178" t="s">
        <v>420</v>
      </c>
      <c r="L61" s="178" t="s">
        <v>17</v>
      </c>
      <c r="M61" s="178" t="s">
        <v>17</v>
      </c>
      <c r="N61" s="178">
        <v>0.0</v>
      </c>
      <c r="O61" s="178" t="s">
        <v>17</v>
      </c>
      <c r="P61" s="178" t="s">
        <v>17</v>
      </c>
      <c r="Q61" s="178" t="s">
        <v>17</v>
      </c>
      <c r="R61" s="178">
        <v>0.0</v>
      </c>
      <c r="S61" s="178" t="s">
        <v>17</v>
      </c>
      <c r="T61" s="178" t="s">
        <v>17</v>
      </c>
      <c r="U61" s="178">
        <v>1.0</v>
      </c>
      <c r="V61" s="178">
        <v>0.0</v>
      </c>
      <c r="W61" s="178" t="s">
        <v>17</v>
      </c>
      <c r="X61" s="178" t="s">
        <v>17</v>
      </c>
      <c r="Y61" s="178">
        <v>0.0</v>
      </c>
      <c r="Z61" s="178" t="s">
        <v>17</v>
      </c>
      <c r="AA61" s="178" t="s">
        <v>7</v>
      </c>
      <c r="AB61" s="178" t="s">
        <v>420</v>
      </c>
      <c r="AC61" s="178" t="s">
        <v>1176</v>
      </c>
    </row>
    <row r="62">
      <c r="A62" s="303" t="s">
        <v>297</v>
      </c>
      <c r="B62" s="303" t="s">
        <v>746</v>
      </c>
      <c r="C62" s="299">
        <v>43200.0</v>
      </c>
      <c r="D62" s="224" t="s">
        <v>1119</v>
      </c>
      <c r="E62" s="120" t="s">
        <v>8</v>
      </c>
      <c r="F62" s="5" t="s">
        <v>744</v>
      </c>
      <c r="G62" s="178">
        <v>0.0</v>
      </c>
      <c r="H62" s="178">
        <v>0.0</v>
      </c>
      <c r="I62" s="178" t="s">
        <v>17</v>
      </c>
      <c r="J62" s="178" t="s">
        <v>17</v>
      </c>
      <c r="K62" s="178" t="s">
        <v>17</v>
      </c>
      <c r="L62" s="178" t="s">
        <v>17</v>
      </c>
      <c r="M62" s="178" t="s">
        <v>17</v>
      </c>
      <c r="N62" s="178">
        <v>0.0</v>
      </c>
      <c r="O62" s="178" t="s">
        <v>17</v>
      </c>
      <c r="P62" s="178" t="s">
        <v>17</v>
      </c>
      <c r="Q62" s="178" t="s">
        <v>17</v>
      </c>
      <c r="R62" s="178">
        <v>0.0</v>
      </c>
      <c r="S62" s="178" t="s">
        <v>17</v>
      </c>
      <c r="T62" s="178" t="s">
        <v>17</v>
      </c>
      <c r="U62" s="178">
        <v>0.0</v>
      </c>
      <c r="V62" s="178" t="s">
        <v>17</v>
      </c>
      <c r="W62" s="178" t="s">
        <v>17</v>
      </c>
      <c r="X62" s="178" t="s">
        <v>17</v>
      </c>
      <c r="Y62" s="178" t="s">
        <v>17</v>
      </c>
      <c r="Z62" s="178" t="s">
        <v>17</v>
      </c>
      <c r="AA62" s="178" t="s">
        <v>17</v>
      </c>
      <c r="AB62" s="178" t="s">
        <v>17</v>
      </c>
      <c r="AC62" s="178" t="s">
        <v>1100</v>
      </c>
    </row>
    <row r="63" hidden="1">
      <c r="A63" s="45" t="s">
        <v>210</v>
      </c>
      <c r="B63" s="85" t="s">
        <v>748</v>
      </c>
      <c r="C63" s="47" t="s">
        <v>547</v>
      </c>
      <c r="D63" s="48" t="s">
        <v>7</v>
      </c>
      <c r="E63" s="46" t="s">
        <v>67</v>
      </c>
      <c r="F63" s="5" t="s">
        <v>17</v>
      </c>
      <c r="G63" s="178">
        <v>1.0</v>
      </c>
      <c r="H63" s="178">
        <v>1.0</v>
      </c>
      <c r="I63">
        <f>H136-H135</f>
        <v>43</v>
      </c>
      <c r="J63">
        <f>H136-H135</f>
        <v>43</v>
      </c>
      <c r="K63" s="178" t="s">
        <v>357</v>
      </c>
      <c r="L63" s="178">
        <f>H138-H136</f>
        <v>250</v>
      </c>
      <c r="M63" s="178" t="s">
        <v>357</v>
      </c>
      <c r="N63" s="178">
        <v>0.0</v>
      </c>
      <c r="O63" s="178" t="s">
        <v>17</v>
      </c>
      <c r="P63" s="178" t="s">
        <v>17</v>
      </c>
      <c r="Q63" s="178" t="s">
        <v>17</v>
      </c>
      <c r="R63" s="178">
        <v>0.0</v>
      </c>
      <c r="S63" s="178" t="s">
        <v>17</v>
      </c>
      <c r="T63" s="178" t="s">
        <v>17</v>
      </c>
      <c r="U63" s="178">
        <v>0.0</v>
      </c>
      <c r="V63">
        <f>G132-G131</f>
        <v>37</v>
      </c>
      <c r="W63" s="178" t="s">
        <v>17</v>
      </c>
      <c r="X63">
        <f>G135-G132</f>
        <v>201</v>
      </c>
      <c r="Y63" s="178">
        <v>0.0</v>
      </c>
      <c r="Z63" s="178">
        <v>0.0</v>
      </c>
      <c r="AA63" s="178" t="s">
        <v>7</v>
      </c>
      <c r="AB63" s="178" t="s">
        <v>380</v>
      </c>
      <c r="AC63" s="178" t="s">
        <v>1177</v>
      </c>
    </row>
    <row r="64" hidden="1">
      <c r="A64" s="17" t="s">
        <v>213</v>
      </c>
      <c r="B64" s="95" t="s">
        <v>753</v>
      </c>
      <c r="C64" s="47" t="s">
        <v>547</v>
      </c>
      <c r="D64" s="48" t="s">
        <v>7</v>
      </c>
      <c r="E64" s="46" t="s">
        <v>67</v>
      </c>
      <c r="F64" s="108" t="s">
        <v>754</v>
      </c>
      <c r="G64" s="178">
        <v>1.0</v>
      </c>
      <c r="H64" s="178">
        <v>1.0</v>
      </c>
      <c r="I64">
        <f>H136-H134</f>
        <v>114</v>
      </c>
      <c r="J64">
        <f>H132-H131</f>
        <v>37</v>
      </c>
      <c r="K64" s="178" t="s">
        <v>1178</v>
      </c>
      <c r="L64">
        <f>H140-H132</f>
        <v>696</v>
      </c>
      <c r="M64" s="178" t="s">
        <v>358</v>
      </c>
      <c r="N64" s="178">
        <v>1.0</v>
      </c>
      <c r="O64" s="178" t="s">
        <v>1179</v>
      </c>
      <c r="P64" s="178" t="s">
        <v>17</v>
      </c>
      <c r="Q64" s="178" t="s">
        <v>17</v>
      </c>
      <c r="R64" s="178">
        <v>0.0</v>
      </c>
      <c r="S64" s="178" t="s">
        <v>17</v>
      </c>
      <c r="T64" s="178" t="s">
        <v>17</v>
      </c>
      <c r="U64" s="178">
        <v>1.0</v>
      </c>
      <c r="V64" s="178">
        <v>0.0</v>
      </c>
      <c r="W64" s="178" t="s">
        <v>17</v>
      </c>
      <c r="X64">
        <f>G132-G131</f>
        <v>37</v>
      </c>
      <c r="Y64" s="178">
        <v>0.0</v>
      </c>
      <c r="Z64" s="178">
        <v>0.0</v>
      </c>
      <c r="AA64" s="178" t="s">
        <v>7</v>
      </c>
      <c r="AB64" s="178" t="s">
        <v>1103</v>
      </c>
      <c r="AC64" s="178" t="s">
        <v>1180</v>
      </c>
    </row>
    <row r="65">
      <c r="A65" s="121" t="s">
        <v>761</v>
      </c>
      <c r="B65" s="304" t="s">
        <v>762</v>
      </c>
      <c r="C65" s="299">
        <v>43200.0</v>
      </c>
      <c r="D65" s="157" t="s">
        <v>1119</v>
      </c>
      <c r="E65" s="46" t="s">
        <v>67</v>
      </c>
      <c r="F65" s="108" t="s">
        <v>754</v>
      </c>
      <c r="G65" s="178">
        <v>1.0</v>
      </c>
      <c r="H65" s="178">
        <v>0.0</v>
      </c>
      <c r="I65" s="178" t="s">
        <v>17</v>
      </c>
      <c r="J65" s="178" t="s">
        <v>17</v>
      </c>
      <c r="K65" s="178" t="s">
        <v>17</v>
      </c>
      <c r="L65" s="178" t="s">
        <v>17</v>
      </c>
      <c r="M65" s="178" t="s">
        <v>17</v>
      </c>
      <c r="N65" s="178">
        <v>0.0</v>
      </c>
      <c r="O65" s="178" t="s">
        <v>17</v>
      </c>
      <c r="P65" s="178" t="s">
        <v>17</v>
      </c>
      <c r="Q65" s="178" t="s">
        <v>17</v>
      </c>
      <c r="R65" s="178">
        <v>0.0</v>
      </c>
      <c r="S65" s="178" t="s">
        <v>17</v>
      </c>
      <c r="T65" s="178" t="s">
        <v>17</v>
      </c>
      <c r="U65" s="178">
        <v>0.0</v>
      </c>
      <c r="V65" s="178" t="s">
        <v>17</v>
      </c>
      <c r="W65" s="178" t="s">
        <v>17</v>
      </c>
      <c r="X65" s="178" t="s">
        <v>17</v>
      </c>
      <c r="Y65" s="178" t="s">
        <v>17</v>
      </c>
      <c r="Z65" s="178" t="s">
        <v>17</v>
      </c>
      <c r="AA65" s="178" t="s">
        <v>17</v>
      </c>
      <c r="AB65" s="178" t="s">
        <v>17</v>
      </c>
      <c r="AC65" s="178" t="s">
        <v>1107</v>
      </c>
    </row>
    <row r="66" hidden="1">
      <c r="A66" s="45" t="s">
        <v>216</v>
      </c>
      <c r="B66" s="85" t="s">
        <v>764</v>
      </c>
      <c r="C66" s="47" t="s">
        <v>547</v>
      </c>
      <c r="D66" s="48" t="s">
        <v>37</v>
      </c>
      <c r="E66" s="46" t="s">
        <v>67</v>
      </c>
      <c r="F66" s="178" t="s">
        <v>17</v>
      </c>
      <c r="G66" s="178">
        <v>1.0</v>
      </c>
      <c r="H66" s="178">
        <v>1.0</v>
      </c>
      <c r="I66">
        <f>H135-H131</f>
        <v>238</v>
      </c>
      <c r="J66">
        <f>H135-H133</f>
        <v>125</v>
      </c>
      <c r="K66" s="178" t="s">
        <v>358</v>
      </c>
      <c r="L66" s="178" t="s">
        <v>17</v>
      </c>
      <c r="M66" s="178" t="s">
        <v>17</v>
      </c>
      <c r="N66" s="178">
        <v>1.0</v>
      </c>
      <c r="O66" s="178" t="s">
        <v>1181</v>
      </c>
      <c r="P66" s="178" t="s">
        <v>17</v>
      </c>
      <c r="Q66" s="178" t="s">
        <v>17</v>
      </c>
      <c r="R66" s="178">
        <v>0.0</v>
      </c>
      <c r="S66" s="178" t="s">
        <v>17</v>
      </c>
      <c r="T66" s="178" t="s">
        <v>17</v>
      </c>
      <c r="U66" s="178">
        <v>1.0</v>
      </c>
      <c r="V66" s="178">
        <v>0.0</v>
      </c>
      <c r="W66" s="178" t="s">
        <v>17</v>
      </c>
      <c r="X66">
        <f>G133-G131</f>
        <v>113</v>
      </c>
      <c r="Y66" s="178">
        <v>0.0</v>
      </c>
      <c r="Z66" s="178">
        <v>0.0</v>
      </c>
      <c r="AA66" s="178" t="s">
        <v>37</v>
      </c>
      <c r="AB66" s="178" t="s">
        <v>1182</v>
      </c>
      <c r="AC66" s="178" t="s">
        <v>1183</v>
      </c>
    </row>
    <row r="67" hidden="1">
      <c r="A67" s="95" t="s">
        <v>768</v>
      </c>
      <c r="B67" s="296" t="s">
        <v>769</v>
      </c>
      <c r="C67" s="47" t="s">
        <v>547</v>
      </c>
      <c r="D67" s="48" t="s">
        <v>7</v>
      </c>
      <c r="E67" s="46" t="s">
        <v>67</v>
      </c>
      <c r="F67" s="178" t="s">
        <v>17</v>
      </c>
      <c r="G67" s="178">
        <v>1.0</v>
      </c>
      <c r="H67" s="178">
        <v>1.0</v>
      </c>
      <c r="I67">
        <f>H137-H131</f>
        <v>400</v>
      </c>
      <c r="J67">
        <f>H133-H131</f>
        <v>113</v>
      </c>
      <c r="K67" s="178" t="s">
        <v>357</v>
      </c>
      <c r="L67">
        <f>H140-H133</f>
        <v>620</v>
      </c>
      <c r="M67" s="178" t="s">
        <v>357</v>
      </c>
      <c r="N67" s="178">
        <v>1.0</v>
      </c>
      <c r="O67" s="178" t="s">
        <v>1184</v>
      </c>
      <c r="P67" s="178" t="s">
        <v>17</v>
      </c>
      <c r="Q67" s="178" t="s">
        <v>17</v>
      </c>
      <c r="R67" s="178">
        <v>0.0</v>
      </c>
      <c r="S67" s="178" t="s">
        <v>17</v>
      </c>
      <c r="T67" s="178" t="s">
        <v>17</v>
      </c>
      <c r="U67" s="178">
        <v>1.0</v>
      </c>
      <c r="V67" s="178">
        <v>0.0</v>
      </c>
      <c r="W67" s="178" t="s">
        <v>17</v>
      </c>
      <c r="X67">
        <f>G134-G131</f>
        <v>167</v>
      </c>
      <c r="Y67" s="178">
        <v>0.0</v>
      </c>
      <c r="Z67" s="178">
        <v>0.0</v>
      </c>
      <c r="AA67" s="178" t="s">
        <v>7</v>
      </c>
      <c r="AB67" s="178" t="s">
        <v>357</v>
      </c>
      <c r="AC67" s="178" t="s">
        <v>1185</v>
      </c>
    </row>
    <row r="68" hidden="1">
      <c r="A68" s="85" t="s">
        <v>774</v>
      </c>
      <c r="B68" s="85" t="s">
        <v>775</v>
      </c>
      <c r="C68" s="47" t="s">
        <v>547</v>
      </c>
      <c r="D68" s="48" t="s">
        <v>7</v>
      </c>
      <c r="E68" s="46" t="s">
        <v>67</v>
      </c>
      <c r="F68" s="5" t="s">
        <v>776</v>
      </c>
      <c r="G68" s="178">
        <v>1.0</v>
      </c>
      <c r="H68" s="178">
        <v>1.0</v>
      </c>
      <c r="I68">
        <f>H136-H131</f>
        <v>281</v>
      </c>
      <c r="J68">
        <f>H133-H132</f>
        <v>76</v>
      </c>
      <c r="K68" s="178" t="s">
        <v>357</v>
      </c>
      <c r="L68">
        <f>H142-H136</f>
        <v>496</v>
      </c>
      <c r="M68" s="178" t="s">
        <v>357</v>
      </c>
      <c r="N68" s="178">
        <v>1.0</v>
      </c>
      <c r="O68" s="178" t="s">
        <v>1186</v>
      </c>
      <c r="P68" s="178" t="s">
        <v>17</v>
      </c>
      <c r="Q68" s="178" t="s">
        <v>17</v>
      </c>
      <c r="R68" s="178">
        <v>1.0</v>
      </c>
      <c r="S68">
        <f>H137-H136</f>
        <v>119</v>
      </c>
      <c r="T68" s="178" t="s">
        <v>357</v>
      </c>
      <c r="U68" s="178">
        <v>1.0</v>
      </c>
      <c r="V68" s="178">
        <v>0.0</v>
      </c>
      <c r="W68" s="178" t="s">
        <v>17</v>
      </c>
      <c r="X68">
        <f>G132-G131</f>
        <v>37</v>
      </c>
      <c r="Y68" s="178">
        <v>0.0</v>
      </c>
      <c r="Z68" s="178">
        <v>0.0</v>
      </c>
      <c r="AA68" s="178" t="s">
        <v>7</v>
      </c>
      <c r="AB68" s="178" t="s">
        <v>358</v>
      </c>
      <c r="AC68" s="178" t="s">
        <v>1126</v>
      </c>
    </row>
    <row r="69">
      <c r="A69" s="121" t="s">
        <v>782</v>
      </c>
      <c r="B69" s="304" t="s">
        <v>783</v>
      </c>
      <c r="C69" s="299">
        <v>43200.0</v>
      </c>
      <c r="D69" s="157" t="s">
        <v>1119</v>
      </c>
      <c r="E69" s="46" t="s">
        <v>67</v>
      </c>
      <c r="F69" s="5" t="s">
        <v>776</v>
      </c>
      <c r="G69" s="178">
        <v>1.0</v>
      </c>
      <c r="H69" s="178">
        <v>1.0</v>
      </c>
      <c r="I69">
        <f>H140-H139</f>
        <v>14</v>
      </c>
      <c r="J69">
        <f>H140-H139</f>
        <v>14</v>
      </c>
      <c r="K69" s="178" t="s">
        <v>420</v>
      </c>
      <c r="L69">
        <f>H142-H135</f>
        <v>539</v>
      </c>
      <c r="M69" s="178" t="s">
        <v>413</v>
      </c>
      <c r="N69" s="178">
        <v>1.0</v>
      </c>
      <c r="O69" s="178" t="s">
        <v>1102</v>
      </c>
      <c r="P69" s="178" t="s">
        <v>17</v>
      </c>
      <c r="Q69" s="178" t="s">
        <v>17</v>
      </c>
      <c r="R69" s="178">
        <v>1.0</v>
      </c>
      <c r="S69" s="178">
        <f>H137-H136</f>
        <v>119</v>
      </c>
      <c r="T69" s="178" t="s">
        <v>357</v>
      </c>
      <c r="U69" s="178">
        <v>0.0</v>
      </c>
      <c r="V69">
        <f>G135-date(2010,4,1)</f>
        <v>175</v>
      </c>
      <c r="W69">
        <f>G137-G135</f>
        <v>162</v>
      </c>
      <c r="X69" s="178" t="s">
        <v>17</v>
      </c>
      <c r="Y69" s="178">
        <v>0.0</v>
      </c>
      <c r="Z69" s="178">
        <v>0.0</v>
      </c>
      <c r="AA69" s="178" t="s">
        <v>62</v>
      </c>
      <c r="AB69" s="178" t="s">
        <v>413</v>
      </c>
      <c r="AC69" s="178" t="s">
        <v>1111</v>
      </c>
    </row>
    <row r="70" hidden="1">
      <c r="A70" s="17" t="s">
        <v>225</v>
      </c>
      <c r="B70" s="305" t="s">
        <v>789</v>
      </c>
      <c r="C70" s="47" t="s">
        <v>547</v>
      </c>
      <c r="D70" s="48" t="s">
        <v>7</v>
      </c>
      <c r="E70" s="46" t="s">
        <v>67</v>
      </c>
      <c r="F70" s="108" t="s">
        <v>790</v>
      </c>
      <c r="G70" s="178">
        <v>1.0</v>
      </c>
      <c r="H70" s="178">
        <v>1.0</v>
      </c>
      <c r="I70">
        <f>H139-H131</f>
        <v>719</v>
      </c>
      <c r="J70">
        <f>H134-H131</f>
        <v>167</v>
      </c>
      <c r="K70" s="178" t="s">
        <v>357</v>
      </c>
      <c r="L70">
        <f>H141-H134</f>
        <v>580</v>
      </c>
      <c r="M70" s="178" t="s">
        <v>357</v>
      </c>
      <c r="N70" s="178">
        <v>1.0</v>
      </c>
      <c r="O70" s="178" t="s">
        <v>1187</v>
      </c>
      <c r="P70" s="178" t="s">
        <v>17</v>
      </c>
      <c r="Q70" s="178" t="s">
        <v>17</v>
      </c>
      <c r="R70" s="178">
        <v>1.0</v>
      </c>
      <c r="S70" s="178">
        <f>H141-H139</f>
        <v>28</v>
      </c>
      <c r="T70" s="178" t="s">
        <v>358</v>
      </c>
      <c r="U70" s="178">
        <v>1.0</v>
      </c>
      <c r="V70" s="178">
        <v>0.0</v>
      </c>
      <c r="W70" s="178" t="s">
        <v>17</v>
      </c>
      <c r="X70">
        <f>G133-G131</f>
        <v>113</v>
      </c>
      <c r="Y70" s="178">
        <v>0.0</v>
      </c>
      <c r="Z70" s="178">
        <v>0.0</v>
      </c>
      <c r="AA70" s="178" t="s">
        <v>7</v>
      </c>
      <c r="AB70" s="178" t="s">
        <v>1188</v>
      </c>
      <c r="AC70" s="178" t="s">
        <v>1189</v>
      </c>
    </row>
    <row r="71">
      <c r="A71" s="121" t="s">
        <v>796</v>
      </c>
      <c r="B71" s="121" t="s">
        <v>797</v>
      </c>
      <c r="C71" s="47" t="s">
        <v>736</v>
      </c>
      <c r="D71" s="157" t="s">
        <v>1119</v>
      </c>
      <c r="E71" s="49" t="s">
        <v>67</v>
      </c>
      <c r="F71" s="108" t="s">
        <v>790</v>
      </c>
      <c r="G71" s="178">
        <v>1.0</v>
      </c>
      <c r="H71" s="178">
        <v>1.0</v>
      </c>
      <c r="I71" s="178" t="s">
        <v>17</v>
      </c>
      <c r="J71" s="178" t="s">
        <v>17</v>
      </c>
      <c r="K71" s="178" t="s">
        <v>1190</v>
      </c>
      <c r="L71" s="178" t="s">
        <v>17</v>
      </c>
      <c r="M71" s="178" t="s">
        <v>17</v>
      </c>
      <c r="N71" s="178">
        <v>1.0</v>
      </c>
      <c r="O71" s="178" t="s">
        <v>1191</v>
      </c>
      <c r="P71" s="178" t="s">
        <v>17</v>
      </c>
      <c r="Q71" s="178" t="s">
        <v>17</v>
      </c>
      <c r="R71" s="178">
        <v>1.0</v>
      </c>
      <c r="S71" s="178">
        <f>H141-H139</f>
        <v>28</v>
      </c>
      <c r="T71" s="178" t="s">
        <v>358</v>
      </c>
      <c r="U71" s="178">
        <v>0.0</v>
      </c>
      <c r="V71">
        <f>G141-date(2011,4,1)</f>
        <v>319</v>
      </c>
      <c r="W71" s="178" t="s">
        <v>17</v>
      </c>
      <c r="X71" s="178" t="s">
        <v>17</v>
      </c>
      <c r="Y71" s="178">
        <v>1.0</v>
      </c>
      <c r="Z71" s="178" t="s">
        <v>17</v>
      </c>
      <c r="AA71" s="178" t="s">
        <v>37</v>
      </c>
      <c r="AB71" s="178" t="s">
        <v>1190</v>
      </c>
      <c r="AC71" s="178" t="s">
        <v>1192</v>
      </c>
    </row>
    <row r="72" hidden="1">
      <c r="A72" s="45" t="s">
        <v>228</v>
      </c>
      <c r="B72" s="85" t="s">
        <v>801</v>
      </c>
      <c r="C72" s="47" t="s">
        <v>547</v>
      </c>
      <c r="D72" s="63" t="s">
        <v>37</v>
      </c>
      <c r="E72" s="46" t="s">
        <v>67</v>
      </c>
      <c r="F72" s="178" t="s">
        <v>17</v>
      </c>
      <c r="G72" s="178">
        <v>1.0</v>
      </c>
      <c r="H72" s="178">
        <v>1.0</v>
      </c>
      <c r="I72">
        <f>H140-H138</f>
        <v>202</v>
      </c>
      <c r="J72" s="178">
        <f>H136-H134</f>
        <v>114</v>
      </c>
      <c r="K72" s="178" t="s">
        <v>357</v>
      </c>
      <c r="L72">
        <f>H142-H132</f>
        <v>740</v>
      </c>
      <c r="M72" s="178" t="s">
        <v>420</v>
      </c>
      <c r="N72" s="178">
        <v>1.0</v>
      </c>
      <c r="O72" s="178" t="s">
        <v>1193</v>
      </c>
      <c r="P72">
        <f>H132-H131</f>
        <v>37</v>
      </c>
      <c r="Q72" s="178" t="s">
        <v>1190</v>
      </c>
      <c r="R72" s="178">
        <v>0.0</v>
      </c>
      <c r="S72" s="178" t="s">
        <v>17</v>
      </c>
      <c r="T72" s="178" t="s">
        <v>17</v>
      </c>
      <c r="U72" s="178">
        <v>1.0</v>
      </c>
      <c r="V72" s="178">
        <v>0.0</v>
      </c>
      <c r="W72" s="178" t="s">
        <v>17</v>
      </c>
      <c r="X72">
        <f>G132-G131</f>
        <v>37</v>
      </c>
      <c r="Y72" s="178">
        <v>0.0</v>
      </c>
      <c r="Z72" s="178">
        <v>0.0</v>
      </c>
      <c r="AA72" s="178" t="s">
        <v>37</v>
      </c>
      <c r="AB72" s="178" t="s">
        <v>1194</v>
      </c>
      <c r="AC72" s="178" t="s">
        <v>1195</v>
      </c>
    </row>
    <row r="73" hidden="1">
      <c r="A73" s="17" t="s">
        <v>231</v>
      </c>
      <c r="B73" s="95" t="s">
        <v>808</v>
      </c>
      <c r="C73" s="47" t="s">
        <v>547</v>
      </c>
      <c r="D73" s="48" t="s">
        <v>7</v>
      </c>
      <c r="E73" s="46" t="s">
        <v>67</v>
      </c>
      <c r="F73" s="108" t="s">
        <v>809</v>
      </c>
      <c r="G73" s="178">
        <v>1.0</v>
      </c>
      <c r="H73" s="178">
        <v>1.0</v>
      </c>
      <c r="I73">
        <f>H134-H131</f>
        <v>167</v>
      </c>
      <c r="J73">
        <f>H134-H133</f>
        <v>54</v>
      </c>
      <c r="K73" s="178" t="s">
        <v>357</v>
      </c>
      <c r="L73">
        <f>H134-H132</f>
        <v>130</v>
      </c>
      <c r="M73" s="178" t="s">
        <v>387</v>
      </c>
      <c r="N73" s="178">
        <v>1.0</v>
      </c>
      <c r="O73" s="178" t="s">
        <v>1196</v>
      </c>
      <c r="P73" s="178" t="s">
        <v>17</v>
      </c>
      <c r="Q73" s="178" t="s">
        <v>17</v>
      </c>
      <c r="R73" s="178">
        <v>0.0</v>
      </c>
      <c r="S73" s="178" t="s">
        <v>17</v>
      </c>
      <c r="T73" s="178" t="s">
        <v>17</v>
      </c>
      <c r="U73" s="178">
        <v>1.0</v>
      </c>
      <c r="V73" s="178">
        <v>0.0</v>
      </c>
      <c r="W73" s="178" t="s">
        <v>17</v>
      </c>
      <c r="X73">
        <f>G133-G131</f>
        <v>113</v>
      </c>
      <c r="Y73" s="178">
        <v>0.0</v>
      </c>
      <c r="Z73" s="178">
        <v>0.0</v>
      </c>
      <c r="AA73" s="178" t="s">
        <v>7</v>
      </c>
      <c r="AB73" s="178" t="s">
        <v>387</v>
      </c>
      <c r="AC73" s="178" t="s">
        <v>1197</v>
      </c>
    </row>
    <row r="74">
      <c r="A74" s="121" t="s">
        <v>816</v>
      </c>
      <c r="B74" s="121" t="s">
        <v>817</v>
      </c>
      <c r="C74" s="299">
        <v>43200.0</v>
      </c>
      <c r="D74" s="157" t="s">
        <v>1119</v>
      </c>
      <c r="E74" s="46" t="s">
        <v>67</v>
      </c>
      <c r="F74" s="108" t="s">
        <v>809</v>
      </c>
      <c r="G74" s="178">
        <v>1.0</v>
      </c>
      <c r="H74" s="178">
        <v>1.0</v>
      </c>
      <c r="I74">
        <f>H139-H138</f>
        <v>188</v>
      </c>
      <c r="J74" s="178" t="s">
        <v>17</v>
      </c>
      <c r="K74" s="178" t="s">
        <v>1198</v>
      </c>
      <c r="L74" s="178" t="s">
        <v>17</v>
      </c>
      <c r="M74" s="178" t="s">
        <v>17</v>
      </c>
      <c r="N74" s="178">
        <v>0.0</v>
      </c>
      <c r="O74" s="178" t="s">
        <v>17</v>
      </c>
      <c r="P74" s="178" t="s">
        <v>17</v>
      </c>
      <c r="Q74" s="178" t="s">
        <v>17</v>
      </c>
      <c r="R74" s="178">
        <v>0.0</v>
      </c>
      <c r="S74" s="178" t="s">
        <v>17</v>
      </c>
      <c r="T74" s="178" t="s">
        <v>17</v>
      </c>
      <c r="U74" s="178">
        <v>0.0</v>
      </c>
      <c r="V74">
        <f>G138-date(2010,4,1)</f>
        <v>468</v>
      </c>
      <c r="W74">
        <f>G139-G138</f>
        <v>188</v>
      </c>
      <c r="X74" s="178" t="s">
        <v>17</v>
      </c>
      <c r="Y74" s="178">
        <v>0.0</v>
      </c>
      <c r="Z74" s="178">
        <v>0.0</v>
      </c>
      <c r="AA74" s="178" t="s">
        <v>37</v>
      </c>
      <c r="AB74" s="178" t="s">
        <v>380</v>
      </c>
      <c r="AC74" s="178" t="s">
        <v>1199</v>
      </c>
    </row>
    <row r="75" hidden="1">
      <c r="A75" s="45" t="s">
        <v>234</v>
      </c>
      <c r="B75" s="85" t="s">
        <v>825</v>
      </c>
      <c r="C75" s="47" t="s">
        <v>547</v>
      </c>
      <c r="D75" s="48" t="s">
        <v>7</v>
      </c>
      <c r="E75" s="46" t="s">
        <v>67</v>
      </c>
      <c r="F75" s="108" t="s">
        <v>826</v>
      </c>
      <c r="G75" s="178">
        <v>1.0</v>
      </c>
      <c r="H75" s="178">
        <v>1.0</v>
      </c>
      <c r="I75">
        <f>H134-H131</f>
        <v>167</v>
      </c>
      <c r="J75">
        <f>H133-H132</f>
        <v>76</v>
      </c>
      <c r="K75" s="178" t="s">
        <v>380</v>
      </c>
      <c r="L75" s="178" t="s">
        <v>17</v>
      </c>
      <c r="M75" s="178" t="s">
        <v>17</v>
      </c>
      <c r="N75" s="178">
        <v>1.0</v>
      </c>
      <c r="O75" s="178" t="s">
        <v>1092</v>
      </c>
      <c r="P75" s="178" t="s">
        <v>17</v>
      </c>
      <c r="Q75" s="178" t="s">
        <v>17</v>
      </c>
      <c r="R75" s="178">
        <v>1.0</v>
      </c>
      <c r="S75" s="178">
        <f>H134-H133</f>
        <v>54</v>
      </c>
      <c r="T75" s="178" t="s">
        <v>380</v>
      </c>
      <c r="U75" s="178">
        <v>1.0</v>
      </c>
      <c r="V75" s="178">
        <v>0.0</v>
      </c>
      <c r="W75" s="178" t="s">
        <v>17</v>
      </c>
      <c r="X75">
        <f>G132-G131</f>
        <v>37</v>
      </c>
      <c r="Y75" s="178">
        <v>0.0</v>
      </c>
      <c r="Z75" s="178">
        <v>1.0</v>
      </c>
      <c r="AA75" s="178" t="s">
        <v>7</v>
      </c>
      <c r="AB75" s="178" t="s">
        <v>387</v>
      </c>
      <c r="AC75" s="178" t="s">
        <v>1200</v>
      </c>
    </row>
    <row r="76">
      <c r="A76" s="121" t="s">
        <v>835</v>
      </c>
      <c r="B76" s="121" t="s">
        <v>836</v>
      </c>
      <c r="C76" s="299">
        <v>43200.0</v>
      </c>
      <c r="D76" s="157" t="s">
        <v>1119</v>
      </c>
      <c r="E76" s="46" t="s">
        <v>67</v>
      </c>
      <c r="F76" s="108" t="s">
        <v>826</v>
      </c>
      <c r="G76" s="178">
        <v>1.0</v>
      </c>
      <c r="H76" s="178">
        <v>1.0</v>
      </c>
      <c r="I76" s="178">
        <f>H140-H139</f>
        <v>14</v>
      </c>
      <c r="J76" s="178">
        <f>H140-H139</f>
        <v>14</v>
      </c>
      <c r="K76" s="178" t="s">
        <v>420</v>
      </c>
      <c r="L76" s="178" t="s">
        <v>17</v>
      </c>
      <c r="M76" s="178" t="s">
        <v>17</v>
      </c>
      <c r="N76" s="178">
        <v>0.0</v>
      </c>
      <c r="O76" s="178" t="s">
        <v>17</v>
      </c>
      <c r="P76" s="178" t="s">
        <v>17</v>
      </c>
      <c r="Q76" s="178" t="s">
        <v>17</v>
      </c>
      <c r="R76" s="178">
        <v>1.0</v>
      </c>
      <c r="S76" s="178">
        <f>H134-H133</f>
        <v>54</v>
      </c>
      <c r="T76" s="178" t="s">
        <v>380</v>
      </c>
      <c r="U76" s="178">
        <v>0.0</v>
      </c>
      <c r="V76">
        <f>G134-date(2010,4,1)</f>
        <v>104</v>
      </c>
      <c r="W76">
        <f>G139-G134</f>
        <v>552</v>
      </c>
      <c r="X76" s="178" t="s">
        <v>17</v>
      </c>
      <c r="Y76" s="178">
        <v>0.0</v>
      </c>
      <c r="Z76" s="178">
        <v>0.0</v>
      </c>
      <c r="AA76" s="178" t="s">
        <v>62</v>
      </c>
      <c r="AB76" s="178" t="s">
        <v>380</v>
      </c>
      <c r="AC76" s="178" t="s">
        <v>1201</v>
      </c>
    </row>
    <row r="77" hidden="1">
      <c r="A77" s="17" t="s">
        <v>238</v>
      </c>
      <c r="B77" s="95" t="s">
        <v>844</v>
      </c>
      <c r="C77" s="47" t="s">
        <v>547</v>
      </c>
      <c r="D77" s="48" t="s">
        <v>7</v>
      </c>
      <c r="E77" s="46" t="s">
        <v>67</v>
      </c>
      <c r="F77" s="178" t="s">
        <v>17</v>
      </c>
      <c r="G77" s="178">
        <v>1.0</v>
      </c>
      <c r="H77" s="178">
        <v>1.0</v>
      </c>
      <c r="I77">
        <f>H134-H132</f>
        <v>130</v>
      </c>
      <c r="J77">
        <f>H134-H133</f>
        <v>54</v>
      </c>
      <c r="K77" s="178" t="s">
        <v>380</v>
      </c>
      <c r="L77">
        <f>H136-H132</f>
        <v>244</v>
      </c>
      <c r="M77" s="178" t="s">
        <v>357</v>
      </c>
      <c r="N77" s="178">
        <v>0.0</v>
      </c>
      <c r="O77" s="178" t="s">
        <v>17</v>
      </c>
      <c r="P77" s="178" t="s">
        <v>17</v>
      </c>
      <c r="Q77" s="178" t="s">
        <v>17</v>
      </c>
      <c r="R77" s="178">
        <v>0.0</v>
      </c>
      <c r="S77" s="178" t="s">
        <v>17</v>
      </c>
      <c r="T77" s="178" t="s">
        <v>17</v>
      </c>
      <c r="U77" s="178">
        <v>0.0</v>
      </c>
      <c r="V77">
        <f>G132-G131</f>
        <v>37</v>
      </c>
      <c r="W77">
        <f>G133-G132</f>
        <v>76</v>
      </c>
      <c r="X77" s="178" t="s">
        <v>17</v>
      </c>
      <c r="Y77" s="178">
        <v>0.0</v>
      </c>
      <c r="Z77" s="178">
        <v>0.0</v>
      </c>
      <c r="AA77" s="178" t="s">
        <v>7</v>
      </c>
      <c r="AB77" s="178" t="s">
        <v>357</v>
      </c>
      <c r="AC77" s="178" t="s">
        <v>1202</v>
      </c>
    </row>
    <row r="78" hidden="1">
      <c r="A78" s="45" t="s">
        <v>241</v>
      </c>
      <c r="B78" s="295" t="s">
        <v>853</v>
      </c>
      <c r="C78" s="47" t="s">
        <v>547</v>
      </c>
      <c r="D78" s="48" t="s">
        <v>7</v>
      </c>
      <c r="E78" s="46" t="s">
        <v>67</v>
      </c>
      <c r="F78" s="178" t="s">
        <v>17</v>
      </c>
      <c r="G78" s="178">
        <v>1.0</v>
      </c>
      <c r="H78" s="178">
        <v>1.0</v>
      </c>
      <c r="I78">
        <f>H135-H131</f>
        <v>238</v>
      </c>
      <c r="J78">
        <f>H135-H131</f>
        <v>238</v>
      </c>
      <c r="K78" s="178" t="s">
        <v>357</v>
      </c>
      <c r="L78" s="178" t="s">
        <v>17</v>
      </c>
      <c r="M78" s="178" t="s">
        <v>17</v>
      </c>
      <c r="N78" s="178">
        <v>0.0</v>
      </c>
      <c r="O78" s="178" t="s">
        <v>17</v>
      </c>
      <c r="P78" s="178" t="s">
        <v>17</v>
      </c>
      <c r="Q78" s="178" t="s">
        <v>17</v>
      </c>
      <c r="R78" s="178">
        <v>0.0</v>
      </c>
      <c r="S78" s="178" t="s">
        <v>17</v>
      </c>
      <c r="T78" s="178" t="s">
        <v>17</v>
      </c>
      <c r="U78" s="178">
        <v>1.0</v>
      </c>
      <c r="V78" s="178">
        <v>0.0</v>
      </c>
      <c r="W78" s="178" t="s">
        <v>17</v>
      </c>
      <c r="X78" s="178" t="s">
        <v>17</v>
      </c>
      <c r="Y78" s="178">
        <v>0.0</v>
      </c>
      <c r="Z78" s="178" t="s">
        <v>17</v>
      </c>
      <c r="AA78" s="178" t="s">
        <v>7</v>
      </c>
      <c r="AB78" s="178" t="s">
        <v>357</v>
      </c>
      <c r="AC78" s="178" t="s">
        <v>1140</v>
      </c>
    </row>
    <row r="79" hidden="1">
      <c r="A79" s="17" t="s">
        <v>244</v>
      </c>
      <c r="B79" s="95" t="s">
        <v>856</v>
      </c>
      <c r="C79" s="47" t="s">
        <v>547</v>
      </c>
      <c r="D79" s="48" t="s">
        <v>7</v>
      </c>
      <c r="E79" s="46" t="s">
        <v>67</v>
      </c>
      <c r="F79" s="108" t="s">
        <v>857</v>
      </c>
      <c r="G79" s="178">
        <v>1.0</v>
      </c>
      <c r="H79" s="178">
        <v>1.0</v>
      </c>
      <c r="I79">
        <f>H136-H131</f>
        <v>281</v>
      </c>
      <c r="J79">
        <f>H136-H131</f>
        <v>281</v>
      </c>
      <c r="K79" s="178" t="s">
        <v>357</v>
      </c>
      <c r="L79">
        <f>H141-H131</f>
        <v>747</v>
      </c>
      <c r="M79" s="178" t="s">
        <v>363</v>
      </c>
      <c r="N79" s="178">
        <v>1.0</v>
      </c>
      <c r="O79" s="178" t="s">
        <v>1203</v>
      </c>
      <c r="P79" s="178" t="s">
        <v>17</v>
      </c>
      <c r="Q79" s="178" t="s">
        <v>17</v>
      </c>
      <c r="R79" s="178">
        <v>1.0</v>
      </c>
      <c r="S79">
        <f>H139-H132</f>
        <v>682</v>
      </c>
      <c r="T79" s="178" t="s">
        <v>413</v>
      </c>
      <c r="U79" s="178">
        <v>1.0</v>
      </c>
      <c r="V79" s="178">
        <v>0.0</v>
      </c>
      <c r="W79" s="178" t="s">
        <v>17</v>
      </c>
      <c r="X79">
        <f>G132-G131</f>
        <v>37</v>
      </c>
      <c r="Y79" s="178">
        <v>0.0</v>
      </c>
      <c r="Z79" s="178">
        <v>0.0</v>
      </c>
      <c r="AA79" s="178" t="s">
        <v>7</v>
      </c>
      <c r="AB79" s="178" t="s">
        <v>1089</v>
      </c>
      <c r="AC79" s="178" t="s">
        <v>1204</v>
      </c>
    </row>
    <row r="80">
      <c r="A80" s="121" t="s">
        <v>863</v>
      </c>
      <c r="B80" s="121" t="s">
        <v>864</v>
      </c>
      <c r="C80" s="299">
        <v>43200.0</v>
      </c>
      <c r="D80" s="157" t="s">
        <v>1119</v>
      </c>
      <c r="E80" s="46" t="s">
        <v>8</v>
      </c>
      <c r="F80" s="108" t="s">
        <v>857</v>
      </c>
      <c r="G80" s="178">
        <v>1.0</v>
      </c>
      <c r="H80" s="178">
        <v>1.0</v>
      </c>
      <c r="I80">
        <f>H142-H139</f>
        <v>58</v>
      </c>
      <c r="J80">
        <f>H142-H141</f>
        <v>30</v>
      </c>
      <c r="K80" s="178" t="s">
        <v>413</v>
      </c>
      <c r="L80">
        <f>H141-H139</f>
        <v>28</v>
      </c>
      <c r="M80" s="178" t="s">
        <v>413</v>
      </c>
      <c r="N80" s="178">
        <v>1.0</v>
      </c>
      <c r="O80" s="178" t="s">
        <v>1174</v>
      </c>
      <c r="P80" s="178" t="s">
        <v>17</v>
      </c>
      <c r="Q80" s="178" t="s">
        <v>17</v>
      </c>
      <c r="R80" s="178">
        <v>1.0</v>
      </c>
      <c r="S80">
        <f>H139-H132</f>
        <v>682</v>
      </c>
      <c r="T80" s="178" t="s">
        <v>413</v>
      </c>
      <c r="U80" s="178">
        <v>0.0</v>
      </c>
      <c r="V80">
        <f>G137-date(2010,4,1)</f>
        <v>337</v>
      </c>
      <c r="W80">
        <f>G139-G137</f>
        <v>319</v>
      </c>
      <c r="X80" s="178" t="s">
        <v>17</v>
      </c>
      <c r="Y80" s="178">
        <v>0.0</v>
      </c>
      <c r="Z80" s="178">
        <v>0.0</v>
      </c>
      <c r="AA80" s="178" t="s">
        <v>37</v>
      </c>
      <c r="AB80" s="178" t="s">
        <v>380</v>
      </c>
      <c r="AC80" s="178" t="s">
        <v>1205</v>
      </c>
    </row>
    <row r="81" hidden="1">
      <c r="A81" s="85" t="s">
        <v>869</v>
      </c>
      <c r="B81" s="295" t="s">
        <v>870</v>
      </c>
      <c r="C81" s="47" t="s">
        <v>547</v>
      </c>
      <c r="D81" s="48" t="s">
        <v>7</v>
      </c>
      <c r="E81" s="46" t="s">
        <v>67</v>
      </c>
      <c r="F81" s="178" t="s">
        <v>17</v>
      </c>
      <c r="G81" s="178">
        <v>1.0</v>
      </c>
      <c r="H81" s="178">
        <v>0.0</v>
      </c>
      <c r="I81" s="178" t="s">
        <v>17</v>
      </c>
      <c r="J81" s="178" t="s">
        <v>17</v>
      </c>
      <c r="K81" s="178" t="s">
        <v>17</v>
      </c>
      <c r="L81" s="178" t="s">
        <v>17</v>
      </c>
      <c r="M81" s="178" t="s">
        <v>17</v>
      </c>
      <c r="N81" s="178">
        <v>0.0</v>
      </c>
      <c r="O81" s="178" t="s">
        <v>17</v>
      </c>
      <c r="P81" s="178" t="s">
        <v>17</v>
      </c>
      <c r="Q81" s="178" t="s">
        <v>17</v>
      </c>
      <c r="R81" s="178">
        <v>0.0</v>
      </c>
      <c r="S81" s="178" t="s">
        <v>17</v>
      </c>
      <c r="T81" s="178" t="s">
        <v>17</v>
      </c>
      <c r="U81" s="178">
        <v>0.0</v>
      </c>
      <c r="V81" s="178" t="s">
        <v>17</v>
      </c>
      <c r="W81" s="178" t="s">
        <v>17</v>
      </c>
      <c r="X81" s="178" t="s">
        <v>17</v>
      </c>
      <c r="Y81" s="178" t="s">
        <v>17</v>
      </c>
      <c r="Z81" s="178" t="s">
        <v>17</v>
      </c>
      <c r="AA81" s="178" t="s">
        <v>17</v>
      </c>
      <c r="AB81" s="178" t="s">
        <v>17</v>
      </c>
      <c r="AC81" s="178" t="s">
        <v>1107</v>
      </c>
    </row>
    <row r="82" hidden="1">
      <c r="A82" s="17" t="s">
        <v>250</v>
      </c>
      <c r="B82" s="95" t="s">
        <v>874</v>
      </c>
      <c r="C82" s="47" t="s">
        <v>547</v>
      </c>
      <c r="D82" s="48" t="s">
        <v>7</v>
      </c>
      <c r="E82" s="46" t="s">
        <v>67</v>
      </c>
      <c r="F82" s="178" t="s">
        <v>17</v>
      </c>
      <c r="G82" s="178">
        <v>1.0</v>
      </c>
      <c r="H82" s="178">
        <v>1.0</v>
      </c>
      <c r="I82">
        <f>H142-H141</f>
        <v>30</v>
      </c>
      <c r="J82" s="178" t="s">
        <v>17</v>
      </c>
      <c r="K82" s="178" t="s">
        <v>1206</v>
      </c>
      <c r="L82">
        <f>H138-H131</f>
        <v>531</v>
      </c>
      <c r="M82" s="178" t="s">
        <v>389</v>
      </c>
      <c r="N82" s="178">
        <v>1.0</v>
      </c>
      <c r="O82" s="178" t="s">
        <v>1207</v>
      </c>
      <c r="P82" s="178" t="s">
        <v>17</v>
      </c>
      <c r="Q82" s="178" t="s">
        <v>17</v>
      </c>
      <c r="R82" s="178">
        <v>0.0</v>
      </c>
      <c r="S82" s="178" t="s">
        <v>17</v>
      </c>
      <c r="T82" s="178" t="s">
        <v>17</v>
      </c>
      <c r="U82" s="178">
        <v>1.0</v>
      </c>
      <c r="V82" s="178">
        <v>0.0</v>
      </c>
      <c r="W82" s="178" t="s">
        <v>17</v>
      </c>
      <c r="X82" s="178" t="s">
        <v>17</v>
      </c>
      <c r="Y82" s="178">
        <v>0.0</v>
      </c>
      <c r="Z82" s="178" t="s">
        <v>17</v>
      </c>
      <c r="AA82" s="178" t="s">
        <v>7</v>
      </c>
      <c r="AB82" s="178" t="s">
        <v>1194</v>
      </c>
      <c r="AC82" s="178" t="s">
        <v>1208</v>
      </c>
    </row>
    <row r="83" hidden="1">
      <c r="A83" s="85" t="s">
        <v>881</v>
      </c>
      <c r="B83" s="85" t="s">
        <v>882</v>
      </c>
      <c r="C83" s="47" t="s">
        <v>547</v>
      </c>
      <c r="D83" s="48" t="s">
        <v>7</v>
      </c>
      <c r="E83" s="46" t="s">
        <v>67</v>
      </c>
      <c r="F83" s="178" t="s">
        <v>17</v>
      </c>
      <c r="G83" s="178">
        <v>1.0</v>
      </c>
      <c r="H83" s="178">
        <v>1.0</v>
      </c>
      <c r="I83">
        <f>H136-H135</f>
        <v>43</v>
      </c>
      <c r="J83" s="178" t="s">
        <v>17</v>
      </c>
      <c r="K83" s="178" t="s">
        <v>1209</v>
      </c>
      <c r="L83">
        <f>H141-H135</f>
        <v>509</v>
      </c>
      <c r="M83" s="178" t="s">
        <v>413</v>
      </c>
      <c r="N83" s="178">
        <v>1.0</v>
      </c>
      <c r="O83" s="178" t="s">
        <v>1133</v>
      </c>
      <c r="P83" s="178" t="s">
        <v>17</v>
      </c>
      <c r="Q83" s="178" t="s">
        <v>17</v>
      </c>
      <c r="R83" s="178">
        <v>0.0</v>
      </c>
      <c r="S83" s="178" t="s">
        <v>17</v>
      </c>
      <c r="T83" s="178" t="s">
        <v>17</v>
      </c>
      <c r="U83" s="178">
        <v>0.0</v>
      </c>
      <c r="V83">
        <f>G132-G131</f>
        <v>37</v>
      </c>
      <c r="W83">
        <f>G135-G132</f>
        <v>201</v>
      </c>
      <c r="X83" s="178" t="s">
        <v>17</v>
      </c>
      <c r="Y83" s="178">
        <v>0.0</v>
      </c>
      <c r="Z83" s="178">
        <v>0.0</v>
      </c>
      <c r="AA83" s="178" t="s">
        <v>7</v>
      </c>
      <c r="AB83" s="178" t="s">
        <v>1095</v>
      </c>
      <c r="AC83" s="178" t="s">
        <v>1210</v>
      </c>
    </row>
    <row r="84" hidden="1">
      <c r="A84" s="95" t="s">
        <v>888</v>
      </c>
      <c r="B84" s="95" t="s">
        <v>889</v>
      </c>
      <c r="C84" s="47" t="s">
        <v>547</v>
      </c>
      <c r="D84" s="63" t="s">
        <v>37</v>
      </c>
      <c r="E84" s="46" t="s">
        <v>67</v>
      </c>
      <c r="F84" s="108" t="s">
        <v>890</v>
      </c>
      <c r="G84" s="178">
        <v>1.0</v>
      </c>
      <c r="H84" s="178">
        <v>1.0</v>
      </c>
      <c r="I84" s="178">
        <f>H133-H131</f>
        <v>113</v>
      </c>
      <c r="J84">
        <f>H133-H131</f>
        <v>113</v>
      </c>
      <c r="K84" s="178" t="s">
        <v>357</v>
      </c>
      <c r="L84">
        <f>H138-H136</f>
        <v>250</v>
      </c>
      <c r="M84" s="178" t="s">
        <v>413</v>
      </c>
      <c r="N84" s="178">
        <v>1.0</v>
      </c>
      <c r="O84" s="178" t="s">
        <v>1211</v>
      </c>
      <c r="P84" s="178" t="s">
        <v>17</v>
      </c>
      <c r="Q84" s="178" t="s">
        <v>17</v>
      </c>
      <c r="R84" s="178">
        <v>1.0</v>
      </c>
      <c r="S84">
        <f>H140-H138</f>
        <v>202</v>
      </c>
      <c r="T84" s="178" t="s">
        <v>413</v>
      </c>
      <c r="U84" s="178">
        <v>1.0</v>
      </c>
      <c r="V84" s="178">
        <v>0.0</v>
      </c>
      <c r="W84" s="178" t="s">
        <v>17</v>
      </c>
      <c r="X84">
        <f>G132-G131</f>
        <v>37</v>
      </c>
      <c r="Y84" s="178">
        <v>0.0</v>
      </c>
      <c r="Z84" s="178">
        <v>0.0</v>
      </c>
      <c r="AA84" s="178" t="s">
        <v>37</v>
      </c>
      <c r="AB84" s="178" t="s">
        <v>357</v>
      </c>
      <c r="AC84" s="178" t="s">
        <v>1212</v>
      </c>
    </row>
    <row r="85">
      <c r="A85" s="121" t="s">
        <v>895</v>
      </c>
      <c r="B85" s="121" t="s">
        <v>896</v>
      </c>
      <c r="C85" s="47" t="s">
        <v>736</v>
      </c>
      <c r="D85" s="157" t="s">
        <v>1119</v>
      </c>
      <c r="E85" s="49" t="s">
        <v>67</v>
      </c>
      <c r="F85" s="108" t="s">
        <v>890</v>
      </c>
      <c r="G85" s="178">
        <v>1.0</v>
      </c>
      <c r="H85" s="178">
        <v>1.0</v>
      </c>
      <c r="I85">
        <f>H142-H139</f>
        <v>58</v>
      </c>
      <c r="J85">
        <f>H141-H140</f>
        <v>14</v>
      </c>
      <c r="K85" s="178" t="s">
        <v>420</v>
      </c>
      <c r="L85">
        <f>H142-H140</f>
        <v>44</v>
      </c>
      <c r="M85" s="178" t="s">
        <v>413</v>
      </c>
      <c r="N85" s="178">
        <v>1.0</v>
      </c>
      <c r="O85" s="178" t="s">
        <v>1213</v>
      </c>
      <c r="P85" s="178" t="s">
        <v>17</v>
      </c>
      <c r="Q85" s="178" t="s">
        <v>17</v>
      </c>
      <c r="R85" s="178">
        <v>1.0</v>
      </c>
      <c r="S85">
        <f>H140-H138</f>
        <v>202</v>
      </c>
      <c r="T85" s="178" t="s">
        <v>413</v>
      </c>
      <c r="U85" s="178">
        <v>0.0</v>
      </c>
      <c r="V85">
        <f>G139-date(2011,4,1)</f>
        <v>291</v>
      </c>
      <c r="W85">
        <f>G140-G139</f>
        <v>14</v>
      </c>
      <c r="X85" s="178" t="s">
        <v>17</v>
      </c>
      <c r="Y85" s="178">
        <v>0.0</v>
      </c>
      <c r="Z85" s="178">
        <v>1.0</v>
      </c>
      <c r="AA85" s="178" t="s">
        <v>37</v>
      </c>
      <c r="AB85" s="178" t="s">
        <v>1214</v>
      </c>
      <c r="AC85" s="178" t="s">
        <v>1215</v>
      </c>
    </row>
    <row r="86" hidden="1">
      <c r="A86" s="85" t="s">
        <v>899</v>
      </c>
      <c r="B86" s="85" t="s">
        <v>900</v>
      </c>
      <c r="C86" s="47" t="s">
        <v>547</v>
      </c>
      <c r="D86" s="48" t="s">
        <v>7</v>
      </c>
      <c r="E86" s="46" t="s">
        <v>67</v>
      </c>
      <c r="F86" s="178" t="s">
        <v>17</v>
      </c>
      <c r="G86" s="178">
        <v>1.0</v>
      </c>
      <c r="H86" s="178">
        <v>1.0</v>
      </c>
      <c r="I86" s="178" t="s">
        <v>17</v>
      </c>
      <c r="J86" s="178" t="s">
        <v>17</v>
      </c>
      <c r="K86" s="178" t="s">
        <v>413</v>
      </c>
      <c r="L86" s="178" t="s">
        <v>17</v>
      </c>
      <c r="M86" s="178" t="s">
        <v>17</v>
      </c>
      <c r="N86" s="178">
        <v>0.0</v>
      </c>
      <c r="O86" s="178" t="s">
        <v>17</v>
      </c>
      <c r="P86" s="178" t="s">
        <v>17</v>
      </c>
      <c r="Q86" s="178" t="s">
        <v>17</v>
      </c>
      <c r="R86" s="178">
        <v>0.0</v>
      </c>
      <c r="S86" s="178" t="s">
        <v>17</v>
      </c>
      <c r="T86" s="178" t="s">
        <v>17</v>
      </c>
      <c r="U86" s="178">
        <v>0.0</v>
      </c>
      <c r="V86">
        <f>G132-G131</f>
        <v>37</v>
      </c>
      <c r="W86" s="178" t="s">
        <v>17</v>
      </c>
      <c r="X86" s="178" t="s">
        <v>17</v>
      </c>
      <c r="Y86" s="178">
        <v>0.0</v>
      </c>
      <c r="Z86" s="178" t="s">
        <v>17</v>
      </c>
      <c r="AA86" s="178" t="s">
        <v>7</v>
      </c>
      <c r="AB86" s="178" t="s">
        <v>413</v>
      </c>
      <c r="AC86" s="178" t="s">
        <v>1216</v>
      </c>
    </row>
    <row r="87" hidden="1">
      <c r="A87" s="95" t="s">
        <v>906</v>
      </c>
      <c r="B87" s="95" t="s">
        <v>907</v>
      </c>
      <c r="C87" s="47" t="s">
        <v>547</v>
      </c>
      <c r="D87" s="48" t="s">
        <v>7</v>
      </c>
      <c r="E87" s="46" t="s">
        <v>67</v>
      </c>
      <c r="F87" s="178" t="s">
        <v>17</v>
      </c>
      <c r="G87" s="178">
        <v>1.0</v>
      </c>
      <c r="H87" s="178">
        <v>1.0</v>
      </c>
      <c r="I87" s="178" t="s">
        <v>17</v>
      </c>
      <c r="J87" s="178" t="s">
        <v>17</v>
      </c>
      <c r="K87" s="178" t="s">
        <v>1120</v>
      </c>
      <c r="L87" s="178" t="s">
        <v>17</v>
      </c>
      <c r="M87" s="178" t="s">
        <v>17</v>
      </c>
      <c r="N87" s="178">
        <v>1.0</v>
      </c>
      <c r="O87" s="178" t="s">
        <v>1149</v>
      </c>
      <c r="P87" s="178" t="s">
        <v>17</v>
      </c>
      <c r="Q87" s="178" t="s">
        <v>17</v>
      </c>
      <c r="R87" s="178">
        <v>0.0</v>
      </c>
      <c r="S87" s="178" t="s">
        <v>17</v>
      </c>
      <c r="T87" s="178" t="s">
        <v>17</v>
      </c>
      <c r="U87" s="178">
        <v>0.0</v>
      </c>
      <c r="V87">
        <f>G140-G131</f>
        <v>733</v>
      </c>
      <c r="W87" s="178" t="s">
        <v>17</v>
      </c>
      <c r="X87" s="178" t="s">
        <v>17</v>
      </c>
      <c r="Y87" s="178">
        <v>1.0</v>
      </c>
      <c r="Z87" s="178" t="s">
        <v>17</v>
      </c>
      <c r="AA87" s="178" t="s">
        <v>7</v>
      </c>
      <c r="AB87" s="178" t="s">
        <v>1120</v>
      </c>
      <c r="AC87" s="178" t="s">
        <v>1217</v>
      </c>
    </row>
    <row r="88" hidden="1">
      <c r="A88" s="45" t="s">
        <v>268</v>
      </c>
      <c r="B88" s="85" t="s">
        <v>915</v>
      </c>
      <c r="C88" s="47" t="s">
        <v>547</v>
      </c>
      <c r="D88" s="48" t="s">
        <v>7</v>
      </c>
      <c r="E88" s="46" t="s">
        <v>67</v>
      </c>
      <c r="F88" s="178" t="s">
        <v>17</v>
      </c>
      <c r="G88" s="178">
        <v>1.0</v>
      </c>
      <c r="H88" s="178">
        <v>1.0</v>
      </c>
      <c r="I88">
        <f>H136-H131</f>
        <v>281</v>
      </c>
      <c r="J88">
        <f>H136-H132</f>
        <v>244</v>
      </c>
      <c r="K88" s="178" t="s">
        <v>357</v>
      </c>
      <c r="L88" s="178" t="s">
        <v>17</v>
      </c>
      <c r="M88" s="178" t="s">
        <v>17</v>
      </c>
      <c r="N88" s="178">
        <v>1.0</v>
      </c>
      <c r="O88" s="178" t="s">
        <v>1218</v>
      </c>
      <c r="P88" s="178" t="s">
        <v>17</v>
      </c>
      <c r="Q88" s="178" t="s">
        <v>17</v>
      </c>
      <c r="R88" s="178">
        <v>0.0</v>
      </c>
      <c r="S88" s="178" t="s">
        <v>17</v>
      </c>
      <c r="T88" s="178" t="s">
        <v>17</v>
      </c>
      <c r="U88" s="178">
        <v>1.0</v>
      </c>
      <c r="V88" s="178">
        <v>0.0</v>
      </c>
      <c r="W88" s="178" t="s">
        <v>17</v>
      </c>
      <c r="X88">
        <f>G132-G131</f>
        <v>37</v>
      </c>
      <c r="Y88" s="178">
        <v>0.0</v>
      </c>
      <c r="Z88" s="178">
        <v>0.0</v>
      </c>
      <c r="AA88" s="178" t="s">
        <v>7</v>
      </c>
      <c r="AB88" s="178" t="s">
        <v>1095</v>
      </c>
      <c r="AC88" s="178" t="s">
        <v>1219</v>
      </c>
    </row>
    <row r="89" hidden="1">
      <c r="A89" s="17" t="s">
        <v>271</v>
      </c>
      <c r="B89" s="95" t="s">
        <v>924</v>
      </c>
      <c r="C89" s="47" t="s">
        <v>547</v>
      </c>
      <c r="D89" s="48" t="s">
        <v>37</v>
      </c>
      <c r="E89" s="46" t="s">
        <v>67</v>
      </c>
      <c r="F89" s="178" t="s">
        <v>17</v>
      </c>
      <c r="G89" s="178">
        <v>1.0</v>
      </c>
      <c r="H89" s="178">
        <v>1.0</v>
      </c>
      <c r="I89">
        <f>H135-H133</f>
        <v>125</v>
      </c>
      <c r="J89">
        <f>H134-H133</f>
        <v>54</v>
      </c>
      <c r="K89" s="178" t="s">
        <v>357</v>
      </c>
      <c r="L89">
        <f>H142-H131</f>
        <v>777</v>
      </c>
      <c r="M89" s="178" t="s">
        <v>358</v>
      </c>
      <c r="N89" s="178">
        <v>1.0</v>
      </c>
      <c r="O89" s="178" t="s">
        <v>1220</v>
      </c>
      <c r="P89" s="178" t="s">
        <v>17</v>
      </c>
      <c r="Q89" s="178" t="s">
        <v>17</v>
      </c>
      <c r="R89" s="178">
        <v>0.0</v>
      </c>
      <c r="S89" s="178" t="s">
        <v>17</v>
      </c>
      <c r="T89" s="178" t="s">
        <v>17</v>
      </c>
      <c r="U89" s="178">
        <v>1.0</v>
      </c>
      <c r="V89" s="178">
        <v>0.0</v>
      </c>
      <c r="W89" s="178" t="s">
        <v>17</v>
      </c>
      <c r="X89">
        <f>G133-G131</f>
        <v>113</v>
      </c>
      <c r="Y89" s="178">
        <v>0.0</v>
      </c>
      <c r="Z89" s="178">
        <v>0.0</v>
      </c>
      <c r="AA89" s="178" t="s">
        <v>37</v>
      </c>
      <c r="AB89" s="178" t="s">
        <v>1103</v>
      </c>
      <c r="AC89" s="178" t="s">
        <v>1221</v>
      </c>
    </row>
    <row r="90" hidden="1">
      <c r="A90" s="85" t="s">
        <v>931</v>
      </c>
      <c r="B90" s="295" t="s">
        <v>932</v>
      </c>
      <c r="C90" s="47" t="s">
        <v>547</v>
      </c>
      <c r="D90" s="63" t="s">
        <v>37</v>
      </c>
      <c r="E90" s="46" t="s">
        <v>67</v>
      </c>
      <c r="F90" s="178" t="s">
        <v>17</v>
      </c>
      <c r="G90" s="178">
        <v>1.0</v>
      </c>
      <c r="H90" s="178">
        <v>1.0</v>
      </c>
      <c r="I90">
        <f>H136-H131</f>
        <v>281</v>
      </c>
      <c r="J90">
        <f>H136-H134</f>
        <v>114</v>
      </c>
      <c r="K90" s="178" t="s">
        <v>413</v>
      </c>
      <c r="L90">
        <f>H141-H136</f>
        <v>466</v>
      </c>
      <c r="M90" s="178" t="s">
        <v>413</v>
      </c>
      <c r="N90" s="178">
        <v>1.0</v>
      </c>
      <c r="O90" s="178" t="s">
        <v>1222</v>
      </c>
      <c r="P90" s="178" t="s">
        <v>17</v>
      </c>
      <c r="Q90" s="178" t="s">
        <v>17</v>
      </c>
      <c r="R90" s="178">
        <v>0.0</v>
      </c>
      <c r="S90" s="178" t="s">
        <v>17</v>
      </c>
      <c r="T90" s="178" t="s">
        <v>17</v>
      </c>
      <c r="U90" s="178">
        <v>1.0</v>
      </c>
      <c r="V90" s="178">
        <v>0.0</v>
      </c>
      <c r="W90" s="178" t="s">
        <v>17</v>
      </c>
      <c r="X90">
        <f>G132-G131</f>
        <v>37</v>
      </c>
      <c r="Y90" s="178">
        <v>0.0</v>
      </c>
      <c r="Z90" s="178">
        <v>0.0</v>
      </c>
      <c r="AA90" s="178" t="s">
        <v>37</v>
      </c>
      <c r="AB90" s="178" t="s">
        <v>1223</v>
      </c>
      <c r="AC90" s="178" t="s">
        <v>1224</v>
      </c>
    </row>
    <row r="91" hidden="1">
      <c r="A91" s="17" t="s">
        <v>282</v>
      </c>
      <c r="B91" s="296" t="s">
        <v>937</v>
      </c>
      <c r="C91" s="47" t="s">
        <v>547</v>
      </c>
      <c r="D91" s="48" t="s">
        <v>7</v>
      </c>
      <c r="E91" s="46" t="s">
        <v>67</v>
      </c>
      <c r="F91" s="178" t="s">
        <v>17</v>
      </c>
      <c r="G91" s="178">
        <v>1.0</v>
      </c>
      <c r="H91" s="178">
        <v>1.0</v>
      </c>
      <c r="I91">
        <f>H132-H131</f>
        <v>37</v>
      </c>
      <c r="J91">
        <f>H132-H131</f>
        <v>37</v>
      </c>
      <c r="K91" s="178" t="s">
        <v>357</v>
      </c>
      <c r="L91" s="178" t="s">
        <v>17</v>
      </c>
      <c r="M91" s="178" t="s">
        <v>17</v>
      </c>
      <c r="N91" s="178">
        <v>1.0</v>
      </c>
      <c r="O91" s="178" t="s">
        <v>1098</v>
      </c>
      <c r="P91" s="178" t="s">
        <v>17</v>
      </c>
      <c r="Q91" s="178" t="s">
        <v>17</v>
      </c>
      <c r="R91" s="178">
        <v>0.0</v>
      </c>
      <c r="S91" s="178" t="s">
        <v>17</v>
      </c>
      <c r="T91" s="178" t="s">
        <v>17</v>
      </c>
      <c r="U91" s="178">
        <v>1.0</v>
      </c>
      <c r="V91" s="178">
        <v>0.0</v>
      </c>
      <c r="W91" s="178" t="s">
        <v>17</v>
      </c>
      <c r="X91" s="178" t="s">
        <v>17</v>
      </c>
      <c r="Y91" s="178">
        <v>0.0</v>
      </c>
      <c r="Z91" s="178" t="s">
        <v>17</v>
      </c>
      <c r="AA91" s="178" t="s">
        <v>7</v>
      </c>
      <c r="AB91" s="178" t="s">
        <v>1090</v>
      </c>
      <c r="AC91" s="178" t="s">
        <v>1140</v>
      </c>
    </row>
    <row r="92" hidden="1">
      <c r="A92" s="85" t="s">
        <v>939</v>
      </c>
      <c r="B92" s="85" t="s">
        <v>940</v>
      </c>
      <c r="C92" s="47" t="s">
        <v>547</v>
      </c>
      <c r="D92" s="48" t="s">
        <v>7</v>
      </c>
      <c r="E92" s="46" t="s">
        <v>67</v>
      </c>
      <c r="F92" s="178" t="s">
        <v>17</v>
      </c>
      <c r="G92" s="178">
        <v>1.0</v>
      </c>
      <c r="H92" s="178">
        <v>1.0</v>
      </c>
      <c r="I92">
        <f>H132-H131</f>
        <v>37</v>
      </c>
      <c r="J92" s="178" t="s">
        <v>17</v>
      </c>
      <c r="K92" s="178" t="s">
        <v>1225</v>
      </c>
      <c r="L92" s="178" t="s">
        <v>17</v>
      </c>
      <c r="M92" s="178" t="s">
        <v>17</v>
      </c>
      <c r="N92" s="178">
        <v>0.0</v>
      </c>
      <c r="O92" s="178" t="s">
        <v>17</v>
      </c>
      <c r="P92" s="178" t="s">
        <v>17</v>
      </c>
      <c r="Q92" s="178" t="s">
        <v>17</v>
      </c>
      <c r="R92" s="178">
        <v>0.0</v>
      </c>
      <c r="S92" s="178" t="s">
        <v>17</v>
      </c>
      <c r="T92" s="178" t="s">
        <v>17</v>
      </c>
      <c r="U92" s="178">
        <v>1.0</v>
      </c>
      <c r="V92" s="178">
        <v>0.0</v>
      </c>
      <c r="W92" s="178" t="s">
        <v>17</v>
      </c>
      <c r="X92">
        <f>G132-G131</f>
        <v>37</v>
      </c>
      <c r="Y92" s="178">
        <v>0.0</v>
      </c>
      <c r="Z92" s="178">
        <v>0.0</v>
      </c>
      <c r="AA92" s="178" t="s">
        <v>7</v>
      </c>
      <c r="AB92" s="178" t="s">
        <v>358</v>
      </c>
      <c r="AC92" s="178" t="s">
        <v>1106</v>
      </c>
    </row>
    <row r="93">
      <c r="A93" s="95" t="s">
        <v>947</v>
      </c>
      <c r="B93" s="95" t="s">
        <v>948</v>
      </c>
      <c r="C93" s="299">
        <v>43200.0</v>
      </c>
      <c r="D93" s="157" t="s">
        <v>1119</v>
      </c>
      <c r="E93" s="46" t="s">
        <v>67</v>
      </c>
      <c r="F93" s="178" t="s">
        <v>17</v>
      </c>
      <c r="G93" s="178">
        <v>1.0</v>
      </c>
      <c r="H93" s="178">
        <v>1.0</v>
      </c>
      <c r="I93">
        <f>H137-H136</f>
        <v>119</v>
      </c>
      <c r="J93">
        <f>H137-H136</f>
        <v>119</v>
      </c>
      <c r="K93" s="178" t="s">
        <v>380</v>
      </c>
      <c r="L93">
        <f>H136-H134</f>
        <v>114</v>
      </c>
      <c r="M93" s="178" t="s">
        <v>380</v>
      </c>
      <c r="N93" s="178">
        <v>1.0</v>
      </c>
      <c r="O93" s="178" t="s">
        <v>1226</v>
      </c>
      <c r="P93" s="178" t="s">
        <v>17</v>
      </c>
      <c r="Q93" s="178" t="s">
        <v>17</v>
      </c>
      <c r="R93" s="178">
        <v>0.0</v>
      </c>
      <c r="S93" s="178" t="s">
        <v>17</v>
      </c>
      <c r="T93" s="178" t="s">
        <v>17</v>
      </c>
      <c r="U93" s="178">
        <v>1.0</v>
      </c>
      <c r="V93" s="178">
        <v>0.0</v>
      </c>
      <c r="W93">
        <f>G139-G134</f>
        <v>552</v>
      </c>
      <c r="X93" s="178" t="s">
        <v>17</v>
      </c>
      <c r="Y93" s="178">
        <v>0.0</v>
      </c>
      <c r="Z93" s="178">
        <v>0.0</v>
      </c>
      <c r="AA93" s="178" t="s">
        <v>62</v>
      </c>
      <c r="AB93" s="178" t="s">
        <v>380</v>
      </c>
      <c r="AC93" s="178" t="s">
        <v>1227</v>
      </c>
    </row>
    <row r="94">
      <c r="A94" s="237" t="s">
        <v>955</v>
      </c>
      <c r="B94" s="240" t="s">
        <v>956</v>
      </c>
      <c r="C94" s="47" t="s">
        <v>736</v>
      </c>
      <c r="D94" s="157" t="s">
        <v>1119</v>
      </c>
      <c r="E94" s="49" t="s">
        <v>8</v>
      </c>
      <c r="F94" s="178" t="s">
        <v>17</v>
      </c>
      <c r="G94" s="178">
        <v>1.0</v>
      </c>
      <c r="H94" s="178">
        <v>1.0</v>
      </c>
      <c r="I94" s="178" t="s">
        <v>17</v>
      </c>
      <c r="J94" s="178" t="s">
        <v>17</v>
      </c>
      <c r="K94" s="178" t="s">
        <v>1228</v>
      </c>
      <c r="L94" s="178" t="s">
        <v>17</v>
      </c>
      <c r="M94" s="178" t="s">
        <v>17</v>
      </c>
      <c r="N94" s="178">
        <v>0.0</v>
      </c>
      <c r="O94" s="178" t="s">
        <v>17</v>
      </c>
      <c r="P94" s="178" t="s">
        <v>17</v>
      </c>
      <c r="Q94" s="178" t="s">
        <v>17</v>
      </c>
      <c r="R94" s="178">
        <v>0.0</v>
      </c>
      <c r="S94" s="178" t="s">
        <v>17</v>
      </c>
      <c r="T94" s="178" t="s">
        <v>17</v>
      </c>
      <c r="U94" s="178">
        <v>0.0</v>
      </c>
      <c r="V94">
        <f>G140-date(2011,4,1)</f>
        <v>305</v>
      </c>
      <c r="W94">
        <f>G142-G140</f>
        <v>44</v>
      </c>
      <c r="X94" s="178" t="s">
        <v>17</v>
      </c>
      <c r="Y94" s="178">
        <v>1.0</v>
      </c>
      <c r="Z94" s="178">
        <v>1.0</v>
      </c>
      <c r="AA94" s="178" t="s">
        <v>37</v>
      </c>
      <c r="AB94" s="178" t="s">
        <v>413</v>
      </c>
      <c r="AC94" s="178" t="s">
        <v>1104</v>
      </c>
    </row>
    <row r="95">
      <c r="A95" s="246" t="s">
        <v>959</v>
      </c>
      <c r="B95" s="246" t="s">
        <v>960</v>
      </c>
      <c r="C95" s="47" t="s">
        <v>736</v>
      </c>
      <c r="D95" s="157" t="s">
        <v>1119</v>
      </c>
      <c r="E95" s="49" t="s">
        <v>67</v>
      </c>
      <c r="F95" s="178" t="s">
        <v>17</v>
      </c>
      <c r="G95" s="178">
        <v>1.0</v>
      </c>
      <c r="H95" s="178">
        <v>1.0</v>
      </c>
      <c r="I95" s="178" t="s">
        <v>17</v>
      </c>
      <c r="J95" s="178" t="s">
        <v>17</v>
      </c>
      <c r="K95" s="178" t="s">
        <v>1229</v>
      </c>
      <c r="L95" s="178" t="s">
        <v>17</v>
      </c>
      <c r="M95" s="178" t="s">
        <v>17</v>
      </c>
      <c r="N95" s="178">
        <v>1.0</v>
      </c>
      <c r="O95" s="178" t="s">
        <v>1230</v>
      </c>
      <c r="P95" s="178" t="s">
        <v>17</v>
      </c>
      <c r="Q95" s="178" t="s">
        <v>17</v>
      </c>
      <c r="R95" s="178">
        <v>0.0</v>
      </c>
      <c r="S95" s="178" t="s">
        <v>17</v>
      </c>
      <c r="T95" s="178" t="s">
        <v>17</v>
      </c>
      <c r="U95" s="178">
        <v>0.0</v>
      </c>
      <c r="V95">
        <f>G142-date(2011,4,1)</f>
        <v>349</v>
      </c>
      <c r="W95" s="178" t="s">
        <v>17</v>
      </c>
      <c r="X95" s="178" t="s">
        <v>17</v>
      </c>
      <c r="Y95" s="178">
        <v>1.0</v>
      </c>
      <c r="Z95" s="178" t="s">
        <v>17</v>
      </c>
      <c r="AA95" s="178" t="s">
        <v>37</v>
      </c>
      <c r="AB95" s="178" t="s">
        <v>1229</v>
      </c>
      <c r="AC95" s="178" t="s">
        <v>1231</v>
      </c>
    </row>
    <row r="96">
      <c r="A96" s="240" t="s">
        <v>964</v>
      </c>
      <c r="B96" s="240" t="s">
        <v>965</v>
      </c>
      <c r="C96" s="47" t="s">
        <v>736</v>
      </c>
      <c r="D96" s="157" t="s">
        <v>1119</v>
      </c>
      <c r="E96" s="49" t="s">
        <v>67</v>
      </c>
      <c r="F96" s="178" t="s">
        <v>17</v>
      </c>
      <c r="G96" s="178">
        <v>1.0</v>
      </c>
      <c r="H96" s="178">
        <v>1.0</v>
      </c>
      <c r="I96">
        <f>H142-H141</f>
        <v>30</v>
      </c>
      <c r="J96">
        <f>H142-H141</f>
        <v>30</v>
      </c>
      <c r="K96" s="178" t="s">
        <v>413</v>
      </c>
      <c r="L96" s="178" t="s">
        <v>17</v>
      </c>
      <c r="M96" s="178" t="s">
        <v>17</v>
      </c>
      <c r="N96" s="178">
        <v>0.0</v>
      </c>
      <c r="O96" s="178" t="s">
        <v>17</v>
      </c>
      <c r="P96" s="178" t="s">
        <v>17</v>
      </c>
      <c r="Q96" s="178" t="s">
        <v>17</v>
      </c>
      <c r="R96" s="178">
        <v>0.0</v>
      </c>
      <c r="S96" s="178" t="s">
        <v>17</v>
      </c>
      <c r="T96" s="178" t="s">
        <v>17</v>
      </c>
      <c r="U96" s="178">
        <v>0.0</v>
      </c>
      <c r="V96">
        <f>G141-date(2011,4,1)</f>
        <v>319</v>
      </c>
      <c r="W96" s="178" t="s">
        <v>17</v>
      </c>
      <c r="X96" s="178" t="s">
        <v>17</v>
      </c>
      <c r="Y96" s="178">
        <v>1.0</v>
      </c>
      <c r="Z96" s="178" t="s">
        <v>17</v>
      </c>
      <c r="AA96" s="178" t="s">
        <v>37</v>
      </c>
      <c r="AB96" s="178" t="s">
        <v>413</v>
      </c>
      <c r="AC96" s="178" t="s">
        <v>1232</v>
      </c>
    </row>
    <row r="97">
      <c r="A97" s="246" t="s">
        <v>970</v>
      </c>
      <c r="B97" s="246" t="s">
        <v>971</v>
      </c>
      <c r="C97" s="47" t="s">
        <v>736</v>
      </c>
      <c r="D97" s="157" t="s">
        <v>1119</v>
      </c>
      <c r="E97" s="49" t="s">
        <v>67</v>
      </c>
      <c r="F97" s="178" t="s">
        <v>17</v>
      </c>
      <c r="G97" s="178">
        <v>1.0</v>
      </c>
      <c r="H97" s="178">
        <v>1.0</v>
      </c>
      <c r="I97">
        <f t="shared" ref="I97:I98" si="3">H141-H140</f>
        <v>14</v>
      </c>
      <c r="J97">
        <f>H141-H140</f>
        <v>14</v>
      </c>
      <c r="K97" s="178" t="s">
        <v>1120</v>
      </c>
      <c r="L97" s="178" t="s">
        <v>17</v>
      </c>
      <c r="M97" s="178" t="s">
        <v>17</v>
      </c>
      <c r="N97" s="178">
        <v>1.0</v>
      </c>
      <c r="O97" s="178" t="s">
        <v>1233</v>
      </c>
      <c r="P97">
        <f>H141-H140</f>
        <v>14</v>
      </c>
      <c r="Q97" s="178" t="s">
        <v>1120</v>
      </c>
      <c r="R97" s="178">
        <v>0.0</v>
      </c>
      <c r="S97" s="178" t="s">
        <v>17</v>
      </c>
      <c r="T97" s="178" t="s">
        <v>17</v>
      </c>
      <c r="U97" s="178">
        <v>0.0</v>
      </c>
      <c r="V97">
        <f t="shared" ref="V97:V99" si="4">G140-date(2011,4,1)</f>
        <v>305</v>
      </c>
      <c r="W97" s="178" t="s">
        <v>17</v>
      </c>
      <c r="X97" s="178" t="s">
        <v>17</v>
      </c>
      <c r="Y97" s="178">
        <v>1.0</v>
      </c>
      <c r="Z97" s="178" t="s">
        <v>17</v>
      </c>
      <c r="AA97" s="178" t="s">
        <v>37</v>
      </c>
      <c r="AB97" s="178" t="s">
        <v>1120</v>
      </c>
      <c r="AC97" s="178" t="s">
        <v>1150</v>
      </c>
    </row>
    <row r="98">
      <c r="A98" s="240" t="s">
        <v>259</v>
      </c>
      <c r="B98" s="240" t="s">
        <v>977</v>
      </c>
      <c r="C98" s="47" t="s">
        <v>736</v>
      </c>
      <c r="D98" s="157" t="s">
        <v>1119</v>
      </c>
      <c r="E98" s="49" t="s">
        <v>67</v>
      </c>
      <c r="F98" s="178" t="s">
        <v>17</v>
      </c>
      <c r="G98" s="178">
        <v>1.0</v>
      </c>
      <c r="H98" s="178">
        <v>1.0</v>
      </c>
      <c r="I98">
        <f t="shared" si="3"/>
        <v>30</v>
      </c>
      <c r="J98" s="178" t="s">
        <v>17</v>
      </c>
      <c r="K98" s="178" t="s">
        <v>1234</v>
      </c>
      <c r="L98" s="178" t="s">
        <v>17</v>
      </c>
      <c r="M98" s="178" t="s">
        <v>17</v>
      </c>
      <c r="N98" s="178">
        <v>1.0</v>
      </c>
      <c r="O98" s="178" t="s">
        <v>1102</v>
      </c>
      <c r="P98" s="178" t="s">
        <v>17</v>
      </c>
      <c r="Q98" s="178" t="s">
        <v>17</v>
      </c>
      <c r="R98" s="178">
        <v>0.0</v>
      </c>
      <c r="S98" s="178" t="s">
        <v>17</v>
      </c>
      <c r="T98" s="178" t="s">
        <v>17</v>
      </c>
      <c r="U98" s="178">
        <v>0.0</v>
      </c>
      <c r="V98">
        <f t="shared" si="4"/>
        <v>319</v>
      </c>
      <c r="W98" s="178">
        <f>G142-G141</f>
        <v>30</v>
      </c>
      <c r="X98" s="178" t="s">
        <v>17</v>
      </c>
      <c r="Y98" s="178">
        <v>1.0</v>
      </c>
      <c r="Z98" s="178">
        <v>1.0</v>
      </c>
      <c r="AA98" s="178" t="s">
        <v>37</v>
      </c>
      <c r="AB98" s="178" t="s">
        <v>389</v>
      </c>
      <c r="AC98" s="178" t="s">
        <v>1235</v>
      </c>
    </row>
    <row r="99">
      <c r="A99" s="246" t="s">
        <v>982</v>
      </c>
      <c r="B99" s="246" t="s">
        <v>980</v>
      </c>
      <c r="C99" s="47" t="s">
        <v>736</v>
      </c>
      <c r="D99" s="157" t="s">
        <v>1119</v>
      </c>
      <c r="E99" s="49" t="s">
        <v>8</v>
      </c>
      <c r="F99" s="178" t="s">
        <v>17</v>
      </c>
      <c r="G99" s="178">
        <v>1.0</v>
      </c>
      <c r="H99" s="178">
        <v>1.0</v>
      </c>
      <c r="I99" s="178" t="s">
        <v>17</v>
      </c>
      <c r="J99" s="178" t="s">
        <v>17</v>
      </c>
      <c r="K99" s="178" t="s">
        <v>1103</v>
      </c>
      <c r="L99" s="178" t="s">
        <v>17</v>
      </c>
      <c r="M99" s="178" t="s">
        <v>17</v>
      </c>
      <c r="N99" s="178">
        <v>1.0</v>
      </c>
      <c r="O99" s="178" t="s">
        <v>1102</v>
      </c>
      <c r="P99" s="178" t="s">
        <v>17</v>
      </c>
      <c r="Q99" s="178" t="s">
        <v>17</v>
      </c>
      <c r="R99" s="178">
        <v>0.0</v>
      </c>
      <c r="S99" s="178" t="s">
        <v>17</v>
      </c>
      <c r="T99" s="178" t="s">
        <v>17</v>
      </c>
      <c r="U99" s="178">
        <v>0.0</v>
      </c>
      <c r="V99">
        <f t="shared" si="4"/>
        <v>349</v>
      </c>
      <c r="W99" s="178" t="s">
        <v>17</v>
      </c>
      <c r="X99" s="178" t="s">
        <v>17</v>
      </c>
      <c r="Y99" s="178">
        <v>1.0</v>
      </c>
      <c r="Z99" s="178" t="s">
        <v>17</v>
      </c>
      <c r="AA99" s="178" t="s">
        <v>37</v>
      </c>
      <c r="AB99" s="178" t="s">
        <v>1103</v>
      </c>
      <c r="AC99" s="178" t="s">
        <v>1231</v>
      </c>
    </row>
    <row r="100">
      <c r="A100" s="240" t="s">
        <v>984</v>
      </c>
      <c r="B100" s="240" t="s">
        <v>985</v>
      </c>
      <c r="C100" s="47" t="s">
        <v>736</v>
      </c>
      <c r="D100" s="157" t="s">
        <v>1119</v>
      </c>
      <c r="E100" s="49" t="s">
        <v>8</v>
      </c>
      <c r="F100" s="178" t="s">
        <v>17</v>
      </c>
      <c r="G100" s="178">
        <v>1.0</v>
      </c>
      <c r="H100" s="178">
        <v>1.0</v>
      </c>
      <c r="I100" s="178" t="s">
        <v>17</v>
      </c>
      <c r="J100" s="178" t="s">
        <v>17</v>
      </c>
      <c r="K100" s="178" t="s">
        <v>420</v>
      </c>
      <c r="L100" s="178" t="s">
        <v>17</v>
      </c>
      <c r="M100" s="178" t="s">
        <v>17</v>
      </c>
      <c r="N100" s="178">
        <v>0.0</v>
      </c>
      <c r="O100" s="178" t="s">
        <v>17</v>
      </c>
      <c r="P100" s="178" t="s">
        <v>17</v>
      </c>
      <c r="Q100" s="178" t="s">
        <v>17</v>
      </c>
      <c r="R100" s="178">
        <v>0.0</v>
      </c>
      <c r="S100" s="178" t="s">
        <v>17</v>
      </c>
      <c r="T100" s="178" t="s">
        <v>17</v>
      </c>
      <c r="U100" s="178">
        <v>0.0</v>
      </c>
      <c r="V100">
        <f>G141-date(2011,4,1)</f>
        <v>319</v>
      </c>
      <c r="W100" s="178" t="s">
        <v>17</v>
      </c>
      <c r="X100" s="178" t="s">
        <v>17</v>
      </c>
      <c r="Y100" s="178">
        <v>1.0</v>
      </c>
      <c r="Z100" s="178" t="s">
        <v>17</v>
      </c>
      <c r="AA100" s="178" t="s">
        <v>37</v>
      </c>
      <c r="AB100" s="178" t="s">
        <v>420</v>
      </c>
      <c r="AC100" s="178" t="s">
        <v>1231</v>
      </c>
    </row>
    <row r="101">
      <c r="A101" s="246" t="s">
        <v>990</v>
      </c>
      <c r="B101" s="246" t="s">
        <v>991</v>
      </c>
      <c r="C101" s="47" t="s">
        <v>736</v>
      </c>
      <c r="D101" s="157" t="s">
        <v>1119</v>
      </c>
      <c r="E101" s="49" t="s">
        <v>67</v>
      </c>
      <c r="F101" s="178" t="s">
        <v>17</v>
      </c>
      <c r="G101" s="178">
        <v>1.0</v>
      </c>
      <c r="H101" s="178">
        <v>1.0</v>
      </c>
      <c r="I101" s="178" t="s">
        <v>17</v>
      </c>
      <c r="J101" s="178" t="s">
        <v>17</v>
      </c>
      <c r="K101" s="178" t="s">
        <v>1236</v>
      </c>
      <c r="L101" s="178" t="s">
        <v>17</v>
      </c>
      <c r="M101" s="178" t="s">
        <v>17</v>
      </c>
      <c r="N101" s="178">
        <v>0.0</v>
      </c>
      <c r="O101" s="178" t="s">
        <v>17</v>
      </c>
      <c r="P101" s="178" t="s">
        <v>17</v>
      </c>
      <c r="Q101" s="178" t="s">
        <v>17</v>
      </c>
      <c r="R101" s="178">
        <v>0.0</v>
      </c>
      <c r="S101" s="178" t="s">
        <v>17</v>
      </c>
      <c r="T101" s="178" t="s">
        <v>17</v>
      </c>
      <c r="U101" s="178">
        <v>0.0</v>
      </c>
      <c r="V101">
        <f>G139-date(2011,4,1)</f>
        <v>291</v>
      </c>
      <c r="W101">
        <f>G142-G139</f>
        <v>58</v>
      </c>
      <c r="X101" s="178" t="s">
        <v>17</v>
      </c>
      <c r="Y101" s="178">
        <v>0.0</v>
      </c>
      <c r="Z101" s="178">
        <v>1.0</v>
      </c>
      <c r="AA101" s="178" t="s">
        <v>37</v>
      </c>
      <c r="AB101" s="178" t="s">
        <v>358</v>
      </c>
      <c r="AC101" s="178" t="s">
        <v>1165</v>
      </c>
    </row>
    <row r="102">
      <c r="A102" s="240" t="s">
        <v>995</v>
      </c>
      <c r="B102" s="240" t="s">
        <v>996</v>
      </c>
      <c r="C102" s="47" t="s">
        <v>736</v>
      </c>
      <c r="D102" s="157" t="s">
        <v>1119</v>
      </c>
      <c r="E102" s="49" t="s">
        <v>67</v>
      </c>
      <c r="F102" s="178" t="s">
        <v>17</v>
      </c>
      <c r="G102" s="178">
        <v>1.0</v>
      </c>
      <c r="H102" s="178">
        <v>1.0</v>
      </c>
      <c r="I102" s="178" t="s">
        <v>17</v>
      </c>
      <c r="J102" s="178" t="s">
        <v>17</v>
      </c>
      <c r="K102" s="178" t="s">
        <v>413</v>
      </c>
      <c r="L102" s="178" t="s">
        <v>17</v>
      </c>
      <c r="M102" s="178" t="s">
        <v>17</v>
      </c>
      <c r="N102" s="178">
        <v>0.0</v>
      </c>
      <c r="O102" s="178" t="s">
        <v>17</v>
      </c>
      <c r="P102" s="178" t="s">
        <v>17</v>
      </c>
      <c r="Q102" s="178" t="s">
        <v>17</v>
      </c>
      <c r="R102" s="178">
        <v>0.0</v>
      </c>
      <c r="S102" s="178" t="s">
        <v>17</v>
      </c>
      <c r="T102" s="178" t="s">
        <v>17</v>
      </c>
      <c r="U102" s="178">
        <v>0.0</v>
      </c>
      <c r="V102">
        <f>G142-date(2011,4,1)</f>
        <v>349</v>
      </c>
      <c r="W102" s="178" t="s">
        <v>17</v>
      </c>
      <c r="X102" s="178" t="s">
        <v>17</v>
      </c>
      <c r="Y102" s="178">
        <v>1.0</v>
      </c>
      <c r="Z102" s="178" t="s">
        <v>17</v>
      </c>
      <c r="AA102" s="178" t="s">
        <v>37</v>
      </c>
      <c r="AB102" s="178" t="s">
        <v>413</v>
      </c>
      <c r="AC102" s="178" t="s">
        <v>1231</v>
      </c>
    </row>
    <row r="103">
      <c r="A103" s="246" t="s">
        <v>1002</v>
      </c>
      <c r="B103" s="246" t="s">
        <v>1003</v>
      </c>
      <c r="C103" s="47" t="s">
        <v>736</v>
      </c>
      <c r="D103" s="157" t="s">
        <v>1119</v>
      </c>
      <c r="E103" s="49" t="s">
        <v>67</v>
      </c>
      <c r="F103" s="178" t="s">
        <v>17</v>
      </c>
      <c r="G103" s="178">
        <v>1.0</v>
      </c>
      <c r="H103" s="178">
        <v>0.0</v>
      </c>
      <c r="I103" s="178" t="s">
        <v>17</v>
      </c>
      <c r="J103" s="178" t="s">
        <v>17</v>
      </c>
      <c r="K103" s="178" t="s">
        <v>17</v>
      </c>
      <c r="L103" s="178" t="s">
        <v>17</v>
      </c>
      <c r="M103" s="178" t="s">
        <v>17</v>
      </c>
      <c r="N103" s="178">
        <v>0.0</v>
      </c>
      <c r="O103" s="178" t="s">
        <v>17</v>
      </c>
      <c r="P103" s="178" t="s">
        <v>17</v>
      </c>
      <c r="Q103" s="178" t="s">
        <v>17</v>
      </c>
      <c r="R103" s="178">
        <v>0.0</v>
      </c>
      <c r="S103" s="178" t="s">
        <v>17</v>
      </c>
      <c r="T103" s="178" t="s">
        <v>17</v>
      </c>
      <c r="U103" s="178">
        <v>0.0</v>
      </c>
      <c r="V103" s="178" t="s">
        <v>17</v>
      </c>
      <c r="W103" s="178" t="s">
        <v>17</v>
      </c>
      <c r="X103" s="178" t="s">
        <v>17</v>
      </c>
      <c r="Y103" s="178" t="s">
        <v>17</v>
      </c>
      <c r="Z103" s="178" t="s">
        <v>17</v>
      </c>
      <c r="AA103" s="178" t="s">
        <v>17</v>
      </c>
      <c r="AB103" s="178" t="s">
        <v>17</v>
      </c>
      <c r="AC103" s="178" t="s">
        <v>1107</v>
      </c>
    </row>
    <row r="104">
      <c r="A104" s="240" t="s">
        <v>1008</v>
      </c>
      <c r="B104" s="240" t="s">
        <v>1009</v>
      </c>
      <c r="C104" s="47" t="s">
        <v>736</v>
      </c>
      <c r="D104" s="157" t="s">
        <v>1119</v>
      </c>
      <c r="E104" s="49" t="s">
        <v>8</v>
      </c>
      <c r="F104" s="178" t="s">
        <v>17</v>
      </c>
      <c r="G104" s="178">
        <v>1.0</v>
      </c>
      <c r="H104" s="178">
        <v>0.0</v>
      </c>
      <c r="I104" s="178" t="s">
        <v>17</v>
      </c>
      <c r="J104" s="178" t="s">
        <v>17</v>
      </c>
      <c r="K104" s="178" t="s">
        <v>17</v>
      </c>
      <c r="L104" s="178" t="s">
        <v>17</v>
      </c>
      <c r="M104" s="178" t="s">
        <v>17</v>
      </c>
      <c r="N104" s="178">
        <v>0.0</v>
      </c>
      <c r="O104" s="178" t="s">
        <v>17</v>
      </c>
      <c r="P104" s="178" t="s">
        <v>17</v>
      </c>
      <c r="Q104" s="178" t="s">
        <v>17</v>
      </c>
      <c r="R104" s="178">
        <v>0.0</v>
      </c>
      <c r="S104" s="178" t="s">
        <v>17</v>
      </c>
      <c r="T104" s="178" t="s">
        <v>17</v>
      </c>
      <c r="U104" s="178">
        <v>0.0</v>
      </c>
      <c r="V104" s="178" t="s">
        <v>17</v>
      </c>
      <c r="W104" s="178" t="s">
        <v>17</v>
      </c>
      <c r="X104" s="178" t="s">
        <v>17</v>
      </c>
      <c r="Y104" s="178" t="s">
        <v>17</v>
      </c>
      <c r="Z104" s="178" t="s">
        <v>17</v>
      </c>
      <c r="AA104" s="178" t="s">
        <v>17</v>
      </c>
      <c r="AB104" s="178" t="s">
        <v>17</v>
      </c>
      <c r="AC104" s="178" t="s">
        <v>1107</v>
      </c>
    </row>
    <row r="105">
      <c r="A105" s="246" t="s">
        <v>1013</v>
      </c>
      <c r="B105" s="246" t="s">
        <v>1014</v>
      </c>
      <c r="C105" s="47" t="s">
        <v>736</v>
      </c>
      <c r="D105" s="157" t="s">
        <v>1119</v>
      </c>
      <c r="E105" s="49" t="s">
        <v>67</v>
      </c>
      <c r="F105" s="178" t="s">
        <v>17</v>
      </c>
      <c r="G105" s="178">
        <v>1.0</v>
      </c>
      <c r="H105" s="178">
        <v>0.0</v>
      </c>
      <c r="I105" s="178" t="s">
        <v>17</v>
      </c>
      <c r="J105" s="178" t="s">
        <v>17</v>
      </c>
      <c r="K105" s="178" t="s">
        <v>17</v>
      </c>
      <c r="L105" s="178" t="s">
        <v>17</v>
      </c>
      <c r="M105" s="178" t="s">
        <v>17</v>
      </c>
      <c r="N105" s="178">
        <v>0.0</v>
      </c>
      <c r="O105" s="178" t="s">
        <v>17</v>
      </c>
      <c r="P105" s="178" t="s">
        <v>17</v>
      </c>
      <c r="Q105" s="178" t="s">
        <v>17</v>
      </c>
      <c r="R105" s="178">
        <v>0.0</v>
      </c>
      <c r="S105" s="178" t="s">
        <v>17</v>
      </c>
      <c r="T105" s="178" t="s">
        <v>17</v>
      </c>
      <c r="U105" s="178">
        <v>0.0</v>
      </c>
      <c r="V105" s="178" t="s">
        <v>17</v>
      </c>
      <c r="W105" s="178" t="s">
        <v>17</v>
      </c>
      <c r="X105" s="178" t="s">
        <v>17</v>
      </c>
      <c r="Y105" s="178" t="s">
        <v>17</v>
      </c>
      <c r="Z105" s="178" t="s">
        <v>17</v>
      </c>
      <c r="AA105" s="178" t="s">
        <v>17</v>
      </c>
      <c r="AB105" s="178" t="s">
        <v>17</v>
      </c>
      <c r="AC105" s="178" t="s">
        <v>1107</v>
      </c>
    </row>
    <row r="106">
      <c r="A106" s="240" t="s">
        <v>1018</v>
      </c>
      <c r="B106" s="240" t="s">
        <v>1019</v>
      </c>
      <c r="C106" s="47" t="s">
        <v>736</v>
      </c>
      <c r="D106" s="157" t="s">
        <v>1119</v>
      </c>
      <c r="E106" s="49" t="s">
        <v>8</v>
      </c>
      <c r="F106" s="178" t="s">
        <v>17</v>
      </c>
      <c r="G106" s="178">
        <v>1.0</v>
      </c>
      <c r="H106" s="178">
        <v>1.0</v>
      </c>
      <c r="I106">
        <f>H142-H140</f>
        <v>44</v>
      </c>
      <c r="J106" s="178">
        <f>H141-H140</f>
        <v>14</v>
      </c>
      <c r="K106" s="178" t="s">
        <v>389</v>
      </c>
      <c r="L106" s="178" t="s">
        <v>17</v>
      </c>
      <c r="M106" s="178" t="s">
        <v>17</v>
      </c>
      <c r="N106" s="178">
        <v>1.0</v>
      </c>
      <c r="O106" s="178" t="s">
        <v>1102</v>
      </c>
      <c r="P106" s="178" t="s">
        <v>17</v>
      </c>
      <c r="Q106" s="178" t="s">
        <v>17</v>
      </c>
      <c r="R106" s="178">
        <v>0.0</v>
      </c>
      <c r="S106" s="178" t="s">
        <v>17</v>
      </c>
      <c r="T106" s="178" t="s">
        <v>17</v>
      </c>
      <c r="U106" s="178">
        <v>0.0</v>
      </c>
      <c r="V106">
        <f>G140-date(2011,4,1)</f>
        <v>305</v>
      </c>
      <c r="W106">
        <f>G142-G140</f>
        <v>44</v>
      </c>
      <c r="X106" s="178" t="s">
        <v>17</v>
      </c>
      <c r="Y106" s="178">
        <v>1.0</v>
      </c>
      <c r="Z106" s="178">
        <v>1.0</v>
      </c>
      <c r="AA106" s="178" t="s">
        <v>37</v>
      </c>
      <c r="AB106" s="178" t="s">
        <v>389</v>
      </c>
      <c r="AC106" s="178" t="s">
        <v>1235</v>
      </c>
    </row>
    <row r="107">
      <c r="A107" s="246" t="s">
        <v>1027</v>
      </c>
      <c r="B107" s="246" t="s">
        <v>1024</v>
      </c>
      <c r="C107" s="47" t="s">
        <v>736</v>
      </c>
      <c r="D107" s="157" t="s">
        <v>1119</v>
      </c>
      <c r="E107" s="49" t="s">
        <v>67</v>
      </c>
      <c r="F107" s="178" t="s">
        <v>17</v>
      </c>
      <c r="G107" s="178">
        <v>1.0</v>
      </c>
      <c r="H107" s="178">
        <v>1.0</v>
      </c>
      <c r="I107" s="178" t="s">
        <v>17</v>
      </c>
      <c r="J107" s="178" t="s">
        <v>17</v>
      </c>
      <c r="K107" s="178" t="s">
        <v>413</v>
      </c>
      <c r="L107" s="178" t="s">
        <v>17</v>
      </c>
      <c r="M107" s="178" t="s">
        <v>17</v>
      </c>
      <c r="N107" s="178">
        <v>0.0</v>
      </c>
      <c r="O107" s="178" t="s">
        <v>17</v>
      </c>
      <c r="P107" s="178" t="s">
        <v>17</v>
      </c>
      <c r="Q107" s="178" t="s">
        <v>17</v>
      </c>
      <c r="R107" s="178">
        <v>0.0</v>
      </c>
      <c r="S107" s="178" t="s">
        <v>17</v>
      </c>
      <c r="T107" s="178" t="s">
        <v>17</v>
      </c>
      <c r="U107" s="178">
        <v>0.0</v>
      </c>
      <c r="V107">
        <f>G142-date(2011,4,1)</f>
        <v>349</v>
      </c>
      <c r="W107" s="178" t="s">
        <v>17</v>
      </c>
      <c r="X107" s="178" t="s">
        <v>17</v>
      </c>
      <c r="Y107" s="178">
        <v>1.0</v>
      </c>
      <c r="Z107" s="178" t="s">
        <v>17</v>
      </c>
      <c r="AA107" s="178" t="s">
        <v>37</v>
      </c>
      <c r="AB107" s="178" t="s">
        <v>413</v>
      </c>
      <c r="AC107" s="178" t="s">
        <v>1231</v>
      </c>
    </row>
    <row r="108">
      <c r="A108" s="240" t="s">
        <v>1028</v>
      </c>
      <c r="B108" s="240" t="s">
        <v>1029</v>
      </c>
      <c r="C108" s="47" t="s">
        <v>736</v>
      </c>
      <c r="D108" s="157" t="s">
        <v>1119</v>
      </c>
      <c r="E108" s="49" t="s">
        <v>67</v>
      </c>
      <c r="F108" s="178" t="s">
        <v>17</v>
      </c>
      <c r="G108" s="178">
        <v>1.0</v>
      </c>
      <c r="H108" s="178">
        <v>1.0</v>
      </c>
      <c r="I108" s="178" t="s">
        <v>17</v>
      </c>
      <c r="J108" s="178" t="s">
        <v>17</v>
      </c>
      <c r="K108" s="178" t="s">
        <v>413</v>
      </c>
      <c r="L108" s="178" t="s">
        <v>17</v>
      </c>
      <c r="M108" s="178" t="s">
        <v>17</v>
      </c>
      <c r="N108" s="178">
        <v>0.0</v>
      </c>
      <c r="O108" s="178" t="s">
        <v>17</v>
      </c>
      <c r="P108" s="178" t="s">
        <v>17</v>
      </c>
      <c r="Q108" s="178" t="s">
        <v>17</v>
      </c>
      <c r="R108" s="178">
        <v>0.0</v>
      </c>
      <c r="S108" s="178" t="s">
        <v>17</v>
      </c>
      <c r="T108" s="178" t="s">
        <v>17</v>
      </c>
      <c r="U108" s="178">
        <v>0.0</v>
      </c>
      <c r="V108">
        <f>G142-date(2011,4,1)</f>
        <v>349</v>
      </c>
      <c r="W108" s="178" t="s">
        <v>17</v>
      </c>
      <c r="X108" s="178" t="s">
        <v>17</v>
      </c>
      <c r="Y108" s="178">
        <v>1.0</v>
      </c>
      <c r="Z108" s="178" t="s">
        <v>17</v>
      </c>
      <c r="AA108" s="178" t="s">
        <v>37</v>
      </c>
      <c r="AB108" s="178" t="s">
        <v>413</v>
      </c>
      <c r="AC108" s="178" t="s">
        <v>1231</v>
      </c>
    </row>
    <row r="109">
      <c r="A109" s="246" t="s">
        <v>1032</v>
      </c>
      <c r="B109" s="246" t="s">
        <v>1033</v>
      </c>
      <c r="C109" s="47" t="s">
        <v>736</v>
      </c>
      <c r="D109" s="157" t="s">
        <v>1119</v>
      </c>
      <c r="E109" s="49" t="s">
        <v>8</v>
      </c>
      <c r="F109" s="178" t="s">
        <v>17</v>
      </c>
      <c r="G109" s="178">
        <v>1.0</v>
      </c>
      <c r="H109" s="178">
        <v>1.0</v>
      </c>
      <c r="I109" s="178" t="s">
        <v>17</v>
      </c>
      <c r="J109" s="178" t="s">
        <v>17</v>
      </c>
      <c r="K109" s="178" t="s">
        <v>389</v>
      </c>
      <c r="L109" s="178" t="s">
        <v>17</v>
      </c>
      <c r="M109" s="178" t="s">
        <v>17</v>
      </c>
      <c r="N109" s="178">
        <v>0.0</v>
      </c>
      <c r="O109" s="178" t="s">
        <v>17</v>
      </c>
      <c r="P109" s="178" t="s">
        <v>17</v>
      </c>
      <c r="Q109" s="178" t="s">
        <v>17</v>
      </c>
      <c r="R109" s="178">
        <v>0.0</v>
      </c>
      <c r="S109" s="178" t="s">
        <v>17</v>
      </c>
      <c r="T109" s="178" t="s">
        <v>17</v>
      </c>
      <c r="U109" s="178">
        <v>0.0</v>
      </c>
      <c r="V109">
        <f t="shared" ref="V109:V110" si="5">G139-date(2011,4,1)</f>
        <v>291</v>
      </c>
      <c r="W109" s="178" t="s">
        <v>17</v>
      </c>
      <c r="X109" s="178" t="s">
        <v>17</v>
      </c>
      <c r="Y109" s="178">
        <v>0.0</v>
      </c>
      <c r="Z109" s="178" t="s">
        <v>17</v>
      </c>
      <c r="AA109" s="178" t="s">
        <v>37</v>
      </c>
      <c r="AB109" s="178" t="s">
        <v>389</v>
      </c>
      <c r="AC109" s="178" t="s">
        <v>1237</v>
      </c>
    </row>
    <row r="110">
      <c r="A110" s="240" t="s">
        <v>1037</v>
      </c>
      <c r="B110" s="240" t="s">
        <v>1038</v>
      </c>
      <c r="C110" s="47" t="s">
        <v>736</v>
      </c>
      <c r="D110" s="157" t="s">
        <v>1119</v>
      </c>
      <c r="E110" s="49" t="s">
        <v>8</v>
      </c>
      <c r="F110" s="178" t="s">
        <v>17</v>
      </c>
      <c r="G110" s="178">
        <v>1.0</v>
      </c>
      <c r="H110" s="178">
        <v>1.0</v>
      </c>
      <c r="I110">
        <f>H142-H140</f>
        <v>44</v>
      </c>
      <c r="J110">
        <f>H142-H140</f>
        <v>44</v>
      </c>
      <c r="K110" s="178" t="s">
        <v>357</v>
      </c>
      <c r="L110" s="178" t="s">
        <v>17</v>
      </c>
      <c r="M110" s="178" t="s">
        <v>17</v>
      </c>
      <c r="N110" s="178">
        <v>1.0</v>
      </c>
      <c r="O110" s="178" t="s">
        <v>1098</v>
      </c>
      <c r="P110" s="178" t="s">
        <v>17</v>
      </c>
      <c r="Q110" s="178" t="s">
        <v>17</v>
      </c>
      <c r="R110" s="178">
        <v>0.0</v>
      </c>
      <c r="S110" s="178" t="s">
        <v>17</v>
      </c>
      <c r="T110" s="178" t="s">
        <v>17</v>
      </c>
      <c r="U110" s="178">
        <v>0.0</v>
      </c>
      <c r="V110">
        <f t="shared" si="5"/>
        <v>305</v>
      </c>
      <c r="W110" s="178" t="s">
        <v>17</v>
      </c>
      <c r="X110" s="178" t="s">
        <v>17</v>
      </c>
      <c r="Y110" s="178">
        <v>1.0</v>
      </c>
      <c r="Z110" s="178" t="s">
        <v>17</v>
      </c>
      <c r="AA110" s="178" t="s">
        <v>37</v>
      </c>
      <c r="AB110" s="178" t="s">
        <v>1090</v>
      </c>
      <c r="AC110" s="178" t="s">
        <v>1140</v>
      </c>
    </row>
    <row r="111">
      <c r="A111" s="246" t="s">
        <v>1041</v>
      </c>
      <c r="B111" s="246" t="s">
        <v>1042</v>
      </c>
      <c r="C111" s="47" t="s">
        <v>736</v>
      </c>
      <c r="D111" s="157" t="s">
        <v>1119</v>
      </c>
      <c r="E111" s="49" t="s">
        <v>67</v>
      </c>
      <c r="F111" s="178" t="s">
        <v>17</v>
      </c>
      <c r="G111" s="178">
        <v>1.0</v>
      </c>
      <c r="H111" s="178">
        <v>1.0</v>
      </c>
      <c r="I111" s="178" t="s">
        <v>17</v>
      </c>
      <c r="J111" s="178" t="s">
        <v>17</v>
      </c>
      <c r="K111" s="178" t="s">
        <v>358</v>
      </c>
      <c r="L111">
        <f>H142-H139</f>
        <v>58</v>
      </c>
      <c r="M111" s="178" t="s">
        <v>358</v>
      </c>
      <c r="N111" s="178">
        <v>0.0</v>
      </c>
      <c r="O111" s="178" t="s">
        <v>17</v>
      </c>
      <c r="P111" s="178" t="s">
        <v>17</v>
      </c>
      <c r="Q111" s="178" t="s">
        <v>17</v>
      </c>
      <c r="R111" s="178">
        <v>0.0</v>
      </c>
      <c r="S111" s="178" t="s">
        <v>17</v>
      </c>
      <c r="T111" s="178" t="s">
        <v>17</v>
      </c>
      <c r="U111" s="178">
        <v>0.0</v>
      </c>
      <c r="V111">
        <f>G139-date(2011,4,1)</f>
        <v>291</v>
      </c>
      <c r="W111" s="178" t="s">
        <v>17</v>
      </c>
      <c r="X111" s="178" t="s">
        <v>17</v>
      </c>
      <c r="Y111" s="178">
        <v>0.0</v>
      </c>
      <c r="Z111" s="178" t="s">
        <v>17</v>
      </c>
      <c r="AA111" s="178" t="s">
        <v>37</v>
      </c>
      <c r="AB111" s="178" t="s">
        <v>358</v>
      </c>
      <c r="AC111" s="178" t="s">
        <v>1117</v>
      </c>
    </row>
    <row r="112">
      <c r="A112" s="240" t="s">
        <v>1049</v>
      </c>
      <c r="B112" s="240" t="s">
        <v>1046</v>
      </c>
      <c r="C112" s="47" t="s">
        <v>736</v>
      </c>
      <c r="D112" s="157" t="s">
        <v>1119</v>
      </c>
      <c r="E112" s="49" t="s">
        <v>8</v>
      </c>
      <c r="F112" s="178" t="s">
        <v>17</v>
      </c>
      <c r="G112" s="178">
        <v>1.0</v>
      </c>
      <c r="H112" s="178">
        <v>1.0</v>
      </c>
      <c r="I112" s="178" t="s">
        <v>17</v>
      </c>
      <c r="J112" s="178" t="s">
        <v>17</v>
      </c>
      <c r="K112" s="178" t="s">
        <v>413</v>
      </c>
      <c r="L112" s="178" t="s">
        <v>17</v>
      </c>
      <c r="M112" s="178" t="s">
        <v>17</v>
      </c>
      <c r="N112" s="178">
        <v>0.0</v>
      </c>
      <c r="O112" s="178" t="s">
        <v>17</v>
      </c>
      <c r="P112" s="178" t="s">
        <v>17</v>
      </c>
      <c r="Q112" s="178" t="s">
        <v>17</v>
      </c>
      <c r="R112" s="178">
        <v>0.0</v>
      </c>
      <c r="S112" s="178" t="s">
        <v>17</v>
      </c>
      <c r="T112" s="178" t="s">
        <v>17</v>
      </c>
      <c r="U112" s="178">
        <v>0.0</v>
      </c>
      <c r="V112">
        <f>G142-date(2011,4,1)</f>
        <v>349</v>
      </c>
      <c r="W112" s="178" t="s">
        <v>17</v>
      </c>
      <c r="X112" s="178" t="s">
        <v>17</v>
      </c>
      <c r="Y112" s="178">
        <v>1.0</v>
      </c>
      <c r="Z112" s="178" t="s">
        <v>17</v>
      </c>
      <c r="AA112" s="178" t="s">
        <v>37</v>
      </c>
      <c r="AB112" s="178" t="s">
        <v>413</v>
      </c>
      <c r="AC112" s="178" t="s">
        <v>1231</v>
      </c>
    </row>
    <row r="113">
      <c r="A113" s="246" t="s">
        <v>1050</v>
      </c>
      <c r="B113" s="246" t="s">
        <v>1051</v>
      </c>
      <c r="C113" s="47" t="s">
        <v>736</v>
      </c>
      <c r="D113" s="157" t="s">
        <v>1119</v>
      </c>
      <c r="E113" s="49" t="s">
        <v>67</v>
      </c>
      <c r="F113" s="178" t="s">
        <v>17</v>
      </c>
      <c r="G113" s="178">
        <v>1.0</v>
      </c>
      <c r="H113" s="178">
        <v>1.0</v>
      </c>
      <c r="I113" s="178" t="s">
        <v>17</v>
      </c>
      <c r="J113" s="178" t="s">
        <v>17</v>
      </c>
      <c r="K113" s="178" t="s">
        <v>358</v>
      </c>
      <c r="L113" s="178" t="s">
        <v>17</v>
      </c>
      <c r="M113" s="178" t="s">
        <v>17</v>
      </c>
      <c r="N113" s="178">
        <v>0.0</v>
      </c>
      <c r="O113" s="178" t="s">
        <v>17</v>
      </c>
      <c r="P113" s="178" t="s">
        <v>17</v>
      </c>
      <c r="Q113" s="178" t="s">
        <v>17</v>
      </c>
      <c r="R113" s="178">
        <v>0.0</v>
      </c>
      <c r="S113" s="178" t="s">
        <v>17</v>
      </c>
      <c r="T113" s="178" t="s">
        <v>17</v>
      </c>
      <c r="U113" s="178">
        <v>0.0</v>
      </c>
      <c r="V113">
        <f>G140-date(2011,4,1)</f>
        <v>305</v>
      </c>
      <c r="W113" s="178" t="s">
        <v>17</v>
      </c>
      <c r="X113" s="178" t="s">
        <v>17</v>
      </c>
      <c r="Y113" s="178">
        <v>1.0</v>
      </c>
      <c r="Z113" s="178" t="s">
        <v>17</v>
      </c>
      <c r="AA113" s="178" t="s">
        <v>37</v>
      </c>
      <c r="AB113" s="178" t="s">
        <v>358</v>
      </c>
      <c r="AC113" s="178" t="s">
        <v>1117</v>
      </c>
    </row>
    <row r="114">
      <c r="C114" s="306"/>
    </row>
    <row r="115">
      <c r="C115" s="306"/>
      <c r="H115">
        <f>100/112</f>
        <v>0.8928571429</v>
      </c>
      <c r="I115">
        <f t="shared" ref="I115:J115" si="6">min(I2:I113)</f>
        <v>14</v>
      </c>
      <c r="J115">
        <f t="shared" si="6"/>
        <v>14</v>
      </c>
      <c r="L115">
        <f>min(L2:L113)</f>
        <v>28</v>
      </c>
      <c r="N115">
        <f>65/112</f>
        <v>0.5803571429</v>
      </c>
      <c r="P115">
        <f>min(P2:P113)</f>
        <v>14</v>
      </c>
      <c r="S115">
        <f>min(S2:S113)</f>
        <v>0</v>
      </c>
      <c r="T115" s="178" t="s">
        <v>1238</v>
      </c>
    </row>
    <row r="116">
      <c r="C116" s="306"/>
      <c r="H116">
        <f>95/102</f>
        <v>0.931372549</v>
      </c>
      <c r="I116">
        <f t="shared" ref="I116:J116" si="7">median(I2:I113)</f>
        <v>121</v>
      </c>
      <c r="J116">
        <f t="shared" si="7"/>
        <v>113</v>
      </c>
      <c r="L116">
        <f>median(L2:L113)</f>
        <v>445</v>
      </c>
      <c r="N116">
        <f>63/102</f>
        <v>0.6176470588</v>
      </c>
      <c r="P116">
        <f>median(P2:P113)</f>
        <v>54</v>
      </c>
      <c r="S116">
        <f>median(S2:S113)</f>
        <v>119</v>
      </c>
    </row>
    <row r="117">
      <c r="C117" s="306"/>
      <c r="I117">
        <f t="shared" ref="I117:J117" si="8">mode(I2:I113)</f>
        <v>281</v>
      </c>
      <c r="J117">
        <f t="shared" si="8"/>
        <v>14</v>
      </c>
      <c r="L117">
        <f>mode(L2:L113)</f>
        <v>250</v>
      </c>
      <c r="P117">
        <f>mode(P2:P113)</f>
        <v>37</v>
      </c>
      <c r="S117">
        <f>mode(S2:S113)</f>
        <v>682</v>
      </c>
    </row>
    <row r="118">
      <c r="C118" s="306"/>
      <c r="I118">
        <f t="shared" ref="I118:J118" si="9">average(I2:I113)</f>
        <v>171.7368421</v>
      </c>
      <c r="J118">
        <f t="shared" si="9"/>
        <v>121.8656716</v>
      </c>
      <c r="L118">
        <f>average(L2:L113)</f>
        <v>391.4444444</v>
      </c>
      <c r="P118">
        <f>average(P2:P113)</f>
        <v>56.77777778</v>
      </c>
      <c r="S118">
        <f>average(S2:S113)</f>
        <v>259.2222222</v>
      </c>
    </row>
    <row r="119">
      <c r="C119" s="306"/>
      <c r="I119">
        <f t="shared" ref="I119:J119" si="10">max(I2:I113)</f>
        <v>719</v>
      </c>
      <c r="J119">
        <f t="shared" si="10"/>
        <v>610</v>
      </c>
      <c r="K119" s="178" t="s">
        <v>1127</v>
      </c>
      <c r="L119">
        <f>max(L2:L113)</f>
        <v>831</v>
      </c>
      <c r="M119" s="178" t="s">
        <v>413</v>
      </c>
      <c r="P119">
        <f>max(P2:P113)</f>
        <v>113</v>
      </c>
      <c r="Q119" s="178" t="s">
        <v>1089</v>
      </c>
      <c r="S119">
        <f>max(S2:S113)</f>
        <v>682</v>
      </c>
    </row>
    <row r="120">
      <c r="C120" s="306"/>
    </row>
    <row r="121">
      <c r="C121" s="307" t="s">
        <v>1239</v>
      </c>
    </row>
    <row r="122">
      <c r="C122" s="307" t="s">
        <v>1240</v>
      </c>
    </row>
    <row r="123">
      <c r="C123" s="307" t="s">
        <v>1241</v>
      </c>
    </row>
    <row r="124">
      <c r="C124" s="307" t="s">
        <v>1242</v>
      </c>
    </row>
    <row r="125">
      <c r="C125" s="307" t="s">
        <v>1243</v>
      </c>
    </row>
    <row r="126">
      <c r="C126" s="307" t="s">
        <v>1244</v>
      </c>
    </row>
    <row r="127">
      <c r="C127" s="307" t="s">
        <v>1245</v>
      </c>
    </row>
    <row r="128">
      <c r="C128" s="306"/>
    </row>
    <row r="129">
      <c r="C129" s="306"/>
      <c r="G129" s="13">
        <v>40022.0</v>
      </c>
      <c r="H129" s="308">
        <f>date(2009,7,28)</f>
        <v>40022</v>
      </c>
    </row>
    <row r="130">
      <c r="C130" s="306"/>
      <c r="G130" s="14">
        <v>40122.0</v>
      </c>
      <c r="H130" s="308">
        <f>date(2009,11,5)</f>
        <v>40122</v>
      </c>
    </row>
    <row r="131">
      <c r="C131" s="306"/>
      <c r="G131" s="14">
        <v>40206.0</v>
      </c>
      <c r="H131" s="308">
        <f>date(2010,1,28)</f>
        <v>40206</v>
      </c>
    </row>
    <row r="132">
      <c r="C132" s="306"/>
      <c r="G132" s="13">
        <v>40243.0</v>
      </c>
      <c r="H132" s="308">
        <f>date(2010,3,6)</f>
        <v>40243</v>
      </c>
    </row>
    <row r="133">
      <c r="C133" s="306"/>
      <c r="G133" s="14">
        <v>40319.0</v>
      </c>
      <c r="H133" s="308">
        <f>date(2010,5,21)</f>
        <v>40319</v>
      </c>
    </row>
    <row r="134">
      <c r="C134" s="306"/>
      <c r="G134" s="14">
        <v>40373.0</v>
      </c>
      <c r="H134" s="308">
        <f>date(2010,7,14)</f>
        <v>40373</v>
      </c>
    </row>
    <row r="135">
      <c r="C135" s="306"/>
      <c r="G135" s="14">
        <v>40444.0</v>
      </c>
      <c r="H135" s="308">
        <f>date(2010,9,23)</f>
        <v>40444</v>
      </c>
    </row>
    <row r="136">
      <c r="C136" s="306"/>
      <c r="G136" s="13">
        <v>40487.0</v>
      </c>
      <c r="H136" s="308">
        <f>date(2010,11,5)</f>
        <v>40487</v>
      </c>
    </row>
    <row r="137">
      <c r="C137" s="306"/>
      <c r="G137" s="13">
        <v>40606.0</v>
      </c>
      <c r="H137" s="308">
        <f>date(2011,3,4)</f>
        <v>40606</v>
      </c>
    </row>
    <row r="138">
      <c r="C138" s="306"/>
      <c r="G138" s="13">
        <v>40737.0</v>
      </c>
      <c r="H138" s="308">
        <f>date(2011,7,13)</f>
        <v>40737</v>
      </c>
    </row>
    <row r="139">
      <c r="C139" s="306"/>
      <c r="G139" s="13">
        <v>40925.0</v>
      </c>
      <c r="H139" s="308">
        <f>date(2012,1,17)</f>
        <v>40925</v>
      </c>
    </row>
    <row r="140">
      <c r="C140" s="306"/>
      <c r="G140" s="13">
        <v>40939.0</v>
      </c>
      <c r="H140" s="308">
        <f>date(2012,1,31)</f>
        <v>40939</v>
      </c>
    </row>
    <row r="141">
      <c r="C141" s="306"/>
      <c r="G141" s="13">
        <v>40953.0</v>
      </c>
      <c r="H141" s="308">
        <f>date(2012,2,14)</f>
        <v>40953</v>
      </c>
    </row>
    <row r="142">
      <c r="C142" s="306"/>
      <c r="G142" s="13">
        <v>40983.0</v>
      </c>
      <c r="H142" s="308">
        <f>date(2012,3,15)</f>
        <v>40983</v>
      </c>
    </row>
    <row r="143">
      <c r="C143" s="306"/>
    </row>
    <row r="144">
      <c r="C144" s="306"/>
    </row>
  </sheetData>
  <autoFilter ref="$A$1:$AC$113">
    <filterColumn colId="3">
      <filters>
        <filter val="NEO/JUV"/>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7.29" defaultRowHeight="15.0"/>
  <cols>
    <col customWidth="1" min="1" max="1" width="26.0"/>
    <col customWidth="1" min="2" max="2" width="25.86"/>
    <col customWidth="1" min="3" max="3" width="6.86"/>
    <col customWidth="1" min="4" max="4" width="6.43"/>
    <col customWidth="1" min="5" max="5" width="28.14"/>
    <col customWidth="1" min="6" max="6" width="10.57"/>
    <col customWidth="1" min="7" max="10" width="8.57"/>
    <col customWidth="1" min="11" max="11" width="17.57"/>
    <col customWidth="1" min="12" max="12" width="10.14"/>
    <col customWidth="1" min="13" max="13" width="18.57"/>
    <col customWidth="1" min="14" max="14" width="22.14"/>
    <col customWidth="1" min="15" max="15" width="20.29"/>
    <col customWidth="1" min="16" max="16" width="19.86"/>
    <col customWidth="1" min="17" max="17" width="24.14"/>
    <col customWidth="1" min="18" max="18" width="23.71"/>
    <col customWidth="1" min="19" max="19" width="17.57"/>
    <col customWidth="1" min="20" max="20" width="10.14"/>
    <col customWidth="1" min="21" max="21" width="9.0"/>
    <col customWidth="1" min="22" max="22" width="8.57"/>
    <col customWidth="1" min="23" max="23" width="20.29"/>
    <col customWidth="1" min="24" max="24" width="19.86"/>
    <col customWidth="1" min="25" max="25" width="24.14"/>
    <col customWidth="1" min="26" max="26" width="9.86"/>
    <col customWidth="1" min="27" max="27" width="12.14"/>
    <col customWidth="1" min="28" max="28" width="25.29"/>
    <col customWidth="1" min="29" max="30" width="31.57"/>
    <col customWidth="1" min="31" max="31" width="11.29"/>
    <col customWidth="1" min="32" max="32" width="13.71"/>
    <col customWidth="1" min="33" max="33" width="26.71"/>
    <col customWidth="1" min="34" max="38" width="32.86"/>
  </cols>
  <sheetData>
    <row r="1">
      <c r="A1" s="309" t="s">
        <v>1246</v>
      </c>
      <c r="B1" s="310" t="s">
        <v>331</v>
      </c>
      <c r="C1" s="290" t="s">
        <v>1</v>
      </c>
      <c r="D1" s="291" t="s">
        <v>1065</v>
      </c>
      <c r="E1" s="292" t="s">
        <v>4</v>
      </c>
      <c r="F1" s="293" t="s">
        <v>334</v>
      </c>
      <c r="G1" s="310" t="s">
        <v>337</v>
      </c>
      <c r="H1" s="311" t="s">
        <v>338</v>
      </c>
      <c r="I1" s="310" t="s">
        <v>339</v>
      </c>
      <c r="J1" s="312">
        <v>40243.0</v>
      </c>
      <c r="K1" s="313" t="s">
        <v>1247</v>
      </c>
      <c r="L1" s="314">
        <v>40737.0</v>
      </c>
      <c r="M1" s="313" t="s">
        <v>1247</v>
      </c>
      <c r="N1" s="314">
        <v>40925.0</v>
      </c>
      <c r="O1" s="313" t="s">
        <v>1247</v>
      </c>
      <c r="P1" s="313" t="s">
        <v>1248</v>
      </c>
      <c r="Q1" s="314">
        <v>40939.0</v>
      </c>
      <c r="R1" s="313" t="s">
        <v>1247</v>
      </c>
      <c r="S1" s="314">
        <v>40953.0</v>
      </c>
      <c r="T1" s="313" t="s">
        <v>1247</v>
      </c>
      <c r="U1" s="314">
        <v>40983.0</v>
      </c>
      <c r="V1" s="313" t="s">
        <v>1247</v>
      </c>
      <c r="W1" s="313" t="s">
        <v>1249</v>
      </c>
      <c r="X1" s="313" t="s">
        <v>1250</v>
      </c>
      <c r="Y1" s="313" t="s">
        <v>1251</v>
      </c>
      <c r="Z1" s="313" t="s">
        <v>1252</v>
      </c>
      <c r="AA1" s="313" t="s">
        <v>1253</v>
      </c>
      <c r="AB1" s="313" t="s">
        <v>1254</v>
      </c>
      <c r="AC1" s="313" t="s">
        <v>1255</v>
      </c>
      <c r="AD1" s="313" t="s">
        <v>1256</v>
      </c>
      <c r="AE1" s="313" t="s">
        <v>1257</v>
      </c>
      <c r="AF1" s="313" t="s">
        <v>1258</v>
      </c>
      <c r="AG1" s="313" t="s">
        <v>1259</v>
      </c>
      <c r="AH1" s="313" t="s">
        <v>1260</v>
      </c>
      <c r="AI1" s="313" t="s">
        <v>1261</v>
      </c>
      <c r="AJ1" s="313" t="s">
        <v>1262</v>
      </c>
      <c r="AK1" s="313" t="s">
        <v>1263</v>
      </c>
      <c r="AL1" s="313" t="s">
        <v>1264</v>
      </c>
    </row>
    <row r="2" hidden="1">
      <c r="A2" s="46" t="s">
        <v>6</v>
      </c>
      <c r="B2" s="49" t="s">
        <v>352</v>
      </c>
      <c r="C2" s="47" t="s">
        <v>353</v>
      </c>
      <c r="D2" s="48" t="s">
        <v>7</v>
      </c>
      <c r="E2" s="46" t="s">
        <v>8</v>
      </c>
      <c r="F2" s="178" t="s">
        <v>17</v>
      </c>
      <c r="G2" s="184">
        <v>0.0</v>
      </c>
      <c r="H2" s="184" t="s">
        <v>354</v>
      </c>
      <c r="I2" s="184" t="s">
        <v>371</v>
      </c>
      <c r="J2" s="157">
        <v>1.0</v>
      </c>
      <c r="K2" s="157" t="s">
        <v>1089</v>
      </c>
      <c r="L2" s="157">
        <v>0.0</v>
      </c>
      <c r="M2" s="157" t="s">
        <v>17</v>
      </c>
      <c r="N2" s="157">
        <v>0.0</v>
      </c>
      <c r="O2" s="157" t="s">
        <v>17</v>
      </c>
      <c r="P2" s="157">
        <v>0.0</v>
      </c>
      <c r="Q2" s="157">
        <v>1.0</v>
      </c>
      <c r="R2" s="157" t="s">
        <v>357</v>
      </c>
      <c r="S2" s="157">
        <v>0.0</v>
      </c>
      <c r="T2" s="157" t="s">
        <v>17</v>
      </c>
      <c r="U2" s="315" t="s">
        <v>373</v>
      </c>
      <c r="V2" s="315" t="s">
        <v>373</v>
      </c>
      <c r="W2" s="184">
        <f>if(sum(L2,N2)&gt;0,0,1)</f>
        <v>1</v>
      </c>
      <c r="X2" s="157">
        <f>1-W2</f>
        <v>0</v>
      </c>
      <c r="Y2" s="265">
        <f>if(sum(Q2,S2,U2)&gt;0,0,1)</f>
        <v>0</v>
      </c>
      <c r="Z2" s="316">
        <f>1-Y2</f>
        <v>1</v>
      </c>
      <c r="AA2" s="265">
        <f>if(sum(W2,Y2)=2,1,0)</f>
        <v>0</v>
      </c>
      <c r="AB2" s="316">
        <f>if(sum(W2,Z2)=2,1,0)</f>
        <v>1</v>
      </c>
      <c r="AC2" s="184">
        <v>1.0</v>
      </c>
      <c r="AD2" s="157" t="s">
        <v>1265</v>
      </c>
      <c r="AE2" s="157" t="s">
        <v>17</v>
      </c>
      <c r="AF2" s="157" t="s">
        <v>17</v>
      </c>
      <c r="AG2" s="157" t="s">
        <v>17</v>
      </c>
      <c r="AH2" s="157" t="s">
        <v>17</v>
      </c>
      <c r="AI2" s="157" t="s">
        <v>17</v>
      </c>
      <c r="AJ2" s="157" t="s">
        <v>17</v>
      </c>
      <c r="AK2" s="157" t="s">
        <v>17</v>
      </c>
      <c r="AL2" s="157" t="s">
        <v>17</v>
      </c>
    </row>
    <row r="3" hidden="1">
      <c r="A3" s="46" t="s">
        <v>13</v>
      </c>
      <c r="B3" s="49" t="s">
        <v>374</v>
      </c>
      <c r="C3" s="47" t="s">
        <v>353</v>
      </c>
      <c r="D3" s="48" t="s">
        <v>7</v>
      </c>
      <c r="E3" s="46" t="s">
        <v>8</v>
      </c>
      <c r="F3" s="178" t="s">
        <v>17</v>
      </c>
      <c r="G3" s="157" t="s">
        <v>17</v>
      </c>
      <c r="H3" s="157" t="s">
        <v>17</v>
      </c>
      <c r="I3" s="157" t="s">
        <v>17</v>
      </c>
      <c r="J3" s="157">
        <v>1.0</v>
      </c>
      <c r="K3" s="157" t="s">
        <v>357</v>
      </c>
      <c r="L3" s="62" t="s">
        <v>381</v>
      </c>
      <c r="M3" s="62" t="s">
        <v>381</v>
      </c>
      <c r="N3" s="62" t="s">
        <v>381</v>
      </c>
      <c r="O3" s="62" t="s">
        <v>381</v>
      </c>
      <c r="P3" s="157" t="s">
        <v>17</v>
      </c>
      <c r="Q3" s="62" t="s">
        <v>381</v>
      </c>
      <c r="R3" s="62" t="s">
        <v>381</v>
      </c>
      <c r="S3" s="62" t="s">
        <v>381</v>
      </c>
      <c r="T3" s="62" t="s">
        <v>381</v>
      </c>
      <c r="U3" s="62" t="s">
        <v>381</v>
      </c>
      <c r="V3" s="62" t="s">
        <v>381</v>
      </c>
      <c r="W3" s="157" t="s">
        <v>17</v>
      </c>
      <c r="X3" s="157" t="s">
        <v>17</v>
      </c>
      <c r="Y3" s="157" t="s">
        <v>17</v>
      </c>
      <c r="Z3" s="157" t="s">
        <v>17</v>
      </c>
      <c r="AA3" s="157" t="s">
        <v>17</v>
      </c>
      <c r="AB3" s="157" t="s">
        <v>17</v>
      </c>
      <c r="AC3" s="157" t="s">
        <v>17</v>
      </c>
      <c r="AD3" s="157" t="s">
        <v>17</v>
      </c>
      <c r="AE3" s="157" t="s">
        <v>17</v>
      </c>
      <c r="AF3" s="157" t="s">
        <v>17</v>
      </c>
      <c r="AG3" s="157" t="s">
        <v>17</v>
      </c>
      <c r="AH3" s="157" t="s">
        <v>17</v>
      </c>
      <c r="AI3" s="157" t="s">
        <v>17</v>
      </c>
      <c r="AJ3" s="157" t="s">
        <v>17</v>
      </c>
      <c r="AK3" s="157" t="s">
        <v>17</v>
      </c>
      <c r="AL3" s="157" t="s">
        <v>17</v>
      </c>
    </row>
    <row r="4" hidden="1">
      <c r="A4" s="46" t="s">
        <v>19</v>
      </c>
      <c r="B4" s="49" t="s">
        <v>383</v>
      </c>
      <c r="C4" s="47" t="s">
        <v>353</v>
      </c>
      <c r="D4" s="48" t="s">
        <v>7</v>
      </c>
      <c r="E4" s="46" t="s">
        <v>8</v>
      </c>
      <c r="F4" s="108" t="s">
        <v>17</v>
      </c>
      <c r="G4" s="184">
        <v>0.0</v>
      </c>
      <c r="H4" s="184" t="s">
        <v>354</v>
      </c>
      <c r="I4" s="184" t="s">
        <v>371</v>
      </c>
      <c r="J4" s="157">
        <v>1.0</v>
      </c>
      <c r="K4" s="157" t="s">
        <v>387</v>
      </c>
      <c r="L4" s="157">
        <v>1.0</v>
      </c>
      <c r="M4" s="157" t="s">
        <v>363</v>
      </c>
      <c r="N4" s="157">
        <v>0.0</v>
      </c>
      <c r="O4" s="157" t="s">
        <v>17</v>
      </c>
      <c r="P4" s="157">
        <v>0.0</v>
      </c>
      <c r="Q4" s="44" t="s">
        <v>373</v>
      </c>
      <c r="R4" s="44" t="s">
        <v>373</v>
      </c>
      <c r="S4" s="157">
        <v>0.0</v>
      </c>
      <c r="T4" s="157" t="s">
        <v>17</v>
      </c>
      <c r="U4" s="157">
        <v>0.0</v>
      </c>
      <c r="V4" s="157" t="s">
        <v>17</v>
      </c>
      <c r="W4" s="317">
        <f t="shared" ref="W4:W6" si="1">if(sum(L4,N4)&gt;0,0,1)</f>
        <v>0</v>
      </c>
      <c r="X4" s="265">
        <f t="shared" ref="X4:X6" si="2">1-W4</f>
        <v>1</v>
      </c>
      <c r="Y4" s="317">
        <f t="shared" ref="Y4:Y6" si="3">if(sum(Q4,S4,U4)&gt;0,0,1)</f>
        <v>1</v>
      </c>
      <c r="Z4" s="265">
        <f t="shared" ref="Z4:Z6" si="4">1-Y4</f>
        <v>0</v>
      </c>
      <c r="AA4" s="317">
        <f t="shared" ref="AA4:AA6" si="5">if(sum(W4,Y4)=2,1,0)</f>
        <v>0</v>
      </c>
      <c r="AB4" s="265">
        <f t="shared" ref="AB4:AB6" si="6">if(sum(W4,Z4)=2,1,0)</f>
        <v>0</v>
      </c>
      <c r="AC4" s="318">
        <v>0.0</v>
      </c>
      <c r="AD4" s="157" t="s">
        <v>17</v>
      </c>
      <c r="AE4" s="157" t="s">
        <v>17</v>
      </c>
      <c r="AF4" s="157" t="s">
        <v>17</v>
      </c>
      <c r="AG4" s="157" t="s">
        <v>17</v>
      </c>
      <c r="AH4" s="157" t="s">
        <v>17</v>
      </c>
      <c r="AI4" s="157" t="s">
        <v>17</v>
      </c>
      <c r="AJ4" s="157" t="s">
        <v>17</v>
      </c>
      <c r="AK4" s="157" t="s">
        <v>17</v>
      </c>
      <c r="AL4" s="157" t="s">
        <v>17</v>
      </c>
    </row>
    <row r="5">
      <c r="A5" s="46" t="s">
        <v>24</v>
      </c>
      <c r="B5" s="49" t="s">
        <v>391</v>
      </c>
      <c r="C5" s="47" t="s">
        <v>353</v>
      </c>
      <c r="D5" s="48" t="s">
        <v>7</v>
      </c>
      <c r="E5" s="46" t="s">
        <v>8</v>
      </c>
      <c r="F5" s="178" t="s">
        <v>17</v>
      </c>
      <c r="G5" s="158">
        <v>1.0</v>
      </c>
      <c r="H5" s="158" t="s">
        <v>399</v>
      </c>
      <c r="I5" s="319" t="s">
        <v>398</v>
      </c>
      <c r="J5" s="44" t="s">
        <v>373</v>
      </c>
      <c r="K5" s="44" t="s">
        <v>373</v>
      </c>
      <c r="L5" s="157">
        <v>0.0</v>
      </c>
      <c r="M5" s="157" t="s">
        <v>17</v>
      </c>
      <c r="N5" s="157">
        <v>1.0</v>
      </c>
      <c r="O5" s="157" t="s">
        <v>357</v>
      </c>
      <c r="P5" s="157">
        <v>0.0</v>
      </c>
      <c r="Q5" s="157">
        <v>1.0</v>
      </c>
      <c r="R5" s="157" t="s">
        <v>357</v>
      </c>
      <c r="S5" s="157">
        <v>1.0</v>
      </c>
      <c r="T5" s="157" t="s">
        <v>357</v>
      </c>
      <c r="U5" s="157">
        <v>1.0</v>
      </c>
      <c r="V5" s="157" t="s">
        <v>357</v>
      </c>
      <c r="W5" s="265">
        <f t="shared" si="1"/>
        <v>0</v>
      </c>
      <c r="X5" s="265">
        <f t="shared" si="2"/>
        <v>1</v>
      </c>
      <c r="Y5" s="265">
        <f t="shared" si="3"/>
        <v>0</v>
      </c>
      <c r="Z5" s="265">
        <f t="shared" si="4"/>
        <v>1</v>
      </c>
      <c r="AA5" s="265">
        <f t="shared" si="5"/>
        <v>0</v>
      </c>
      <c r="AB5" s="265">
        <f t="shared" si="6"/>
        <v>0</v>
      </c>
      <c r="AC5" s="158">
        <v>0.0</v>
      </c>
      <c r="AD5" s="157" t="s">
        <v>17</v>
      </c>
      <c r="AE5" s="157" t="s">
        <v>17</v>
      </c>
      <c r="AF5" s="157" t="s">
        <v>17</v>
      </c>
      <c r="AG5" s="157" t="s">
        <v>17</v>
      </c>
      <c r="AH5" s="157" t="s">
        <v>17</v>
      </c>
      <c r="AI5" s="157" t="s">
        <v>17</v>
      </c>
      <c r="AJ5" s="157">
        <v>1.0</v>
      </c>
      <c r="AK5" s="157" t="s">
        <v>1266</v>
      </c>
      <c r="AL5" s="158" t="s">
        <v>357</v>
      </c>
    </row>
    <row r="6" hidden="1">
      <c r="A6" s="265" t="s">
        <v>29</v>
      </c>
      <c r="B6" s="264" t="s">
        <v>401</v>
      </c>
      <c r="C6" s="47" t="s">
        <v>353</v>
      </c>
      <c r="D6" s="48" t="s">
        <v>7</v>
      </c>
      <c r="E6" s="46" t="s">
        <v>8</v>
      </c>
      <c r="F6" s="178" t="s">
        <v>17</v>
      </c>
      <c r="G6" s="184">
        <v>0.0</v>
      </c>
      <c r="H6" s="184" t="s">
        <v>354</v>
      </c>
      <c r="I6" s="184" t="s">
        <v>371</v>
      </c>
      <c r="J6" s="157">
        <v>1.0</v>
      </c>
      <c r="K6" s="157" t="s">
        <v>363</v>
      </c>
      <c r="L6" s="157">
        <v>1.0</v>
      </c>
      <c r="M6" s="157" t="s">
        <v>357</v>
      </c>
      <c r="N6" s="157">
        <v>0.0</v>
      </c>
      <c r="O6" s="157" t="s">
        <v>17</v>
      </c>
      <c r="P6" s="157">
        <v>0.0</v>
      </c>
      <c r="Q6" s="157">
        <v>1.0</v>
      </c>
      <c r="R6" s="157" t="s">
        <v>357</v>
      </c>
      <c r="S6" s="157">
        <v>0.0</v>
      </c>
      <c r="T6" s="157" t="s">
        <v>17</v>
      </c>
      <c r="U6" s="157">
        <v>0.0</v>
      </c>
      <c r="V6" s="157" t="s">
        <v>17</v>
      </c>
      <c r="W6" s="265">
        <f t="shared" si="1"/>
        <v>0</v>
      </c>
      <c r="X6" s="265">
        <f t="shared" si="2"/>
        <v>1</v>
      </c>
      <c r="Y6" s="265">
        <f t="shared" si="3"/>
        <v>0</v>
      </c>
      <c r="Z6" s="265">
        <f t="shared" si="4"/>
        <v>1</v>
      </c>
      <c r="AA6" s="265">
        <f t="shared" si="5"/>
        <v>0</v>
      </c>
      <c r="AB6" s="265">
        <f t="shared" si="6"/>
        <v>0</v>
      </c>
      <c r="AC6" s="184">
        <v>0.0</v>
      </c>
      <c r="AD6" s="157" t="s">
        <v>17</v>
      </c>
      <c r="AE6" s="157" t="s">
        <v>17</v>
      </c>
      <c r="AF6" s="157" t="s">
        <v>17</v>
      </c>
      <c r="AG6" s="157" t="s">
        <v>17</v>
      </c>
      <c r="AH6" s="157" t="s">
        <v>17</v>
      </c>
      <c r="AI6" s="157" t="s">
        <v>17</v>
      </c>
      <c r="AJ6" s="157" t="s">
        <v>17</v>
      </c>
      <c r="AK6" s="157" t="s">
        <v>17</v>
      </c>
      <c r="AL6" s="157" t="s">
        <v>17</v>
      </c>
    </row>
    <row r="7" hidden="1">
      <c r="A7" s="264" t="s">
        <v>408</v>
      </c>
      <c r="B7" s="264">
        <v>2.0</v>
      </c>
      <c r="C7" s="47" t="s">
        <v>353</v>
      </c>
      <c r="D7" s="48" t="s">
        <v>7</v>
      </c>
      <c r="E7" s="46" t="s">
        <v>8</v>
      </c>
      <c r="F7" s="178" t="s">
        <v>17</v>
      </c>
      <c r="G7" s="157" t="s">
        <v>17</v>
      </c>
      <c r="H7" s="157" t="s">
        <v>17</v>
      </c>
      <c r="I7" s="157" t="s">
        <v>17</v>
      </c>
      <c r="J7" s="62" t="s">
        <v>373</v>
      </c>
      <c r="K7" s="62" t="s">
        <v>373</v>
      </c>
      <c r="L7" s="62" t="s">
        <v>409</v>
      </c>
      <c r="M7" s="62" t="s">
        <v>409</v>
      </c>
      <c r="N7" s="62" t="s">
        <v>409</v>
      </c>
      <c r="O7" s="62" t="s">
        <v>409</v>
      </c>
      <c r="P7" s="157" t="s">
        <v>17</v>
      </c>
      <c r="Q7" s="62" t="s">
        <v>409</v>
      </c>
      <c r="R7" s="62" t="s">
        <v>409</v>
      </c>
      <c r="S7" s="62" t="s">
        <v>409</v>
      </c>
      <c r="T7" s="62" t="s">
        <v>409</v>
      </c>
      <c r="U7" s="62" t="s">
        <v>409</v>
      </c>
      <c r="V7" s="62" t="s">
        <v>409</v>
      </c>
      <c r="W7" s="157" t="s">
        <v>17</v>
      </c>
      <c r="X7" s="157" t="s">
        <v>17</v>
      </c>
      <c r="Y7" s="157" t="s">
        <v>17</v>
      </c>
      <c r="Z7" s="157" t="s">
        <v>17</v>
      </c>
      <c r="AA7" s="157" t="s">
        <v>17</v>
      </c>
      <c r="AB7" s="157" t="s">
        <v>17</v>
      </c>
      <c r="AC7" s="157" t="s">
        <v>17</v>
      </c>
      <c r="AD7" s="157" t="s">
        <v>17</v>
      </c>
      <c r="AE7" s="157" t="s">
        <v>17</v>
      </c>
      <c r="AF7" s="157" t="s">
        <v>17</v>
      </c>
      <c r="AG7" s="157" t="s">
        <v>17</v>
      </c>
      <c r="AH7" s="157" t="s">
        <v>17</v>
      </c>
      <c r="AI7" s="157" t="s">
        <v>17</v>
      </c>
      <c r="AJ7" s="157" t="s">
        <v>17</v>
      </c>
      <c r="AK7" s="157" t="s">
        <v>17</v>
      </c>
      <c r="AL7" s="157" t="s">
        <v>17</v>
      </c>
    </row>
    <row r="8" hidden="1">
      <c r="A8" s="265" t="s">
        <v>36</v>
      </c>
      <c r="B8" s="264" t="s">
        <v>411</v>
      </c>
      <c r="C8" s="47" t="s">
        <v>353</v>
      </c>
      <c r="D8" s="48" t="s">
        <v>37</v>
      </c>
      <c r="E8" s="46" t="s">
        <v>8</v>
      </c>
      <c r="F8" s="178" t="s">
        <v>17</v>
      </c>
      <c r="G8" s="320">
        <v>0.0</v>
      </c>
      <c r="H8" s="320" t="s">
        <v>354</v>
      </c>
      <c r="I8" s="320" t="s">
        <v>1267</v>
      </c>
      <c r="J8" s="44" t="s">
        <v>373</v>
      </c>
      <c r="K8" s="44" t="s">
        <v>373</v>
      </c>
      <c r="L8" s="157">
        <v>0.0</v>
      </c>
      <c r="M8" s="157" t="s">
        <v>17</v>
      </c>
      <c r="N8" s="157">
        <v>0.0</v>
      </c>
      <c r="O8" s="157" t="s">
        <v>17</v>
      </c>
      <c r="P8" s="157">
        <v>0.0</v>
      </c>
      <c r="Q8" s="157">
        <v>0.0</v>
      </c>
      <c r="R8" s="157" t="s">
        <v>17</v>
      </c>
      <c r="S8" s="157">
        <v>1.0</v>
      </c>
      <c r="T8" s="157" t="s">
        <v>420</v>
      </c>
      <c r="U8" s="157">
        <v>1.0</v>
      </c>
      <c r="V8" s="157" t="s">
        <v>413</v>
      </c>
      <c r="W8" s="321">
        <f t="shared" ref="W8:W9" si="7">if(sum(L8,N8)&gt;0,0,1)</f>
        <v>1</v>
      </c>
      <c r="X8" s="265">
        <f t="shared" ref="X8:X9" si="8">1-W8</f>
        <v>0</v>
      </c>
      <c r="Y8" s="265">
        <f t="shared" ref="Y8:Y9" si="9">if(sum(Q8,S8,U8)&gt;0,0,1)</f>
        <v>0</v>
      </c>
      <c r="Z8" s="321">
        <f t="shared" ref="Z8:Z9" si="10">1-Y8</f>
        <v>1</v>
      </c>
      <c r="AA8" s="265">
        <f t="shared" ref="AA8:AA9" si="11">if(sum(W8,Y8)=2,1,0)</f>
        <v>0</v>
      </c>
      <c r="AB8" s="321">
        <f t="shared" ref="AB8:AB9" si="12">if(sum(W8,Z8)=2,1,0)</f>
        <v>1</v>
      </c>
      <c r="AC8" s="320">
        <v>1.0</v>
      </c>
      <c r="AD8" s="157" t="s">
        <v>1268</v>
      </c>
      <c r="AE8" s="157" t="s">
        <v>17</v>
      </c>
      <c r="AF8" s="157" t="s">
        <v>17</v>
      </c>
      <c r="AG8" s="157" t="s">
        <v>17</v>
      </c>
      <c r="AH8" s="157" t="s">
        <v>17</v>
      </c>
      <c r="AI8" s="157" t="s">
        <v>17</v>
      </c>
      <c r="AJ8" s="157" t="s">
        <v>17</v>
      </c>
      <c r="AK8" s="157" t="s">
        <v>17</v>
      </c>
      <c r="AL8" s="157" t="s">
        <v>17</v>
      </c>
    </row>
    <row r="9" hidden="1">
      <c r="A9" s="264" t="s">
        <v>42</v>
      </c>
      <c r="B9" s="264" t="s">
        <v>421</v>
      </c>
      <c r="C9" s="47" t="s">
        <v>353</v>
      </c>
      <c r="D9" s="48" t="s">
        <v>7</v>
      </c>
      <c r="E9" s="46" t="s">
        <v>8</v>
      </c>
      <c r="F9" s="178" t="s">
        <v>17</v>
      </c>
      <c r="G9" s="184">
        <v>0.0</v>
      </c>
      <c r="H9" s="184" t="s">
        <v>354</v>
      </c>
      <c r="I9" s="184" t="s">
        <v>371</v>
      </c>
      <c r="J9" s="157">
        <v>1.0</v>
      </c>
      <c r="K9" s="157" t="s">
        <v>363</v>
      </c>
      <c r="L9" s="157">
        <v>0.0</v>
      </c>
      <c r="M9" s="157" t="s">
        <v>17</v>
      </c>
      <c r="N9" s="157">
        <v>0.0</v>
      </c>
      <c r="O9" s="157" t="s">
        <v>17</v>
      </c>
      <c r="P9" s="157">
        <v>0.0</v>
      </c>
      <c r="Q9" s="157">
        <v>0.0</v>
      </c>
      <c r="R9" s="157" t="s">
        <v>17</v>
      </c>
      <c r="S9" s="157">
        <v>0.0</v>
      </c>
      <c r="T9" s="157" t="s">
        <v>17</v>
      </c>
      <c r="U9" s="157">
        <v>0.0</v>
      </c>
      <c r="V9" s="157" t="s">
        <v>17</v>
      </c>
      <c r="W9" s="316">
        <f t="shared" si="7"/>
        <v>1</v>
      </c>
      <c r="X9" s="265">
        <f t="shared" si="8"/>
        <v>0</v>
      </c>
      <c r="Y9" s="316">
        <f t="shared" si="9"/>
        <v>1</v>
      </c>
      <c r="Z9" s="265">
        <f t="shared" si="10"/>
        <v>0</v>
      </c>
      <c r="AA9" s="316">
        <f t="shared" si="11"/>
        <v>1</v>
      </c>
      <c r="AB9" s="265">
        <f t="shared" si="12"/>
        <v>0</v>
      </c>
      <c r="AC9" s="184">
        <v>0.0</v>
      </c>
      <c r="AD9" s="157" t="s">
        <v>17</v>
      </c>
      <c r="AE9" s="157" t="s">
        <v>17</v>
      </c>
      <c r="AF9" s="157" t="s">
        <v>17</v>
      </c>
      <c r="AG9" s="157" t="s">
        <v>17</v>
      </c>
      <c r="AH9" s="157" t="s">
        <v>17</v>
      </c>
      <c r="AI9" s="157" t="s">
        <v>17</v>
      </c>
      <c r="AJ9" s="157" t="s">
        <v>17</v>
      </c>
      <c r="AK9" s="157" t="s">
        <v>17</v>
      </c>
      <c r="AL9" s="157" t="s">
        <v>17</v>
      </c>
    </row>
    <row r="10" hidden="1">
      <c r="A10" s="264">
        <v>916.0</v>
      </c>
      <c r="B10" s="264">
        <v>1.0</v>
      </c>
      <c r="C10" s="47" t="s">
        <v>353</v>
      </c>
      <c r="D10" s="48" t="s">
        <v>7</v>
      </c>
      <c r="E10" s="46" t="s">
        <v>8</v>
      </c>
      <c r="F10" s="178" t="s">
        <v>17</v>
      </c>
      <c r="G10" s="157" t="s">
        <v>17</v>
      </c>
      <c r="H10" s="157" t="s">
        <v>17</v>
      </c>
      <c r="I10" s="157" t="s">
        <v>17</v>
      </c>
      <c r="J10" s="62" t="s">
        <v>381</v>
      </c>
      <c r="K10" s="62" t="s">
        <v>381</v>
      </c>
      <c r="L10" s="62" t="s">
        <v>381</v>
      </c>
      <c r="M10" s="62" t="s">
        <v>381</v>
      </c>
      <c r="N10" s="62" t="s">
        <v>381</v>
      </c>
      <c r="O10" s="62" t="s">
        <v>381</v>
      </c>
      <c r="P10" s="157" t="s">
        <v>17</v>
      </c>
      <c r="Q10" s="62" t="s">
        <v>381</v>
      </c>
      <c r="R10" s="62" t="s">
        <v>381</v>
      </c>
      <c r="S10" s="62" t="s">
        <v>381</v>
      </c>
      <c r="T10" s="62" t="s">
        <v>381</v>
      </c>
      <c r="U10" s="62" t="s">
        <v>381</v>
      </c>
      <c r="V10" s="62" t="s">
        <v>381</v>
      </c>
      <c r="W10" s="157" t="s">
        <v>17</v>
      </c>
      <c r="X10" s="157" t="s">
        <v>17</v>
      </c>
      <c r="Y10" s="157" t="s">
        <v>17</v>
      </c>
      <c r="Z10" s="157" t="s">
        <v>17</v>
      </c>
      <c r="AA10" s="157" t="s">
        <v>17</v>
      </c>
      <c r="AB10" s="157" t="s">
        <v>17</v>
      </c>
      <c r="AC10" s="157" t="s">
        <v>17</v>
      </c>
      <c r="AD10" s="157" t="s">
        <v>17</v>
      </c>
      <c r="AE10" s="157" t="s">
        <v>17</v>
      </c>
      <c r="AF10" s="157" t="s">
        <v>17</v>
      </c>
      <c r="AG10" s="157" t="s">
        <v>17</v>
      </c>
      <c r="AH10" s="157" t="s">
        <v>17</v>
      </c>
      <c r="AI10" s="157" t="s">
        <v>17</v>
      </c>
      <c r="AJ10" s="157" t="s">
        <v>17</v>
      </c>
      <c r="AK10" s="157" t="s">
        <v>17</v>
      </c>
      <c r="AL10" s="157" t="s">
        <v>17</v>
      </c>
    </row>
    <row r="11" hidden="1">
      <c r="A11" s="265" t="s">
        <v>49</v>
      </c>
      <c r="B11" s="264" t="s">
        <v>427</v>
      </c>
      <c r="C11" s="47" t="s">
        <v>353</v>
      </c>
      <c r="D11" s="48" t="s">
        <v>7</v>
      </c>
      <c r="E11" s="46" t="s">
        <v>8</v>
      </c>
      <c r="F11" s="178" t="s">
        <v>17</v>
      </c>
      <c r="G11" s="157" t="s">
        <v>17</v>
      </c>
      <c r="H11" s="157" t="s">
        <v>17</v>
      </c>
      <c r="I11" s="157" t="s">
        <v>17</v>
      </c>
      <c r="J11" s="61" t="s">
        <v>373</v>
      </c>
      <c r="K11" s="61" t="s">
        <v>373</v>
      </c>
      <c r="L11" s="62" t="s">
        <v>409</v>
      </c>
      <c r="M11" s="62" t="s">
        <v>409</v>
      </c>
      <c r="N11" s="62" t="s">
        <v>409</v>
      </c>
      <c r="O11" s="62" t="s">
        <v>409</v>
      </c>
      <c r="P11" s="157" t="s">
        <v>17</v>
      </c>
      <c r="Q11" s="62" t="s">
        <v>409</v>
      </c>
      <c r="R11" s="62" t="s">
        <v>409</v>
      </c>
      <c r="S11" s="62" t="s">
        <v>409</v>
      </c>
      <c r="T11" s="62" t="s">
        <v>409</v>
      </c>
      <c r="U11" s="62" t="s">
        <v>409</v>
      </c>
      <c r="V11" s="62" t="s">
        <v>409</v>
      </c>
      <c r="W11" s="157" t="s">
        <v>17</v>
      </c>
      <c r="X11" s="157" t="s">
        <v>17</v>
      </c>
      <c r="Y11" s="157" t="s">
        <v>17</v>
      </c>
      <c r="Z11" s="157" t="s">
        <v>17</v>
      </c>
      <c r="AA11" s="157" t="s">
        <v>17</v>
      </c>
      <c r="AB11" s="157" t="s">
        <v>17</v>
      </c>
      <c r="AC11" s="157" t="s">
        <v>17</v>
      </c>
      <c r="AD11" s="157" t="s">
        <v>17</v>
      </c>
      <c r="AE11" s="157" t="s">
        <v>17</v>
      </c>
      <c r="AF11" s="157" t="s">
        <v>17</v>
      </c>
      <c r="AG11" s="157" t="s">
        <v>17</v>
      </c>
      <c r="AH11" s="157" t="s">
        <v>17</v>
      </c>
      <c r="AI11" s="157" t="s">
        <v>17</v>
      </c>
      <c r="AJ11" s="157" t="s">
        <v>17</v>
      </c>
      <c r="AK11" s="157" t="s">
        <v>17</v>
      </c>
      <c r="AL11" s="157" t="s">
        <v>17</v>
      </c>
    </row>
    <row r="12" hidden="1">
      <c r="A12" s="265" t="s">
        <v>54</v>
      </c>
      <c r="B12" s="264" t="s">
        <v>432</v>
      </c>
      <c r="C12" s="47" t="s">
        <v>353</v>
      </c>
      <c r="D12" s="48" t="s">
        <v>7</v>
      </c>
      <c r="E12" s="46" t="s">
        <v>8</v>
      </c>
      <c r="F12" s="178" t="s">
        <v>17</v>
      </c>
      <c r="G12" s="157" t="s">
        <v>17</v>
      </c>
      <c r="H12" s="157" t="s">
        <v>17</v>
      </c>
      <c r="I12" s="157" t="s">
        <v>17</v>
      </c>
      <c r="J12" s="62" t="s">
        <v>409</v>
      </c>
      <c r="K12" s="62" t="s">
        <v>409</v>
      </c>
      <c r="L12" s="62" t="s">
        <v>409</v>
      </c>
      <c r="M12" s="62" t="s">
        <v>409</v>
      </c>
      <c r="N12" s="62" t="s">
        <v>409</v>
      </c>
      <c r="O12" s="62" t="s">
        <v>409</v>
      </c>
      <c r="P12" s="157" t="s">
        <v>17</v>
      </c>
      <c r="Q12" s="62" t="s">
        <v>409</v>
      </c>
      <c r="R12" s="62" t="s">
        <v>409</v>
      </c>
      <c r="S12" s="62" t="s">
        <v>409</v>
      </c>
      <c r="T12" s="62" t="s">
        <v>409</v>
      </c>
      <c r="U12" s="62" t="s">
        <v>409</v>
      </c>
      <c r="V12" s="62" t="s">
        <v>409</v>
      </c>
      <c r="W12" s="157" t="s">
        <v>17</v>
      </c>
      <c r="X12" s="157" t="s">
        <v>17</v>
      </c>
      <c r="Y12" s="157" t="s">
        <v>17</v>
      </c>
      <c r="Z12" s="157" t="s">
        <v>17</v>
      </c>
      <c r="AA12" s="157" t="s">
        <v>17</v>
      </c>
      <c r="AB12" s="157" t="s">
        <v>17</v>
      </c>
      <c r="AC12" s="157" t="s">
        <v>17</v>
      </c>
      <c r="AD12" s="157" t="s">
        <v>17</v>
      </c>
      <c r="AE12" s="157" t="s">
        <v>17</v>
      </c>
      <c r="AF12" s="157" t="s">
        <v>17</v>
      </c>
      <c r="AG12" s="157" t="s">
        <v>17</v>
      </c>
      <c r="AH12" s="157" t="s">
        <v>17</v>
      </c>
      <c r="AI12" s="157" t="s">
        <v>17</v>
      </c>
      <c r="AJ12" s="157" t="s">
        <v>17</v>
      </c>
      <c r="AK12" s="157" t="s">
        <v>17</v>
      </c>
      <c r="AL12" s="157" t="s">
        <v>17</v>
      </c>
    </row>
    <row r="13" hidden="1">
      <c r="A13" s="264" t="s">
        <v>435</v>
      </c>
      <c r="B13" s="264" t="s">
        <v>17</v>
      </c>
      <c r="C13" s="47" t="s">
        <v>353</v>
      </c>
      <c r="D13" s="48" t="s">
        <v>7</v>
      </c>
      <c r="E13" s="46" t="s">
        <v>8</v>
      </c>
      <c r="F13" s="178" t="s">
        <v>17</v>
      </c>
      <c r="G13" s="157" t="s">
        <v>17</v>
      </c>
      <c r="H13" s="157" t="s">
        <v>17</v>
      </c>
      <c r="I13" s="157" t="s">
        <v>17</v>
      </c>
      <c r="J13" s="62" t="s">
        <v>381</v>
      </c>
      <c r="K13" s="62" t="s">
        <v>381</v>
      </c>
      <c r="L13" s="62" t="s">
        <v>381</v>
      </c>
      <c r="M13" s="62" t="s">
        <v>381</v>
      </c>
      <c r="N13" s="62" t="s">
        <v>381</v>
      </c>
      <c r="O13" s="62" t="s">
        <v>381</v>
      </c>
      <c r="P13" s="157" t="s">
        <v>17</v>
      </c>
      <c r="Q13" s="62" t="s">
        <v>381</v>
      </c>
      <c r="R13" s="62" t="s">
        <v>381</v>
      </c>
      <c r="S13" s="62" t="s">
        <v>381</v>
      </c>
      <c r="T13" s="62" t="s">
        <v>381</v>
      </c>
      <c r="U13" s="62" t="s">
        <v>381</v>
      </c>
      <c r="V13" s="62" t="s">
        <v>381</v>
      </c>
      <c r="W13" s="157" t="s">
        <v>17</v>
      </c>
      <c r="X13" s="157" t="s">
        <v>17</v>
      </c>
      <c r="Y13" s="157" t="s">
        <v>17</v>
      </c>
      <c r="Z13" s="157" t="s">
        <v>17</v>
      </c>
      <c r="AA13" s="157" t="s">
        <v>17</v>
      </c>
      <c r="AB13" s="157" t="s">
        <v>17</v>
      </c>
      <c r="AC13" s="157" t="s">
        <v>17</v>
      </c>
      <c r="AD13" s="157" t="s">
        <v>17</v>
      </c>
      <c r="AE13" s="157" t="s">
        <v>17</v>
      </c>
      <c r="AF13" s="157" t="s">
        <v>17</v>
      </c>
      <c r="AG13" s="157" t="s">
        <v>17</v>
      </c>
      <c r="AH13" s="157" t="s">
        <v>17</v>
      </c>
      <c r="AI13" s="157" t="s">
        <v>17</v>
      </c>
      <c r="AJ13" s="157" t="s">
        <v>17</v>
      </c>
      <c r="AK13" s="157" t="s">
        <v>17</v>
      </c>
      <c r="AL13" s="157" t="s">
        <v>17</v>
      </c>
    </row>
    <row r="14" hidden="1">
      <c r="A14" s="264" t="s">
        <v>437</v>
      </c>
      <c r="B14" s="264" t="s">
        <v>438</v>
      </c>
      <c r="C14" s="264" t="s">
        <v>439</v>
      </c>
      <c r="D14" s="157" t="s">
        <v>37</v>
      </c>
      <c r="E14" s="265" t="s">
        <v>8</v>
      </c>
      <c r="F14" s="178" t="s">
        <v>17</v>
      </c>
      <c r="G14" s="179">
        <v>1.0</v>
      </c>
      <c r="H14" s="179" t="s">
        <v>447</v>
      </c>
      <c r="I14" s="179" t="s">
        <v>446</v>
      </c>
      <c r="J14" s="157">
        <v>1.0</v>
      </c>
      <c r="K14" s="157" t="s">
        <v>357</v>
      </c>
      <c r="L14" s="157">
        <v>1.0</v>
      </c>
      <c r="M14" s="157" t="s">
        <v>1188</v>
      </c>
      <c r="N14" s="157">
        <v>0.0</v>
      </c>
      <c r="O14" s="157" t="s">
        <v>17</v>
      </c>
      <c r="P14" s="157">
        <v>1.0</v>
      </c>
      <c r="Q14" s="157">
        <v>1.0</v>
      </c>
      <c r="R14" s="157" t="s">
        <v>389</v>
      </c>
      <c r="S14" s="157">
        <v>1.0</v>
      </c>
      <c r="T14" s="157" t="s">
        <v>413</v>
      </c>
      <c r="U14" s="157">
        <v>1.0</v>
      </c>
      <c r="V14" s="157" t="s">
        <v>413</v>
      </c>
      <c r="W14" s="265">
        <f t="shared" ref="W14:W16" si="13">if(sum(L14,N14)&gt;0,0,1)</f>
        <v>0</v>
      </c>
      <c r="X14" s="322">
        <f t="shared" ref="X14:X16" si="14">1-W14</f>
        <v>1</v>
      </c>
      <c r="Y14" s="265">
        <f t="shared" ref="Y14:Y16" si="15">if(sum(Q14,S14,U14)&gt;0,0,1)</f>
        <v>0</v>
      </c>
      <c r="Z14" s="322">
        <f t="shared" ref="Z14:Z16" si="16">1-Y14</f>
        <v>1</v>
      </c>
      <c r="AA14" s="265">
        <f t="shared" ref="AA14:AA16" si="17">if(sum(W14,Y14)=2,1,0)</f>
        <v>0</v>
      </c>
      <c r="AB14" s="265">
        <f t="shared" ref="AB14:AB16" si="18">if(sum(W14,Z14)=2,1,0)</f>
        <v>0</v>
      </c>
      <c r="AC14" s="179">
        <v>1.0</v>
      </c>
      <c r="AD14" s="157" t="s">
        <v>1269</v>
      </c>
      <c r="AE14" s="157" t="s">
        <v>17</v>
      </c>
      <c r="AF14" s="157" t="s">
        <v>17</v>
      </c>
      <c r="AG14" s="157" t="s">
        <v>17</v>
      </c>
      <c r="AH14" s="157" t="s">
        <v>17</v>
      </c>
      <c r="AI14" s="157" t="s">
        <v>17</v>
      </c>
      <c r="AJ14" s="157">
        <v>1.0</v>
      </c>
      <c r="AK14" s="157" t="s">
        <v>1270</v>
      </c>
      <c r="AL14" s="179" t="s">
        <v>1271</v>
      </c>
    </row>
    <row r="15">
      <c r="A15" s="265" t="s">
        <v>66</v>
      </c>
      <c r="B15" s="264" t="s">
        <v>451</v>
      </c>
      <c r="C15" s="47" t="s">
        <v>439</v>
      </c>
      <c r="D15" s="48" t="s">
        <v>7</v>
      </c>
      <c r="E15" s="46" t="s">
        <v>67</v>
      </c>
      <c r="F15" s="178" t="s">
        <v>17</v>
      </c>
      <c r="G15" s="158">
        <v>1.0</v>
      </c>
      <c r="H15" s="158" t="s">
        <v>456</v>
      </c>
      <c r="I15" s="158" t="s">
        <v>455</v>
      </c>
      <c r="J15" s="157">
        <v>1.0</v>
      </c>
      <c r="K15" s="157" t="s">
        <v>357</v>
      </c>
      <c r="L15" s="157">
        <v>0.0</v>
      </c>
      <c r="M15" s="157" t="s">
        <v>17</v>
      </c>
      <c r="N15" s="157">
        <v>0.0</v>
      </c>
      <c r="O15" s="157" t="s">
        <v>17</v>
      </c>
      <c r="P15" s="157">
        <v>0.0</v>
      </c>
      <c r="Q15" s="157">
        <v>0.0</v>
      </c>
      <c r="R15" s="157" t="s">
        <v>17</v>
      </c>
      <c r="S15" s="157">
        <v>0.0</v>
      </c>
      <c r="T15" s="157" t="s">
        <v>17</v>
      </c>
      <c r="U15" s="157">
        <v>0.0</v>
      </c>
      <c r="V15" s="157" t="s">
        <v>17</v>
      </c>
      <c r="W15" s="323">
        <f t="shared" si="13"/>
        <v>1</v>
      </c>
      <c r="X15" s="265">
        <f t="shared" si="14"/>
        <v>0</v>
      </c>
      <c r="Y15" s="323">
        <f t="shared" si="15"/>
        <v>1</v>
      </c>
      <c r="Z15" s="265">
        <f t="shared" si="16"/>
        <v>0</v>
      </c>
      <c r="AA15" s="323">
        <f t="shared" si="17"/>
        <v>1</v>
      </c>
      <c r="AB15" s="265">
        <f t="shared" si="18"/>
        <v>0</v>
      </c>
      <c r="AC15" s="158">
        <v>0.0</v>
      </c>
      <c r="AD15" s="157" t="s">
        <v>17</v>
      </c>
      <c r="AE15" s="157">
        <v>1.0</v>
      </c>
      <c r="AF15" s="157" t="s">
        <v>413</v>
      </c>
      <c r="AG15" s="157" t="s">
        <v>1271</v>
      </c>
      <c r="AH15" s="157" t="s">
        <v>17</v>
      </c>
      <c r="AI15" s="157" t="s">
        <v>17</v>
      </c>
      <c r="AJ15" s="157">
        <v>1.0</v>
      </c>
      <c r="AK15" s="157" t="s">
        <v>357</v>
      </c>
      <c r="AL15" s="158" t="s">
        <v>1271</v>
      </c>
    </row>
    <row r="16" hidden="1">
      <c r="A16" s="265" t="s">
        <v>71</v>
      </c>
      <c r="B16" s="264" t="s">
        <v>459</v>
      </c>
      <c r="C16" s="47" t="s">
        <v>439</v>
      </c>
      <c r="D16" s="48" t="s">
        <v>7</v>
      </c>
      <c r="E16" s="46" t="s">
        <v>8</v>
      </c>
      <c r="F16" s="178" t="s">
        <v>17</v>
      </c>
      <c r="G16" s="320">
        <v>0.0</v>
      </c>
      <c r="H16" s="320" t="s">
        <v>354</v>
      </c>
      <c r="I16" s="320" t="s">
        <v>1272</v>
      </c>
      <c r="J16" s="157">
        <v>1.0</v>
      </c>
      <c r="K16" s="157" t="s">
        <v>1089</v>
      </c>
      <c r="L16" s="157">
        <v>0.0</v>
      </c>
      <c r="M16" s="157" t="s">
        <v>17</v>
      </c>
      <c r="N16" s="157">
        <v>0.0</v>
      </c>
      <c r="O16" s="157" t="s">
        <v>17</v>
      </c>
      <c r="P16" s="157">
        <v>0.0</v>
      </c>
      <c r="Q16" s="157">
        <v>0.0</v>
      </c>
      <c r="R16" s="157" t="s">
        <v>17</v>
      </c>
      <c r="S16" s="157">
        <v>1.0</v>
      </c>
      <c r="T16" s="157" t="s">
        <v>363</v>
      </c>
      <c r="U16" s="157">
        <v>0.0</v>
      </c>
      <c r="V16" s="157" t="s">
        <v>17</v>
      </c>
      <c r="W16" s="321">
        <f t="shared" si="13"/>
        <v>1</v>
      </c>
      <c r="X16" s="265">
        <f t="shared" si="14"/>
        <v>0</v>
      </c>
      <c r="Y16" s="265">
        <f t="shared" si="15"/>
        <v>0</v>
      </c>
      <c r="Z16" s="321">
        <f t="shared" si="16"/>
        <v>1</v>
      </c>
      <c r="AA16" s="265">
        <f t="shared" si="17"/>
        <v>0</v>
      </c>
      <c r="AB16" s="321">
        <f t="shared" si="18"/>
        <v>1</v>
      </c>
      <c r="AC16" s="320">
        <v>1.0</v>
      </c>
      <c r="AD16" s="157" t="s">
        <v>1273</v>
      </c>
      <c r="AE16" s="157">
        <v>1.0</v>
      </c>
      <c r="AF16" s="157" t="s">
        <v>357</v>
      </c>
      <c r="AG16" s="157" t="s">
        <v>357</v>
      </c>
      <c r="AH16" s="157" t="s">
        <v>17</v>
      </c>
      <c r="AI16" s="157" t="s">
        <v>17</v>
      </c>
      <c r="AJ16" s="157" t="s">
        <v>17</v>
      </c>
      <c r="AK16" s="157" t="s">
        <v>17</v>
      </c>
      <c r="AL16" s="157" t="s">
        <v>17</v>
      </c>
    </row>
    <row r="17" hidden="1">
      <c r="A17" s="265" t="s">
        <v>77</v>
      </c>
      <c r="B17" s="264" t="s">
        <v>17</v>
      </c>
      <c r="C17" s="47" t="s">
        <v>439</v>
      </c>
      <c r="D17" s="48" t="s">
        <v>37</v>
      </c>
      <c r="E17" s="46" t="s">
        <v>67</v>
      </c>
      <c r="F17" s="178" t="s">
        <v>17</v>
      </c>
      <c r="G17" s="157" t="s">
        <v>17</v>
      </c>
      <c r="H17" s="157" t="s">
        <v>17</v>
      </c>
      <c r="I17" s="157" t="s">
        <v>17</v>
      </c>
      <c r="J17" s="61" t="s">
        <v>373</v>
      </c>
      <c r="K17" s="61" t="s">
        <v>373</v>
      </c>
      <c r="L17" s="62" t="s">
        <v>381</v>
      </c>
      <c r="M17" s="62" t="s">
        <v>381</v>
      </c>
      <c r="N17" s="62" t="s">
        <v>381</v>
      </c>
      <c r="O17" s="62" t="s">
        <v>381</v>
      </c>
      <c r="P17" s="157" t="s">
        <v>17</v>
      </c>
      <c r="Q17" s="62" t="s">
        <v>381</v>
      </c>
      <c r="R17" s="62" t="s">
        <v>381</v>
      </c>
      <c r="S17" s="62" t="s">
        <v>381</v>
      </c>
      <c r="T17" s="62" t="s">
        <v>381</v>
      </c>
      <c r="U17" s="62" t="s">
        <v>381</v>
      </c>
      <c r="V17" s="62" t="s">
        <v>381</v>
      </c>
      <c r="W17" s="157" t="s">
        <v>17</v>
      </c>
      <c r="X17" s="157" t="s">
        <v>17</v>
      </c>
      <c r="Y17" s="157" t="s">
        <v>17</v>
      </c>
      <c r="Z17" s="157" t="s">
        <v>17</v>
      </c>
      <c r="AA17" s="157" t="s">
        <v>17</v>
      </c>
      <c r="AB17" s="157" t="s">
        <v>17</v>
      </c>
      <c r="AC17" s="157" t="s">
        <v>17</v>
      </c>
      <c r="AD17" s="157" t="s">
        <v>17</v>
      </c>
      <c r="AE17" s="157" t="s">
        <v>17</v>
      </c>
      <c r="AF17" s="157" t="s">
        <v>17</v>
      </c>
      <c r="AG17" s="157" t="s">
        <v>17</v>
      </c>
      <c r="AH17" s="157" t="s">
        <v>17</v>
      </c>
      <c r="AI17" s="157" t="s">
        <v>17</v>
      </c>
      <c r="AJ17" s="157" t="s">
        <v>17</v>
      </c>
      <c r="AK17" s="157" t="s">
        <v>17</v>
      </c>
      <c r="AL17" s="157" t="s">
        <v>17</v>
      </c>
    </row>
    <row r="18" hidden="1">
      <c r="A18" s="265" t="s">
        <v>80</v>
      </c>
      <c r="B18" s="264" t="s">
        <v>467</v>
      </c>
      <c r="C18" s="47" t="s">
        <v>439</v>
      </c>
      <c r="D18" s="48" t="s">
        <v>7</v>
      </c>
      <c r="E18" s="46" t="s">
        <v>8</v>
      </c>
      <c r="F18" s="178" t="s">
        <v>17</v>
      </c>
      <c r="G18" s="320">
        <v>0.0</v>
      </c>
      <c r="H18" s="320" t="s">
        <v>354</v>
      </c>
      <c r="I18" s="320" t="s">
        <v>1267</v>
      </c>
      <c r="J18" s="157">
        <v>1.0</v>
      </c>
      <c r="K18" s="157" t="s">
        <v>358</v>
      </c>
      <c r="L18" s="157">
        <v>0.0</v>
      </c>
      <c r="M18" s="157" t="s">
        <v>17</v>
      </c>
      <c r="N18" s="157">
        <v>1.0</v>
      </c>
      <c r="O18" s="157" t="s">
        <v>358</v>
      </c>
      <c r="P18" s="157">
        <v>0.0</v>
      </c>
      <c r="Q18" s="157">
        <v>1.0</v>
      </c>
      <c r="R18" s="157" t="s">
        <v>358</v>
      </c>
      <c r="S18" s="157">
        <v>1.0</v>
      </c>
      <c r="T18" s="157" t="s">
        <v>358</v>
      </c>
      <c r="U18" s="157">
        <v>0.0</v>
      </c>
      <c r="V18" s="157" t="s">
        <v>17</v>
      </c>
      <c r="W18" s="265">
        <f t="shared" ref="W18:W21" si="19">if(sum(L18,N18)&gt;0,0,1)</f>
        <v>0</v>
      </c>
      <c r="X18" s="265">
        <f t="shared" ref="X18:X21" si="20">1-W18</f>
        <v>1</v>
      </c>
      <c r="Y18" s="265">
        <f t="shared" ref="Y18:Y21" si="21">if(sum(Q18,S18,U18)&gt;0,0,1)</f>
        <v>0</v>
      </c>
      <c r="Z18" s="265">
        <f t="shared" ref="Z18:Z21" si="22">1-Y18</f>
        <v>1</v>
      </c>
      <c r="AA18" s="265">
        <f t="shared" ref="AA18:AA21" si="23">if(sum(W18,Y18)=2,1,0)</f>
        <v>0</v>
      </c>
      <c r="AB18" s="265">
        <f t="shared" ref="AB18:AB21" si="24">if(sum(W18,Z18)=2,1,0)</f>
        <v>0</v>
      </c>
      <c r="AC18" s="320">
        <v>0.0</v>
      </c>
      <c r="AD18" s="157" t="s">
        <v>17</v>
      </c>
      <c r="AE18" s="157">
        <v>1.0</v>
      </c>
      <c r="AF18" s="157" t="s">
        <v>357</v>
      </c>
      <c r="AG18" s="157" t="s">
        <v>1271</v>
      </c>
      <c r="AH18" s="157" t="s">
        <v>17</v>
      </c>
      <c r="AI18" s="157" t="s">
        <v>17</v>
      </c>
      <c r="AJ18" s="157" t="s">
        <v>17</v>
      </c>
      <c r="AK18" s="157" t="s">
        <v>17</v>
      </c>
      <c r="AL18" s="157" t="s">
        <v>17</v>
      </c>
    </row>
    <row r="19" hidden="1">
      <c r="A19" s="265" t="s">
        <v>84</v>
      </c>
      <c r="B19" s="264" t="s">
        <v>474</v>
      </c>
      <c r="C19" s="47" t="s">
        <v>439</v>
      </c>
      <c r="D19" s="48" t="s">
        <v>7</v>
      </c>
      <c r="E19" s="46" t="s">
        <v>67</v>
      </c>
      <c r="F19" s="178" t="s">
        <v>475</v>
      </c>
      <c r="G19" s="179">
        <v>1.0</v>
      </c>
      <c r="H19" s="179" t="s">
        <v>354</v>
      </c>
      <c r="I19" s="179" t="s">
        <v>1274</v>
      </c>
      <c r="J19" s="157">
        <v>1.0</v>
      </c>
      <c r="K19" s="157" t="s">
        <v>1115</v>
      </c>
      <c r="L19" s="157">
        <v>0.0</v>
      </c>
      <c r="M19" s="157" t="s">
        <v>17</v>
      </c>
      <c r="N19" s="157">
        <v>0.0</v>
      </c>
      <c r="O19" s="157" t="s">
        <v>17</v>
      </c>
      <c r="P19" s="157">
        <v>1.0</v>
      </c>
      <c r="Q19" s="157">
        <v>0.0</v>
      </c>
      <c r="R19" s="157" t="s">
        <v>17</v>
      </c>
      <c r="S19" s="157">
        <v>0.0</v>
      </c>
      <c r="T19" s="157" t="s">
        <v>17</v>
      </c>
      <c r="U19" s="157">
        <v>0.0</v>
      </c>
      <c r="V19" s="157" t="s">
        <v>17</v>
      </c>
      <c r="W19" s="322">
        <f t="shared" si="19"/>
        <v>1</v>
      </c>
      <c r="X19" s="265">
        <f t="shared" si="20"/>
        <v>0</v>
      </c>
      <c r="Y19" s="322">
        <f t="shared" si="21"/>
        <v>1</v>
      </c>
      <c r="Z19" s="265">
        <f t="shared" si="22"/>
        <v>0</v>
      </c>
      <c r="AA19" s="322">
        <f t="shared" si="23"/>
        <v>1</v>
      </c>
      <c r="AB19" s="265">
        <f t="shared" si="24"/>
        <v>0</v>
      </c>
      <c r="AC19" s="322">
        <v>0.0</v>
      </c>
      <c r="AD19" s="157" t="s">
        <v>17</v>
      </c>
      <c r="AE19" s="157">
        <v>1.0</v>
      </c>
      <c r="AF19" s="157" t="s">
        <v>357</v>
      </c>
      <c r="AG19" s="157" t="s">
        <v>1271</v>
      </c>
      <c r="AH19" s="157" t="s">
        <v>17</v>
      </c>
      <c r="AI19" s="157" t="s">
        <v>17</v>
      </c>
      <c r="AJ19" s="157" t="s">
        <v>17</v>
      </c>
      <c r="AK19" s="157" t="s">
        <v>17</v>
      </c>
      <c r="AL19" s="157" t="s">
        <v>17</v>
      </c>
    </row>
    <row r="20" hidden="1">
      <c r="A20" s="264" t="s">
        <v>488</v>
      </c>
      <c r="B20" s="264" t="s">
        <v>489</v>
      </c>
      <c r="C20" s="299">
        <v>43200.0</v>
      </c>
      <c r="D20" s="157" t="s">
        <v>1119</v>
      </c>
      <c r="E20" s="300" t="s">
        <v>67</v>
      </c>
      <c r="F20" s="178" t="s">
        <v>475</v>
      </c>
      <c r="G20" s="184">
        <v>0.0</v>
      </c>
      <c r="H20" s="184" t="s">
        <v>354</v>
      </c>
      <c r="I20" s="184" t="s">
        <v>371</v>
      </c>
      <c r="J20" s="265" t="s">
        <v>17</v>
      </c>
      <c r="K20" s="265" t="s">
        <v>17</v>
      </c>
      <c r="L20" s="61" t="s">
        <v>373</v>
      </c>
      <c r="M20" s="61" t="s">
        <v>373</v>
      </c>
      <c r="N20" s="157">
        <v>1.0</v>
      </c>
      <c r="O20" s="157" t="s">
        <v>1122</v>
      </c>
      <c r="P20" s="157">
        <v>0.0</v>
      </c>
      <c r="Q20" s="157">
        <v>1.0</v>
      </c>
      <c r="R20" s="157" t="s">
        <v>420</v>
      </c>
      <c r="S20" s="157">
        <v>1.0</v>
      </c>
      <c r="T20" s="157" t="s">
        <v>1120</v>
      </c>
      <c r="U20" s="157">
        <v>1.0</v>
      </c>
      <c r="V20" s="157" t="s">
        <v>358</v>
      </c>
      <c r="W20" s="265">
        <f t="shared" si="19"/>
        <v>0</v>
      </c>
      <c r="X20" s="316">
        <f t="shared" si="20"/>
        <v>1</v>
      </c>
      <c r="Y20" s="265">
        <f t="shared" si="21"/>
        <v>0</v>
      </c>
      <c r="Z20" s="316">
        <f t="shared" si="22"/>
        <v>1</v>
      </c>
      <c r="AA20" s="265">
        <f t="shared" si="23"/>
        <v>0</v>
      </c>
      <c r="AB20" s="265">
        <f t="shared" si="24"/>
        <v>0</v>
      </c>
      <c r="AC20" s="184">
        <v>1.0</v>
      </c>
      <c r="AD20" s="157" t="s">
        <v>1275</v>
      </c>
      <c r="AE20" s="265" t="s">
        <v>17</v>
      </c>
      <c r="AF20" s="265" t="s">
        <v>17</v>
      </c>
      <c r="AG20" s="265" t="s">
        <v>17</v>
      </c>
      <c r="AH20" s="265" t="s">
        <v>17</v>
      </c>
      <c r="AI20" s="265" t="s">
        <v>17</v>
      </c>
      <c r="AJ20" s="265" t="s">
        <v>17</v>
      </c>
      <c r="AK20" s="265" t="s">
        <v>17</v>
      </c>
      <c r="AL20" s="265" t="s">
        <v>17</v>
      </c>
    </row>
    <row r="21" hidden="1">
      <c r="A21" s="264" t="s">
        <v>498</v>
      </c>
      <c r="B21" s="264" t="s">
        <v>499</v>
      </c>
      <c r="C21" s="47" t="s">
        <v>439</v>
      </c>
      <c r="D21" s="48" t="s">
        <v>7</v>
      </c>
      <c r="E21" s="46" t="s">
        <v>8</v>
      </c>
      <c r="F21" s="178" t="s">
        <v>17</v>
      </c>
      <c r="G21" s="184">
        <v>0.0</v>
      </c>
      <c r="H21" s="184" t="s">
        <v>354</v>
      </c>
      <c r="I21" s="184" t="s">
        <v>371</v>
      </c>
      <c r="J21" s="157">
        <v>1.0</v>
      </c>
      <c r="K21" s="157" t="s">
        <v>357</v>
      </c>
      <c r="L21" s="157">
        <v>1.0</v>
      </c>
      <c r="M21" s="157" t="s">
        <v>357</v>
      </c>
      <c r="N21" s="157">
        <v>0.0</v>
      </c>
      <c r="O21" s="157" t="s">
        <v>17</v>
      </c>
      <c r="P21" s="157">
        <v>0.0</v>
      </c>
      <c r="Q21" s="157">
        <v>0.0</v>
      </c>
      <c r="R21" s="157" t="s">
        <v>17</v>
      </c>
      <c r="S21" s="44" t="s">
        <v>373</v>
      </c>
      <c r="T21" s="44" t="s">
        <v>373</v>
      </c>
      <c r="U21" s="61" t="s">
        <v>373</v>
      </c>
      <c r="V21" s="61" t="s">
        <v>373</v>
      </c>
      <c r="W21" s="265">
        <f t="shared" si="19"/>
        <v>0</v>
      </c>
      <c r="X21" s="265">
        <f t="shared" si="20"/>
        <v>1</v>
      </c>
      <c r="Y21" s="265">
        <f t="shared" si="21"/>
        <v>1</v>
      </c>
      <c r="Z21" s="265">
        <f t="shared" si="22"/>
        <v>0</v>
      </c>
      <c r="AA21" s="265">
        <f t="shared" si="23"/>
        <v>0</v>
      </c>
      <c r="AB21" s="265">
        <f t="shared" si="24"/>
        <v>0</v>
      </c>
      <c r="AC21" s="184">
        <v>0.0</v>
      </c>
      <c r="AD21" s="157" t="s">
        <v>17</v>
      </c>
      <c r="AE21" s="157">
        <v>1.0</v>
      </c>
      <c r="AF21" s="157" t="s">
        <v>358</v>
      </c>
      <c r="AG21" s="157" t="s">
        <v>1271</v>
      </c>
      <c r="AH21" s="265" t="s">
        <v>17</v>
      </c>
      <c r="AI21" s="265" t="s">
        <v>17</v>
      </c>
      <c r="AJ21" s="265" t="s">
        <v>17</v>
      </c>
      <c r="AK21" s="265" t="s">
        <v>17</v>
      </c>
      <c r="AL21" s="265" t="s">
        <v>17</v>
      </c>
    </row>
    <row r="22" hidden="1">
      <c r="A22" s="265" t="s">
        <v>94</v>
      </c>
      <c r="B22" s="264" t="s">
        <v>506</v>
      </c>
      <c r="C22" s="47" t="s">
        <v>439</v>
      </c>
      <c r="D22" s="48" t="s">
        <v>37</v>
      </c>
      <c r="E22" s="46" t="s">
        <v>67</v>
      </c>
      <c r="F22" s="178" t="s">
        <v>17</v>
      </c>
      <c r="G22" s="157" t="s">
        <v>17</v>
      </c>
      <c r="H22" s="157" t="s">
        <v>17</v>
      </c>
      <c r="I22" s="157" t="s">
        <v>17</v>
      </c>
      <c r="J22" s="157">
        <v>1.0</v>
      </c>
      <c r="K22" s="157" t="s">
        <v>357</v>
      </c>
      <c r="L22" s="62" t="s">
        <v>381</v>
      </c>
      <c r="M22" s="62" t="s">
        <v>381</v>
      </c>
      <c r="N22" s="62" t="s">
        <v>381</v>
      </c>
      <c r="O22" s="62" t="s">
        <v>381</v>
      </c>
      <c r="P22" s="157" t="s">
        <v>17</v>
      </c>
      <c r="Q22" s="62" t="s">
        <v>381</v>
      </c>
      <c r="R22" s="62" t="s">
        <v>381</v>
      </c>
      <c r="S22" s="62" t="s">
        <v>381</v>
      </c>
      <c r="T22" s="62" t="s">
        <v>381</v>
      </c>
      <c r="U22" s="62" t="s">
        <v>381</v>
      </c>
      <c r="V22" s="62" t="s">
        <v>381</v>
      </c>
      <c r="W22" s="157" t="s">
        <v>17</v>
      </c>
      <c r="X22" s="157" t="s">
        <v>17</v>
      </c>
      <c r="Y22" s="157" t="s">
        <v>17</v>
      </c>
      <c r="Z22" s="157" t="s">
        <v>17</v>
      </c>
      <c r="AA22" s="157" t="s">
        <v>17</v>
      </c>
      <c r="AB22" s="157" t="s">
        <v>17</v>
      </c>
      <c r="AC22" s="157" t="s">
        <v>17</v>
      </c>
      <c r="AD22" s="157" t="s">
        <v>17</v>
      </c>
      <c r="AE22" s="157" t="s">
        <v>17</v>
      </c>
      <c r="AF22" s="157" t="s">
        <v>17</v>
      </c>
      <c r="AG22" s="157" t="s">
        <v>17</v>
      </c>
      <c r="AH22" s="157" t="s">
        <v>17</v>
      </c>
      <c r="AI22" s="157" t="s">
        <v>17</v>
      </c>
      <c r="AJ22" s="157" t="s">
        <v>17</v>
      </c>
      <c r="AK22" s="157" t="s">
        <v>17</v>
      </c>
      <c r="AL22" s="157" t="s">
        <v>17</v>
      </c>
    </row>
    <row r="23">
      <c r="A23" s="264" t="s">
        <v>509</v>
      </c>
      <c r="B23" s="264" t="s">
        <v>510</v>
      </c>
      <c r="C23" s="47" t="s">
        <v>439</v>
      </c>
      <c r="D23" s="48" t="s">
        <v>37</v>
      </c>
      <c r="E23" s="46" t="s">
        <v>67</v>
      </c>
      <c r="F23" s="178" t="s">
        <v>17</v>
      </c>
      <c r="G23" s="158">
        <v>2.0</v>
      </c>
      <c r="H23" s="158" t="s">
        <v>1276</v>
      </c>
      <c r="I23" s="158" t="s">
        <v>398</v>
      </c>
      <c r="J23" s="157">
        <v>1.0</v>
      </c>
      <c r="K23" s="157" t="s">
        <v>357</v>
      </c>
      <c r="L23" s="44" t="s">
        <v>373</v>
      </c>
      <c r="M23" s="44" t="s">
        <v>373</v>
      </c>
      <c r="N23" s="157">
        <v>0.0</v>
      </c>
      <c r="O23" s="157" t="s">
        <v>17</v>
      </c>
      <c r="P23" s="157">
        <v>0.0</v>
      </c>
      <c r="Q23" s="44" t="s">
        <v>373</v>
      </c>
      <c r="R23" s="44" t="s">
        <v>373</v>
      </c>
      <c r="S23" s="61" t="s">
        <v>373</v>
      </c>
      <c r="T23" s="61" t="s">
        <v>373</v>
      </c>
      <c r="U23" s="62" t="s">
        <v>373</v>
      </c>
      <c r="V23" s="62" t="s">
        <v>373</v>
      </c>
      <c r="W23" s="157" t="s">
        <v>17</v>
      </c>
      <c r="X23" s="157" t="s">
        <v>17</v>
      </c>
      <c r="Y23" s="157" t="s">
        <v>17</v>
      </c>
      <c r="Z23" s="157" t="s">
        <v>17</v>
      </c>
      <c r="AA23" s="157" t="s">
        <v>17</v>
      </c>
      <c r="AB23" s="157" t="s">
        <v>17</v>
      </c>
      <c r="AC23" s="157" t="s">
        <v>17</v>
      </c>
      <c r="AD23" s="157" t="s">
        <v>17</v>
      </c>
      <c r="AE23" s="157" t="s">
        <v>17</v>
      </c>
      <c r="AF23" s="157" t="s">
        <v>17</v>
      </c>
      <c r="AG23" s="157" t="s">
        <v>17</v>
      </c>
      <c r="AH23" s="157" t="s">
        <v>17</v>
      </c>
      <c r="AI23" s="157" t="s">
        <v>17</v>
      </c>
      <c r="AJ23" s="157">
        <v>1.0</v>
      </c>
      <c r="AK23" s="157" t="s">
        <v>357</v>
      </c>
      <c r="AL23" s="158" t="s">
        <v>1271</v>
      </c>
    </row>
    <row r="24" hidden="1">
      <c r="A24" s="265" t="s">
        <v>101</v>
      </c>
      <c r="B24" s="264" t="s">
        <v>518</v>
      </c>
      <c r="C24" s="47" t="s">
        <v>439</v>
      </c>
      <c r="D24" s="48" t="s">
        <v>7</v>
      </c>
      <c r="E24" s="46" t="s">
        <v>8</v>
      </c>
      <c r="F24" s="178" t="s">
        <v>17</v>
      </c>
      <c r="G24" s="184">
        <v>0.0</v>
      </c>
      <c r="H24" s="184" t="s">
        <v>354</v>
      </c>
      <c r="I24" s="184" t="s">
        <v>371</v>
      </c>
      <c r="J24" s="157">
        <v>1.0</v>
      </c>
      <c r="K24" s="157" t="s">
        <v>357</v>
      </c>
      <c r="L24" s="157">
        <v>1.0</v>
      </c>
      <c r="M24" s="157" t="s">
        <v>357</v>
      </c>
      <c r="N24" s="157">
        <v>1.0</v>
      </c>
      <c r="O24" s="157" t="s">
        <v>1130</v>
      </c>
      <c r="P24" s="157">
        <v>0.0</v>
      </c>
      <c r="Q24" s="157">
        <v>1.0</v>
      </c>
      <c r="R24" s="157" t="s">
        <v>357</v>
      </c>
      <c r="S24" s="157">
        <v>1.0</v>
      </c>
      <c r="T24" s="157" t="s">
        <v>357</v>
      </c>
      <c r="U24" s="157">
        <v>1.0</v>
      </c>
      <c r="V24" s="157" t="s">
        <v>357</v>
      </c>
      <c r="W24" s="265">
        <f t="shared" ref="W24:W25" si="25">if(sum(L24,N24)&gt;0,0,1)</f>
        <v>0</v>
      </c>
      <c r="X24" s="265">
        <f t="shared" ref="X24:X25" si="26">1-W24</f>
        <v>1</v>
      </c>
      <c r="Y24" s="265">
        <f t="shared" ref="Y24:Y25" si="27">if(sum(Q24,S24,U24)&gt;0,0,1)</f>
        <v>0</v>
      </c>
      <c r="Z24" s="265">
        <f t="shared" ref="Z24:Z25" si="28">1-Y24</f>
        <v>1</v>
      </c>
      <c r="AA24" s="265">
        <f t="shared" ref="AA24:AA25" si="29">if(sum(W24,Y24)=2,1,0)</f>
        <v>0</v>
      </c>
      <c r="AB24" s="265">
        <f t="shared" ref="AB24:AB25" si="30">if(sum(W24,Z24)=2,1,0)</f>
        <v>0</v>
      </c>
      <c r="AC24" s="184">
        <v>0.0</v>
      </c>
      <c r="AD24" s="157" t="s">
        <v>17</v>
      </c>
      <c r="AE24" s="157">
        <v>1.0</v>
      </c>
      <c r="AF24" s="157" t="s">
        <v>1277</v>
      </c>
      <c r="AG24" s="157" t="s">
        <v>1271</v>
      </c>
      <c r="AH24" s="157" t="s">
        <v>17</v>
      </c>
      <c r="AI24" s="157" t="s">
        <v>17</v>
      </c>
      <c r="AJ24" s="157" t="s">
        <v>17</v>
      </c>
      <c r="AK24" s="157" t="s">
        <v>17</v>
      </c>
      <c r="AL24" s="157" t="s">
        <v>17</v>
      </c>
    </row>
    <row r="25">
      <c r="A25" s="265" t="s">
        <v>105</v>
      </c>
      <c r="B25" s="264" t="s">
        <v>522</v>
      </c>
      <c r="C25" s="47" t="s">
        <v>439</v>
      </c>
      <c r="D25" s="48" t="s">
        <v>7</v>
      </c>
      <c r="E25" s="46" t="s">
        <v>67</v>
      </c>
      <c r="F25" s="178" t="s">
        <v>523</v>
      </c>
      <c r="G25" s="158">
        <v>1.0</v>
      </c>
      <c r="H25" s="158" t="s">
        <v>530</v>
      </c>
      <c r="I25" s="158" t="s">
        <v>529</v>
      </c>
      <c r="J25" s="157">
        <v>1.0</v>
      </c>
      <c r="K25" s="157" t="s">
        <v>358</v>
      </c>
      <c r="L25" s="157">
        <v>1.0</v>
      </c>
      <c r="M25" s="157" t="s">
        <v>358</v>
      </c>
      <c r="N25" s="157">
        <v>1.0</v>
      </c>
      <c r="O25" s="157" t="s">
        <v>358</v>
      </c>
      <c r="P25" s="157">
        <v>0.0</v>
      </c>
      <c r="Q25" s="157">
        <v>1.0</v>
      </c>
      <c r="R25" s="157" t="s">
        <v>1178</v>
      </c>
      <c r="S25" s="157">
        <v>1.0</v>
      </c>
      <c r="T25" s="157" t="s">
        <v>358</v>
      </c>
      <c r="U25" s="157">
        <v>1.0</v>
      </c>
      <c r="V25" s="157" t="s">
        <v>358</v>
      </c>
      <c r="W25" s="265">
        <f t="shared" si="25"/>
        <v>0</v>
      </c>
      <c r="X25" s="265">
        <f t="shared" si="26"/>
        <v>1</v>
      </c>
      <c r="Y25" s="265">
        <f t="shared" si="27"/>
        <v>0</v>
      </c>
      <c r="Z25" s="265">
        <f t="shared" si="28"/>
        <v>1</v>
      </c>
      <c r="AA25" s="265">
        <f t="shared" si="29"/>
        <v>0</v>
      </c>
      <c r="AB25" s="265">
        <f t="shared" si="30"/>
        <v>0</v>
      </c>
      <c r="AC25" s="158">
        <v>1.0</v>
      </c>
      <c r="AD25" s="157" t="s">
        <v>1278</v>
      </c>
      <c r="AE25" s="157" t="s">
        <v>17</v>
      </c>
      <c r="AF25" s="157" t="s">
        <v>17</v>
      </c>
      <c r="AG25" s="157" t="s">
        <v>17</v>
      </c>
      <c r="AH25" s="157" t="s">
        <v>17</v>
      </c>
      <c r="AI25" s="157" t="s">
        <v>17</v>
      </c>
      <c r="AJ25" s="157">
        <v>1.0</v>
      </c>
      <c r="AK25" s="157" t="s">
        <v>1090</v>
      </c>
      <c r="AL25" s="158" t="s">
        <v>358</v>
      </c>
    </row>
    <row r="26" hidden="1">
      <c r="A26" s="264" t="s">
        <v>531</v>
      </c>
      <c r="B26" s="264" t="s">
        <v>532</v>
      </c>
      <c r="C26" s="299">
        <v>43200.0</v>
      </c>
      <c r="D26" s="157" t="s">
        <v>1119</v>
      </c>
      <c r="E26" s="46" t="s">
        <v>8</v>
      </c>
      <c r="F26" s="178" t="s">
        <v>523</v>
      </c>
      <c r="G26" s="265" t="s">
        <v>17</v>
      </c>
      <c r="H26" s="265" t="s">
        <v>17</v>
      </c>
      <c r="I26" s="265" t="s">
        <v>17</v>
      </c>
      <c r="J26" s="265" t="s">
        <v>17</v>
      </c>
      <c r="K26" s="265" t="s">
        <v>17</v>
      </c>
      <c r="L26" s="61" t="s">
        <v>373</v>
      </c>
      <c r="M26" s="61" t="s">
        <v>373</v>
      </c>
      <c r="N26" s="62" t="s">
        <v>381</v>
      </c>
      <c r="O26" s="62" t="s">
        <v>381</v>
      </c>
      <c r="P26" s="157" t="s">
        <v>17</v>
      </c>
      <c r="Q26" s="62" t="s">
        <v>381</v>
      </c>
      <c r="R26" s="62" t="s">
        <v>381</v>
      </c>
      <c r="S26" s="62" t="s">
        <v>381</v>
      </c>
      <c r="T26" s="62" t="s">
        <v>381</v>
      </c>
      <c r="U26" s="62" t="s">
        <v>381</v>
      </c>
      <c r="V26" s="62" t="s">
        <v>381</v>
      </c>
      <c r="W26" s="157" t="s">
        <v>17</v>
      </c>
      <c r="X26" s="157" t="s">
        <v>17</v>
      </c>
      <c r="Y26" s="157" t="s">
        <v>17</v>
      </c>
      <c r="Z26" s="157" t="s">
        <v>17</v>
      </c>
      <c r="AA26" s="157" t="s">
        <v>17</v>
      </c>
      <c r="AB26" s="157" t="s">
        <v>17</v>
      </c>
      <c r="AC26" s="157" t="s">
        <v>17</v>
      </c>
      <c r="AD26" s="157" t="s">
        <v>17</v>
      </c>
      <c r="AE26" s="157" t="s">
        <v>17</v>
      </c>
      <c r="AF26" s="157" t="s">
        <v>17</v>
      </c>
      <c r="AG26" s="157" t="s">
        <v>17</v>
      </c>
      <c r="AH26" s="157" t="s">
        <v>17</v>
      </c>
      <c r="AI26" s="157" t="s">
        <v>17</v>
      </c>
      <c r="AJ26" s="157" t="s">
        <v>17</v>
      </c>
      <c r="AK26" s="157" t="s">
        <v>17</v>
      </c>
      <c r="AL26" s="157" t="s">
        <v>17</v>
      </c>
    </row>
    <row r="27">
      <c r="A27" s="265" t="s">
        <v>109</v>
      </c>
      <c r="B27" s="264" t="s">
        <v>536</v>
      </c>
      <c r="C27" s="47" t="s">
        <v>439</v>
      </c>
      <c r="D27" s="63" t="s">
        <v>37</v>
      </c>
      <c r="E27" s="46" t="s">
        <v>8</v>
      </c>
      <c r="F27" s="178" t="s">
        <v>17</v>
      </c>
      <c r="G27" s="158">
        <v>1.0</v>
      </c>
      <c r="H27" s="158" t="s">
        <v>538</v>
      </c>
      <c r="I27" s="158" t="s">
        <v>455</v>
      </c>
      <c r="J27" s="157">
        <v>1.0</v>
      </c>
      <c r="K27" s="157" t="s">
        <v>357</v>
      </c>
      <c r="L27" s="157">
        <v>0.0</v>
      </c>
      <c r="M27" s="157" t="s">
        <v>17</v>
      </c>
      <c r="N27" s="157">
        <v>1.0</v>
      </c>
      <c r="O27" s="157" t="s">
        <v>413</v>
      </c>
      <c r="P27" s="157">
        <v>0.0</v>
      </c>
      <c r="Q27" s="157">
        <v>1.0</v>
      </c>
      <c r="R27" s="157" t="s">
        <v>357</v>
      </c>
      <c r="S27" s="157">
        <v>1.0</v>
      </c>
      <c r="T27" s="157" t="s">
        <v>357</v>
      </c>
      <c r="U27" s="157">
        <v>1.0</v>
      </c>
      <c r="V27" s="157" t="s">
        <v>357</v>
      </c>
      <c r="W27" s="265">
        <f>if(sum(L27,N27)&gt;0,0,1)</f>
        <v>0</v>
      </c>
      <c r="X27" s="265">
        <f>1-W27</f>
        <v>1</v>
      </c>
      <c r="Y27" s="265">
        <f>if(sum(Q27,S27,U27)&gt;0,0,1)</f>
        <v>0</v>
      </c>
      <c r="Z27" s="265">
        <f>1-Y27</f>
        <v>1</v>
      </c>
      <c r="AA27" s="265">
        <f>if(sum(W27,Y27)=2,1,0)</f>
        <v>0</v>
      </c>
      <c r="AB27" s="265">
        <f>if(sum(W27,Z27)=2,1,0)</f>
        <v>0</v>
      </c>
      <c r="AC27" s="323">
        <v>1.0</v>
      </c>
      <c r="AD27" s="157" t="s">
        <v>1111</v>
      </c>
      <c r="AE27" s="157">
        <v>1.0</v>
      </c>
      <c r="AF27" s="157" t="s">
        <v>1163</v>
      </c>
      <c r="AG27" s="157" t="s">
        <v>1163</v>
      </c>
      <c r="AH27" s="157" t="s">
        <v>17</v>
      </c>
      <c r="AI27" s="157" t="s">
        <v>17</v>
      </c>
      <c r="AJ27" s="157">
        <v>1.0</v>
      </c>
      <c r="AK27" s="157" t="s">
        <v>357</v>
      </c>
      <c r="AL27" s="158" t="s">
        <v>357</v>
      </c>
    </row>
    <row r="28" hidden="1">
      <c r="A28" s="265" t="s">
        <v>113</v>
      </c>
      <c r="B28" s="264" t="s">
        <v>541</v>
      </c>
      <c r="C28" s="47" t="s">
        <v>439</v>
      </c>
      <c r="D28" s="48" t="s">
        <v>7</v>
      </c>
      <c r="E28" s="46" t="s">
        <v>8</v>
      </c>
      <c r="F28" s="178" t="s">
        <v>17</v>
      </c>
      <c r="G28" s="265" t="s">
        <v>17</v>
      </c>
      <c r="H28" s="265" t="s">
        <v>17</v>
      </c>
      <c r="I28" s="265" t="s">
        <v>17</v>
      </c>
      <c r="J28" s="157">
        <v>1.0</v>
      </c>
      <c r="K28" s="157" t="s">
        <v>363</v>
      </c>
      <c r="L28" s="157">
        <v>0.0</v>
      </c>
      <c r="M28" s="157" t="s">
        <v>17</v>
      </c>
      <c r="N28" s="44" t="s">
        <v>373</v>
      </c>
      <c r="O28" s="44" t="s">
        <v>373</v>
      </c>
      <c r="P28" s="157" t="s">
        <v>17</v>
      </c>
      <c r="Q28" s="61" t="s">
        <v>373</v>
      </c>
      <c r="R28" s="61" t="s">
        <v>373</v>
      </c>
      <c r="S28" s="62" t="s">
        <v>381</v>
      </c>
      <c r="T28" s="62" t="s">
        <v>381</v>
      </c>
      <c r="U28" s="62" t="s">
        <v>381</v>
      </c>
      <c r="V28" s="62" t="s">
        <v>381</v>
      </c>
      <c r="W28" s="157" t="s">
        <v>17</v>
      </c>
      <c r="X28" s="157" t="s">
        <v>17</v>
      </c>
      <c r="Y28" s="157" t="s">
        <v>17</v>
      </c>
      <c r="Z28" s="157" t="s">
        <v>17</v>
      </c>
      <c r="AA28" s="157" t="s">
        <v>17</v>
      </c>
      <c r="AB28" s="157" t="s">
        <v>17</v>
      </c>
      <c r="AC28" s="157" t="s">
        <v>17</v>
      </c>
      <c r="AD28" s="157" t="s">
        <v>17</v>
      </c>
      <c r="AE28" s="157" t="s">
        <v>17</v>
      </c>
      <c r="AF28" s="157" t="s">
        <v>17</v>
      </c>
      <c r="AG28" s="157" t="s">
        <v>17</v>
      </c>
      <c r="AH28" s="157" t="s">
        <v>17</v>
      </c>
      <c r="AI28" s="157" t="s">
        <v>17</v>
      </c>
      <c r="AJ28" s="157" t="s">
        <v>17</v>
      </c>
      <c r="AK28" s="157" t="s">
        <v>17</v>
      </c>
      <c r="AL28" s="157" t="s">
        <v>17</v>
      </c>
    </row>
    <row r="29">
      <c r="A29" s="265" t="s">
        <v>117</v>
      </c>
      <c r="B29" s="264" t="s">
        <v>546</v>
      </c>
      <c r="C29" s="47" t="s">
        <v>547</v>
      </c>
      <c r="D29" s="48" t="s">
        <v>7</v>
      </c>
      <c r="E29" s="46" t="s">
        <v>8</v>
      </c>
      <c r="F29" s="178" t="s">
        <v>17</v>
      </c>
      <c r="G29" s="158">
        <v>1.0</v>
      </c>
      <c r="H29" s="158" t="s">
        <v>549</v>
      </c>
      <c r="I29" s="158" t="s">
        <v>398</v>
      </c>
      <c r="J29" s="157">
        <v>1.0</v>
      </c>
      <c r="K29" s="157" t="s">
        <v>357</v>
      </c>
      <c r="L29" s="61" t="s">
        <v>373</v>
      </c>
      <c r="M29" s="61" t="s">
        <v>373</v>
      </c>
      <c r="N29" s="157">
        <v>0.0</v>
      </c>
      <c r="O29" s="157" t="s">
        <v>17</v>
      </c>
      <c r="P29" s="157">
        <v>0.0</v>
      </c>
      <c r="Q29" s="157">
        <v>0.0</v>
      </c>
      <c r="R29" s="157" t="s">
        <v>17</v>
      </c>
      <c r="S29" s="157">
        <v>1.0</v>
      </c>
      <c r="T29" s="157" t="s">
        <v>357</v>
      </c>
      <c r="U29" s="157">
        <v>0.0</v>
      </c>
      <c r="V29" s="157" t="s">
        <v>17</v>
      </c>
      <c r="W29" s="323">
        <f t="shared" ref="W29:W30" si="31">if(sum(L29,N29)&gt;0,0,1)</f>
        <v>1</v>
      </c>
      <c r="X29" s="265">
        <f t="shared" ref="X29:X30" si="32">1-W29</f>
        <v>0</v>
      </c>
      <c r="Y29" s="265">
        <f t="shared" ref="Y29:Y30" si="33">if(sum(Q29,S29,U29)&gt;0,0,1)</f>
        <v>0</v>
      </c>
      <c r="Z29" s="323">
        <f t="shared" ref="Z29:Z30" si="34">1-Y29</f>
        <v>1</v>
      </c>
      <c r="AA29" s="265">
        <f t="shared" ref="AA29:AA30" si="35">if(sum(W29,Y29)=2,1,0)</f>
        <v>0</v>
      </c>
      <c r="AB29" s="323">
        <f t="shared" ref="AB29:AB30" si="36">if(sum(W29,Z29)=2,1,0)</f>
        <v>1</v>
      </c>
      <c r="AC29" s="158">
        <v>1.0</v>
      </c>
      <c r="AD29" s="157" t="s">
        <v>1265</v>
      </c>
      <c r="AE29" s="157" t="s">
        <v>17</v>
      </c>
      <c r="AF29" s="157" t="s">
        <v>17</v>
      </c>
      <c r="AG29" s="157" t="s">
        <v>17</v>
      </c>
      <c r="AH29" s="157" t="s">
        <v>17</v>
      </c>
      <c r="AI29" s="157" t="s">
        <v>17</v>
      </c>
      <c r="AJ29" s="157">
        <v>1.0</v>
      </c>
      <c r="AK29" s="157" t="s">
        <v>1090</v>
      </c>
      <c r="AL29" s="158" t="s">
        <v>357</v>
      </c>
    </row>
    <row r="30">
      <c r="A30" s="265" t="s">
        <v>120</v>
      </c>
      <c r="B30" s="264" t="s">
        <v>552</v>
      </c>
      <c r="C30" s="47" t="s">
        <v>547</v>
      </c>
      <c r="D30" s="63" t="s">
        <v>37</v>
      </c>
      <c r="E30" s="46" t="s">
        <v>8</v>
      </c>
      <c r="F30" s="178" t="s">
        <v>17</v>
      </c>
      <c r="G30" s="158">
        <v>1.0</v>
      </c>
      <c r="H30" s="158" t="s">
        <v>555</v>
      </c>
      <c r="I30" s="158" t="s">
        <v>556</v>
      </c>
      <c r="J30" s="157">
        <v>0.0</v>
      </c>
      <c r="K30" s="157" t="s">
        <v>17</v>
      </c>
      <c r="L30" s="157">
        <v>0.0</v>
      </c>
      <c r="M30" s="157" t="s">
        <v>17</v>
      </c>
      <c r="N30" s="157">
        <v>0.0</v>
      </c>
      <c r="O30" s="157" t="s">
        <v>17</v>
      </c>
      <c r="P30" s="157">
        <v>0.0</v>
      </c>
      <c r="Q30" s="44" t="s">
        <v>373</v>
      </c>
      <c r="R30" s="44" t="s">
        <v>373</v>
      </c>
      <c r="S30" s="157">
        <v>0.0</v>
      </c>
      <c r="T30" s="157" t="s">
        <v>17</v>
      </c>
      <c r="U30" s="157">
        <v>0.0</v>
      </c>
      <c r="V30" s="157" t="s">
        <v>17</v>
      </c>
      <c r="W30" s="323">
        <f t="shared" si="31"/>
        <v>1</v>
      </c>
      <c r="X30" s="265">
        <f t="shared" si="32"/>
        <v>0</v>
      </c>
      <c r="Y30" s="323">
        <f t="shared" si="33"/>
        <v>1</v>
      </c>
      <c r="Z30" s="265">
        <f t="shared" si="34"/>
        <v>0</v>
      </c>
      <c r="AA30" s="323">
        <f t="shared" si="35"/>
        <v>1</v>
      </c>
      <c r="AB30" s="265">
        <f t="shared" si="36"/>
        <v>0</v>
      </c>
      <c r="AC30" s="158">
        <v>0.0</v>
      </c>
      <c r="AD30" s="157" t="s">
        <v>17</v>
      </c>
      <c r="AE30" s="157">
        <v>1.0</v>
      </c>
      <c r="AF30" s="157" t="s">
        <v>357</v>
      </c>
      <c r="AG30" s="157" t="s">
        <v>1271</v>
      </c>
      <c r="AH30" s="157" t="s">
        <v>17</v>
      </c>
      <c r="AI30" s="157" t="s">
        <v>17</v>
      </c>
      <c r="AJ30" s="157">
        <v>1.0</v>
      </c>
      <c r="AK30" s="157" t="s">
        <v>363</v>
      </c>
      <c r="AL30" s="158" t="s">
        <v>1271</v>
      </c>
    </row>
    <row r="31" hidden="1">
      <c r="A31" s="265" t="s">
        <v>123</v>
      </c>
      <c r="B31" s="264" t="s">
        <v>557</v>
      </c>
      <c r="C31" s="47" t="s">
        <v>547</v>
      </c>
      <c r="D31" s="48" t="s">
        <v>7</v>
      </c>
      <c r="E31" s="46" t="s">
        <v>8</v>
      </c>
      <c r="F31" s="178" t="s">
        <v>17</v>
      </c>
      <c r="G31" s="265" t="s">
        <v>17</v>
      </c>
      <c r="H31" s="265" t="s">
        <v>17</v>
      </c>
      <c r="I31" s="265" t="s">
        <v>17</v>
      </c>
      <c r="J31" s="157">
        <v>1.0</v>
      </c>
      <c r="K31" s="157" t="s">
        <v>357</v>
      </c>
      <c r="L31" s="62" t="s">
        <v>381</v>
      </c>
      <c r="M31" s="62" t="s">
        <v>381</v>
      </c>
      <c r="N31" s="62" t="s">
        <v>381</v>
      </c>
      <c r="O31" s="62" t="s">
        <v>381</v>
      </c>
      <c r="P31" s="157" t="s">
        <v>17</v>
      </c>
      <c r="Q31" s="62" t="s">
        <v>381</v>
      </c>
      <c r="R31" s="62" t="s">
        <v>381</v>
      </c>
      <c r="S31" s="62" t="s">
        <v>381</v>
      </c>
      <c r="T31" s="62" t="s">
        <v>381</v>
      </c>
      <c r="U31" s="62" t="s">
        <v>381</v>
      </c>
      <c r="V31" s="62" t="s">
        <v>381</v>
      </c>
      <c r="W31" s="265" t="s">
        <v>17</v>
      </c>
      <c r="X31" s="265" t="s">
        <v>17</v>
      </c>
      <c r="Y31" s="265" t="s">
        <v>17</v>
      </c>
      <c r="Z31" s="265" t="s">
        <v>17</v>
      </c>
      <c r="AA31" s="265" t="s">
        <v>17</v>
      </c>
      <c r="AB31" s="265" t="s">
        <v>17</v>
      </c>
      <c r="AC31" s="265" t="s">
        <v>17</v>
      </c>
      <c r="AD31" s="265" t="s">
        <v>17</v>
      </c>
      <c r="AE31" s="157">
        <v>1.0</v>
      </c>
      <c r="AF31" s="157" t="s">
        <v>357</v>
      </c>
      <c r="AG31" s="157" t="s">
        <v>357</v>
      </c>
      <c r="AH31" s="157" t="s">
        <v>17</v>
      </c>
      <c r="AI31" s="157" t="s">
        <v>17</v>
      </c>
      <c r="AJ31" s="157" t="s">
        <v>17</v>
      </c>
      <c r="AK31" s="157" t="s">
        <v>17</v>
      </c>
      <c r="AL31" s="157" t="s">
        <v>17</v>
      </c>
    </row>
    <row r="32" hidden="1">
      <c r="A32" s="264" t="s">
        <v>560</v>
      </c>
      <c r="B32" s="264" t="s">
        <v>561</v>
      </c>
      <c r="C32" s="264" t="s">
        <v>547</v>
      </c>
      <c r="D32" s="265" t="s">
        <v>7</v>
      </c>
      <c r="E32" s="265" t="s">
        <v>8</v>
      </c>
      <c r="F32" s="178" t="s">
        <v>17</v>
      </c>
      <c r="G32" s="184">
        <v>0.0</v>
      </c>
      <c r="H32" s="184" t="s">
        <v>354</v>
      </c>
      <c r="I32" s="184" t="s">
        <v>371</v>
      </c>
      <c r="J32" s="157">
        <v>1.0</v>
      </c>
      <c r="K32" s="157" t="s">
        <v>1214</v>
      </c>
      <c r="L32" s="157">
        <v>0.0</v>
      </c>
      <c r="M32" s="157" t="s">
        <v>17</v>
      </c>
      <c r="N32" s="157">
        <v>0.0</v>
      </c>
      <c r="O32" s="157" t="s">
        <v>17</v>
      </c>
      <c r="P32" s="157">
        <v>0.0</v>
      </c>
      <c r="Q32" s="157">
        <v>0.0</v>
      </c>
      <c r="R32" s="157" t="s">
        <v>17</v>
      </c>
      <c r="S32" s="157">
        <v>0.0</v>
      </c>
      <c r="T32" s="157" t="s">
        <v>17</v>
      </c>
      <c r="U32" s="157">
        <v>0.0</v>
      </c>
      <c r="V32" s="157" t="s">
        <v>17</v>
      </c>
      <c r="W32" s="316">
        <f t="shared" ref="W32:W36" si="37">if(sum(L32,N32)&gt;0,0,1)</f>
        <v>1</v>
      </c>
      <c r="X32" s="265">
        <f t="shared" ref="X32:X36" si="38">1-W32</f>
        <v>0</v>
      </c>
      <c r="Y32" s="316">
        <f t="shared" ref="Y32:Y36" si="39">if(sum(Q32,S32,U32)&gt;0,0,1)</f>
        <v>1</v>
      </c>
      <c r="Z32" s="265">
        <f t="shared" ref="Z32:Z36" si="40">1-Y32</f>
        <v>0</v>
      </c>
      <c r="AA32" s="316">
        <f t="shared" ref="AA32:AA36" si="41">if(sum(W32,Y32)=2,1,0)</f>
        <v>1</v>
      </c>
      <c r="AB32" s="265">
        <f t="shared" ref="AB32:AB36" si="42">if(sum(W32,Z32)=2,1,0)</f>
        <v>0</v>
      </c>
      <c r="AC32" s="184">
        <v>0.0</v>
      </c>
      <c r="AD32" s="157" t="s">
        <v>17</v>
      </c>
      <c r="AE32" s="157" t="s">
        <v>17</v>
      </c>
      <c r="AF32" s="157" t="s">
        <v>17</v>
      </c>
      <c r="AG32" s="157" t="s">
        <v>17</v>
      </c>
      <c r="AH32" s="157" t="s">
        <v>17</v>
      </c>
      <c r="AI32" s="157" t="s">
        <v>17</v>
      </c>
      <c r="AJ32" s="157" t="s">
        <v>17</v>
      </c>
      <c r="AK32" s="157" t="s">
        <v>17</v>
      </c>
      <c r="AL32" s="157" t="s">
        <v>17</v>
      </c>
    </row>
    <row r="33" hidden="1">
      <c r="A33" s="265" t="s">
        <v>129</v>
      </c>
      <c r="B33" s="264" t="s">
        <v>564</v>
      </c>
      <c r="C33" s="47" t="s">
        <v>547</v>
      </c>
      <c r="D33" s="48" t="s">
        <v>7</v>
      </c>
      <c r="E33" s="46" t="s">
        <v>8</v>
      </c>
      <c r="F33" s="178" t="s">
        <v>17</v>
      </c>
      <c r="G33" s="320">
        <v>0.0</v>
      </c>
      <c r="H33" s="320" t="s">
        <v>568</v>
      </c>
      <c r="I33" s="320" t="s">
        <v>1272</v>
      </c>
      <c r="J33" s="157">
        <v>1.0</v>
      </c>
      <c r="K33" s="157" t="s">
        <v>1145</v>
      </c>
      <c r="L33" s="157">
        <v>0.0</v>
      </c>
      <c r="M33" s="157" t="s">
        <v>17</v>
      </c>
      <c r="N33" s="157">
        <v>1.0</v>
      </c>
      <c r="O33" s="157" t="s">
        <v>357</v>
      </c>
      <c r="P33" s="157">
        <v>0.0</v>
      </c>
      <c r="Q33" s="157">
        <v>1.0</v>
      </c>
      <c r="R33" s="157" t="s">
        <v>420</v>
      </c>
      <c r="S33" s="157">
        <v>0.0</v>
      </c>
      <c r="T33" s="157" t="s">
        <v>17</v>
      </c>
      <c r="U33" s="44" t="s">
        <v>373</v>
      </c>
      <c r="V33" s="44" t="s">
        <v>373</v>
      </c>
      <c r="W33" s="265">
        <f t="shared" si="37"/>
        <v>0</v>
      </c>
      <c r="X33" s="265">
        <f t="shared" si="38"/>
        <v>1</v>
      </c>
      <c r="Y33" s="265">
        <f t="shared" si="39"/>
        <v>0</v>
      </c>
      <c r="Z33" s="265">
        <f t="shared" si="40"/>
        <v>1</v>
      </c>
      <c r="AA33" s="265">
        <f t="shared" si="41"/>
        <v>0</v>
      </c>
      <c r="AB33" s="265">
        <f t="shared" si="42"/>
        <v>0</v>
      </c>
      <c r="AC33" s="320">
        <v>0.0</v>
      </c>
      <c r="AD33" s="157" t="s">
        <v>1279</v>
      </c>
      <c r="AE33" s="157" t="s">
        <v>17</v>
      </c>
      <c r="AF33" s="157" t="s">
        <v>17</v>
      </c>
      <c r="AG33" s="157" t="s">
        <v>17</v>
      </c>
      <c r="AH33" s="157" t="s">
        <v>17</v>
      </c>
      <c r="AI33" s="157" t="s">
        <v>17</v>
      </c>
      <c r="AJ33" s="157" t="s">
        <v>17</v>
      </c>
      <c r="AK33" s="157" t="s">
        <v>17</v>
      </c>
      <c r="AL33" s="157" t="s">
        <v>17</v>
      </c>
    </row>
    <row r="34">
      <c r="A34" s="264" t="s">
        <v>572</v>
      </c>
      <c r="B34" s="264" t="s">
        <v>573</v>
      </c>
      <c r="C34" s="47" t="s">
        <v>547</v>
      </c>
      <c r="D34" s="48" t="s">
        <v>7</v>
      </c>
      <c r="E34" s="46" t="s">
        <v>67</v>
      </c>
      <c r="F34" s="178" t="s">
        <v>574</v>
      </c>
      <c r="G34" s="158">
        <v>1.0</v>
      </c>
      <c r="H34" s="158" t="s">
        <v>581</v>
      </c>
      <c r="I34" s="158" t="s">
        <v>580</v>
      </c>
      <c r="J34" s="157">
        <v>1.0</v>
      </c>
      <c r="K34" s="157" t="s">
        <v>358</v>
      </c>
      <c r="L34" s="157">
        <v>0.0</v>
      </c>
      <c r="M34" s="157" t="s">
        <v>17</v>
      </c>
      <c r="N34" s="157">
        <v>0.0</v>
      </c>
      <c r="O34" s="157" t="s">
        <v>17</v>
      </c>
      <c r="P34" s="157">
        <v>0.0</v>
      </c>
      <c r="Q34" s="157">
        <v>1.0</v>
      </c>
      <c r="R34" s="157" t="s">
        <v>357</v>
      </c>
      <c r="S34" s="157">
        <v>0.0</v>
      </c>
      <c r="T34" s="157" t="s">
        <v>17</v>
      </c>
      <c r="U34" s="157">
        <v>0.0</v>
      </c>
      <c r="V34" s="157" t="s">
        <v>17</v>
      </c>
      <c r="W34" s="323">
        <f t="shared" si="37"/>
        <v>1</v>
      </c>
      <c r="X34" s="265">
        <f t="shared" si="38"/>
        <v>0</v>
      </c>
      <c r="Y34" s="265">
        <f t="shared" si="39"/>
        <v>0</v>
      </c>
      <c r="Z34" s="323">
        <f t="shared" si="40"/>
        <v>1</v>
      </c>
      <c r="AA34" s="265">
        <f t="shared" si="41"/>
        <v>0</v>
      </c>
      <c r="AB34" s="323">
        <f t="shared" si="42"/>
        <v>1</v>
      </c>
      <c r="AC34" s="158">
        <v>1.0</v>
      </c>
      <c r="AD34" s="157" t="s">
        <v>1265</v>
      </c>
      <c r="AE34" s="157">
        <v>1.0</v>
      </c>
      <c r="AF34" s="157" t="s">
        <v>357</v>
      </c>
      <c r="AG34" s="157" t="s">
        <v>357</v>
      </c>
      <c r="AH34" s="157" t="s">
        <v>17</v>
      </c>
      <c r="AI34" s="157" t="s">
        <v>17</v>
      </c>
      <c r="AJ34" s="157">
        <v>1.0</v>
      </c>
      <c r="AK34" s="157" t="s">
        <v>1280</v>
      </c>
      <c r="AL34" s="158" t="s">
        <v>1271</v>
      </c>
    </row>
    <row r="35">
      <c r="A35" s="264" t="s">
        <v>587</v>
      </c>
      <c r="B35" s="264" t="s">
        <v>588</v>
      </c>
      <c r="C35" s="299">
        <v>43200.0</v>
      </c>
      <c r="D35" s="63" t="s">
        <v>7</v>
      </c>
      <c r="E35" s="46" t="s">
        <v>67</v>
      </c>
      <c r="F35" s="178" t="s">
        <v>574</v>
      </c>
      <c r="G35" s="158">
        <v>1.0</v>
      </c>
      <c r="H35" s="158" t="s">
        <v>399</v>
      </c>
      <c r="I35" s="158" t="s">
        <v>455</v>
      </c>
      <c r="J35" s="265" t="s">
        <v>17</v>
      </c>
      <c r="K35" s="265" t="s">
        <v>17</v>
      </c>
      <c r="L35" s="157">
        <v>0.0</v>
      </c>
      <c r="M35" s="157" t="s">
        <v>17</v>
      </c>
      <c r="N35" s="157">
        <v>0.0</v>
      </c>
      <c r="O35" s="157" t="s">
        <v>17</v>
      </c>
      <c r="P35" s="157">
        <v>0.0</v>
      </c>
      <c r="Q35" s="157">
        <v>1.0</v>
      </c>
      <c r="R35" s="157" t="s">
        <v>1120</v>
      </c>
      <c r="S35" s="157">
        <v>0.0</v>
      </c>
      <c r="T35" s="157" t="s">
        <v>17</v>
      </c>
      <c r="U35" s="44" t="s">
        <v>373</v>
      </c>
      <c r="V35" s="44" t="s">
        <v>373</v>
      </c>
      <c r="W35" s="323">
        <f t="shared" si="37"/>
        <v>1</v>
      </c>
      <c r="X35" s="265">
        <f t="shared" si="38"/>
        <v>0</v>
      </c>
      <c r="Y35" s="265">
        <f t="shared" si="39"/>
        <v>0</v>
      </c>
      <c r="Z35" s="323">
        <f t="shared" si="40"/>
        <v>1</v>
      </c>
      <c r="AA35" s="265">
        <f t="shared" si="41"/>
        <v>0</v>
      </c>
      <c r="AB35" s="323">
        <f t="shared" si="42"/>
        <v>1</v>
      </c>
      <c r="AC35" s="158">
        <v>1.0</v>
      </c>
      <c r="AD35" s="157" t="s">
        <v>1281</v>
      </c>
      <c r="AE35" s="157" t="s">
        <v>17</v>
      </c>
      <c r="AF35" s="157" t="s">
        <v>17</v>
      </c>
      <c r="AG35" s="157" t="s">
        <v>17</v>
      </c>
      <c r="AH35" s="157" t="s">
        <v>17</v>
      </c>
      <c r="AI35" s="157" t="s">
        <v>17</v>
      </c>
      <c r="AJ35" s="157">
        <v>1.0</v>
      </c>
      <c r="AK35" s="157" t="s">
        <v>1280</v>
      </c>
      <c r="AL35" s="158" t="s">
        <v>413</v>
      </c>
    </row>
    <row r="36">
      <c r="A36" s="265" t="s">
        <v>135</v>
      </c>
      <c r="B36" s="264" t="s">
        <v>596</v>
      </c>
      <c r="C36" s="47" t="s">
        <v>547</v>
      </c>
      <c r="D36" s="48" t="s">
        <v>7</v>
      </c>
      <c r="E36" s="46" t="s">
        <v>8</v>
      </c>
      <c r="F36" s="178" t="s">
        <v>17</v>
      </c>
      <c r="G36" s="158">
        <v>1.0</v>
      </c>
      <c r="H36" s="158" t="s">
        <v>601</v>
      </c>
      <c r="I36" s="158" t="s">
        <v>600</v>
      </c>
      <c r="J36" s="157">
        <v>1.0</v>
      </c>
      <c r="K36" s="157" t="s">
        <v>1089</v>
      </c>
      <c r="L36" s="157">
        <v>0.0</v>
      </c>
      <c r="M36" s="157" t="s">
        <v>17</v>
      </c>
      <c r="N36" s="157">
        <v>0.0</v>
      </c>
      <c r="O36" s="157" t="s">
        <v>17</v>
      </c>
      <c r="P36" s="157">
        <v>0.0</v>
      </c>
      <c r="Q36" s="157">
        <v>0.0</v>
      </c>
      <c r="R36" s="157" t="s">
        <v>17</v>
      </c>
      <c r="S36" s="157">
        <v>0.0</v>
      </c>
      <c r="T36" s="157" t="s">
        <v>17</v>
      </c>
      <c r="U36" s="157">
        <v>1.0</v>
      </c>
      <c r="V36" s="157" t="s">
        <v>357</v>
      </c>
      <c r="W36" s="323">
        <f t="shared" si="37"/>
        <v>1</v>
      </c>
      <c r="X36" s="265">
        <f t="shared" si="38"/>
        <v>0</v>
      </c>
      <c r="Y36" s="265">
        <f t="shared" si="39"/>
        <v>0</v>
      </c>
      <c r="Z36" s="323">
        <f t="shared" si="40"/>
        <v>1</v>
      </c>
      <c r="AA36" s="265">
        <f t="shared" si="41"/>
        <v>0</v>
      </c>
      <c r="AB36" s="323">
        <f t="shared" si="42"/>
        <v>1</v>
      </c>
      <c r="AC36" s="158">
        <v>1.0</v>
      </c>
      <c r="AD36" s="157" t="s">
        <v>1265</v>
      </c>
      <c r="AE36" s="157">
        <v>1.0</v>
      </c>
      <c r="AF36" s="157" t="s">
        <v>357</v>
      </c>
      <c r="AG36" s="157" t="s">
        <v>357</v>
      </c>
      <c r="AH36" s="157" t="s">
        <v>17</v>
      </c>
      <c r="AI36" s="157" t="s">
        <v>17</v>
      </c>
      <c r="AJ36" s="157">
        <v>1.0</v>
      </c>
      <c r="AK36" s="157" t="s">
        <v>357</v>
      </c>
      <c r="AL36" s="158" t="s">
        <v>357</v>
      </c>
    </row>
    <row r="37" hidden="1">
      <c r="A37" s="265" t="s">
        <v>138</v>
      </c>
      <c r="B37" s="264" t="s">
        <v>602</v>
      </c>
      <c r="C37" s="47" t="s">
        <v>547</v>
      </c>
      <c r="D37" s="48" t="s">
        <v>37</v>
      </c>
      <c r="E37" s="46" t="s">
        <v>8</v>
      </c>
      <c r="F37" s="178" t="s">
        <v>17</v>
      </c>
      <c r="G37" s="184">
        <v>0.0</v>
      </c>
      <c r="H37" s="184" t="s">
        <v>354</v>
      </c>
      <c r="I37" s="184" t="s">
        <v>371</v>
      </c>
      <c r="J37" s="157">
        <v>1.0</v>
      </c>
      <c r="K37" s="157" t="s">
        <v>357</v>
      </c>
      <c r="L37" s="157">
        <v>0.0</v>
      </c>
      <c r="M37" s="157" t="s">
        <v>17</v>
      </c>
      <c r="N37" s="157">
        <v>0.0</v>
      </c>
      <c r="O37" s="157" t="s">
        <v>17</v>
      </c>
      <c r="P37" s="157">
        <v>0.0</v>
      </c>
      <c r="Q37" s="44" t="s">
        <v>373</v>
      </c>
      <c r="R37" s="44" t="s">
        <v>373</v>
      </c>
      <c r="S37" s="61" t="s">
        <v>373</v>
      </c>
      <c r="T37" s="61" t="s">
        <v>373</v>
      </c>
      <c r="U37" s="62" t="s">
        <v>373</v>
      </c>
      <c r="V37" s="62" t="s">
        <v>373</v>
      </c>
      <c r="W37" s="157" t="s">
        <v>17</v>
      </c>
      <c r="X37" s="157" t="s">
        <v>17</v>
      </c>
      <c r="Y37" s="157" t="s">
        <v>17</v>
      </c>
      <c r="Z37" s="157" t="s">
        <v>17</v>
      </c>
      <c r="AA37" s="157" t="s">
        <v>17</v>
      </c>
      <c r="AB37" s="157" t="s">
        <v>17</v>
      </c>
      <c r="AC37" s="157" t="s">
        <v>17</v>
      </c>
      <c r="AD37" s="157" t="s">
        <v>17</v>
      </c>
      <c r="AE37" s="157">
        <v>1.0</v>
      </c>
      <c r="AF37" s="157" t="s">
        <v>1282</v>
      </c>
      <c r="AG37" s="157" t="s">
        <v>1271</v>
      </c>
      <c r="AH37" s="157" t="s">
        <v>17</v>
      </c>
      <c r="AI37" s="157" t="s">
        <v>17</v>
      </c>
      <c r="AJ37" s="157" t="s">
        <v>17</v>
      </c>
      <c r="AK37" s="157" t="s">
        <v>17</v>
      </c>
      <c r="AL37" s="157" t="s">
        <v>17</v>
      </c>
    </row>
    <row r="38" hidden="1">
      <c r="A38" s="265" t="s">
        <v>141</v>
      </c>
      <c r="B38" s="264" t="s">
        <v>609</v>
      </c>
      <c r="C38" s="47" t="s">
        <v>547</v>
      </c>
      <c r="D38" s="48" t="s">
        <v>7</v>
      </c>
      <c r="E38" s="46" t="s">
        <v>8</v>
      </c>
      <c r="F38" s="178" t="s">
        <v>17</v>
      </c>
      <c r="G38" s="184">
        <v>0.0</v>
      </c>
      <c r="H38" s="184" t="s">
        <v>354</v>
      </c>
      <c r="I38" s="184" t="s">
        <v>371</v>
      </c>
      <c r="J38" s="157">
        <v>1.0</v>
      </c>
      <c r="K38" s="157" t="s">
        <v>363</v>
      </c>
      <c r="L38" s="157">
        <v>0.0</v>
      </c>
      <c r="M38" s="157" t="s">
        <v>17</v>
      </c>
      <c r="N38" s="157">
        <v>0.0</v>
      </c>
      <c r="O38" s="157" t="s">
        <v>17</v>
      </c>
      <c r="P38" s="157">
        <v>0.0</v>
      </c>
      <c r="Q38" s="157">
        <v>0.0</v>
      </c>
      <c r="R38" s="157" t="s">
        <v>17</v>
      </c>
      <c r="S38" s="157">
        <v>0.0</v>
      </c>
      <c r="T38" s="157" t="s">
        <v>17</v>
      </c>
      <c r="U38" s="157">
        <v>0.0</v>
      </c>
      <c r="V38" s="157" t="s">
        <v>17</v>
      </c>
      <c r="W38" s="316">
        <f t="shared" ref="W38:W39" si="43">if(sum(L38,N38)&gt;0,0,1)</f>
        <v>1</v>
      </c>
      <c r="X38" s="265">
        <f t="shared" ref="X38:X39" si="44">1-W38</f>
        <v>0</v>
      </c>
      <c r="Y38" s="316">
        <f t="shared" ref="Y38:Y39" si="45">if(sum(Q38,S38,U38)&gt;0,0,1)</f>
        <v>1</v>
      </c>
      <c r="Z38" s="265">
        <f t="shared" ref="Z38:Z39" si="46">1-Y38</f>
        <v>0</v>
      </c>
      <c r="AA38" s="316">
        <f t="shared" ref="AA38:AA39" si="47">if(sum(W38,Y38)=2,1,0)</f>
        <v>1</v>
      </c>
      <c r="AB38" s="265">
        <f t="shared" ref="AB38:AB39" si="48">if(sum(W38,Z38)=2,1,0)</f>
        <v>0</v>
      </c>
      <c r="AC38" s="184">
        <v>0.0</v>
      </c>
      <c r="AD38" s="157" t="s">
        <v>17</v>
      </c>
      <c r="AE38" s="157">
        <v>1.0</v>
      </c>
      <c r="AF38" s="157" t="s">
        <v>357</v>
      </c>
      <c r="AG38" s="157" t="s">
        <v>1271</v>
      </c>
      <c r="AH38" s="157" t="s">
        <v>17</v>
      </c>
      <c r="AI38" s="157" t="s">
        <v>17</v>
      </c>
      <c r="AJ38" s="157" t="s">
        <v>17</v>
      </c>
      <c r="AK38" s="157" t="s">
        <v>17</v>
      </c>
      <c r="AL38" s="157" t="s">
        <v>17</v>
      </c>
    </row>
    <row r="39" hidden="1">
      <c r="A39" s="264" t="s">
        <v>616</v>
      </c>
      <c r="B39" s="264" t="s">
        <v>617</v>
      </c>
      <c r="C39" s="47" t="s">
        <v>547</v>
      </c>
      <c r="D39" s="48" t="s">
        <v>7</v>
      </c>
      <c r="E39" s="46" t="s">
        <v>8</v>
      </c>
      <c r="F39" s="178" t="s">
        <v>17</v>
      </c>
      <c r="G39" s="184">
        <v>0.0</v>
      </c>
      <c r="H39" s="184" t="s">
        <v>354</v>
      </c>
      <c r="I39" s="184" t="s">
        <v>371</v>
      </c>
      <c r="J39" s="157">
        <v>1.0</v>
      </c>
      <c r="K39" s="157" t="s">
        <v>1090</v>
      </c>
      <c r="L39" s="157">
        <v>0.0</v>
      </c>
      <c r="M39" s="157" t="s">
        <v>17</v>
      </c>
      <c r="N39" s="157">
        <v>0.0</v>
      </c>
      <c r="O39" s="157" t="s">
        <v>17</v>
      </c>
      <c r="P39" s="157">
        <v>0.0</v>
      </c>
      <c r="Q39" s="157">
        <v>0.0</v>
      </c>
      <c r="R39" s="157" t="s">
        <v>17</v>
      </c>
      <c r="S39" s="157">
        <v>1.0</v>
      </c>
      <c r="T39" s="157" t="s">
        <v>413</v>
      </c>
      <c r="U39" s="157">
        <v>0.0</v>
      </c>
      <c r="V39" s="157" t="s">
        <v>17</v>
      </c>
      <c r="W39" s="316">
        <f t="shared" si="43"/>
        <v>1</v>
      </c>
      <c r="X39" s="265">
        <f t="shared" si="44"/>
        <v>0</v>
      </c>
      <c r="Y39" s="265">
        <f t="shared" si="45"/>
        <v>0</v>
      </c>
      <c r="Z39" s="316">
        <f t="shared" si="46"/>
        <v>1</v>
      </c>
      <c r="AA39" s="265">
        <f t="shared" si="47"/>
        <v>0</v>
      </c>
      <c r="AB39" s="316">
        <f t="shared" si="48"/>
        <v>1</v>
      </c>
      <c r="AC39" s="184">
        <v>1.0</v>
      </c>
      <c r="AD39" s="157" t="s">
        <v>1283</v>
      </c>
      <c r="AE39" s="157" t="s">
        <v>17</v>
      </c>
      <c r="AF39" s="157" t="s">
        <v>17</v>
      </c>
      <c r="AG39" s="157" t="s">
        <v>17</v>
      </c>
      <c r="AH39" s="157" t="s">
        <v>17</v>
      </c>
      <c r="AI39" s="157" t="s">
        <v>17</v>
      </c>
      <c r="AJ39" s="157" t="s">
        <v>17</v>
      </c>
      <c r="AK39" s="157" t="s">
        <v>17</v>
      </c>
      <c r="AL39" s="157" t="s">
        <v>17</v>
      </c>
    </row>
    <row r="40" hidden="1">
      <c r="A40" s="265" t="s">
        <v>147</v>
      </c>
      <c r="B40" s="264" t="s">
        <v>626</v>
      </c>
      <c r="C40" s="47" t="s">
        <v>547</v>
      </c>
      <c r="D40" s="48" t="s">
        <v>7</v>
      </c>
      <c r="E40" s="46" t="s">
        <v>67</v>
      </c>
      <c r="F40" s="178" t="s">
        <v>17</v>
      </c>
      <c r="G40" s="265" t="s">
        <v>17</v>
      </c>
      <c r="H40" s="265" t="s">
        <v>17</v>
      </c>
      <c r="I40" s="265" t="s">
        <v>17</v>
      </c>
      <c r="J40" s="44" t="s">
        <v>373</v>
      </c>
      <c r="K40" s="44" t="s">
        <v>373</v>
      </c>
      <c r="L40" s="62" t="s">
        <v>409</v>
      </c>
      <c r="M40" s="62" t="s">
        <v>409</v>
      </c>
      <c r="N40" s="62" t="s">
        <v>409</v>
      </c>
      <c r="O40" s="62" t="s">
        <v>409</v>
      </c>
      <c r="P40" s="157" t="s">
        <v>17</v>
      </c>
      <c r="Q40" s="62" t="s">
        <v>409</v>
      </c>
      <c r="R40" s="62" t="s">
        <v>409</v>
      </c>
      <c r="S40" s="62" t="s">
        <v>409</v>
      </c>
      <c r="T40" s="62" t="s">
        <v>409</v>
      </c>
      <c r="U40" s="62" t="s">
        <v>409</v>
      </c>
      <c r="V40" s="62" t="s">
        <v>409</v>
      </c>
      <c r="W40" s="157" t="s">
        <v>17</v>
      </c>
      <c r="X40" s="157" t="s">
        <v>17</v>
      </c>
      <c r="Y40" s="157" t="s">
        <v>17</v>
      </c>
      <c r="Z40" s="157" t="s">
        <v>17</v>
      </c>
      <c r="AA40" s="157" t="s">
        <v>17</v>
      </c>
      <c r="AB40" s="157" t="s">
        <v>17</v>
      </c>
      <c r="AC40" s="157" t="s">
        <v>17</v>
      </c>
      <c r="AD40" s="157" t="s">
        <v>17</v>
      </c>
      <c r="AE40" s="157" t="s">
        <v>17</v>
      </c>
      <c r="AF40" s="157" t="s">
        <v>17</v>
      </c>
      <c r="AG40" s="157" t="s">
        <v>17</v>
      </c>
      <c r="AH40" s="157" t="s">
        <v>17</v>
      </c>
      <c r="AI40" s="157" t="s">
        <v>17</v>
      </c>
      <c r="AJ40" s="157" t="s">
        <v>17</v>
      </c>
      <c r="AK40" s="157" t="s">
        <v>17</v>
      </c>
      <c r="AL40" s="157" t="s">
        <v>17</v>
      </c>
    </row>
    <row r="41">
      <c r="A41" s="265" t="s">
        <v>152</v>
      </c>
      <c r="B41" s="264" t="s">
        <v>629</v>
      </c>
      <c r="C41" s="47" t="s">
        <v>547</v>
      </c>
      <c r="D41" s="48" t="s">
        <v>37</v>
      </c>
      <c r="E41" s="46" t="s">
        <v>8</v>
      </c>
      <c r="F41" s="178" t="s">
        <v>17</v>
      </c>
      <c r="G41" s="158">
        <v>1.0</v>
      </c>
      <c r="H41" s="158" t="s">
        <v>635</v>
      </c>
      <c r="I41" s="158" t="s">
        <v>600</v>
      </c>
      <c r="J41" s="157">
        <v>1.0</v>
      </c>
      <c r="K41" s="157" t="s">
        <v>1190</v>
      </c>
      <c r="L41" s="157">
        <v>1.0</v>
      </c>
      <c r="M41" s="157" t="s">
        <v>357</v>
      </c>
      <c r="N41" s="157">
        <v>0.0</v>
      </c>
      <c r="O41" s="157" t="s">
        <v>17</v>
      </c>
      <c r="P41" s="157">
        <v>0.0</v>
      </c>
      <c r="Q41" s="157">
        <v>0.0</v>
      </c>
      <c r="R41" s="157" t="s">
        <v>17</v>
      </c>
      <c r="S41" s="157">
        <v>0.0</v>
      </c>
      <c r="T41" s="157" t="s">
        <v>17</v>
      </c>
      <c r="U41" s="157">
        <v>0.0</v>
      </c>
      <c r="V41" s="157" t="s">
        <v>17</v>
      </c>
      <c r="W41" s="324">
        <f>if(sum(L41,N41)&gt;0,0,1)</f>
        <v>0</v>
      </c>
      <c r="X41" s="265">
        <f>1-W41</f>
        <v>1</v>
      </c>
      <c r="Y41" s="324">
        <f>if(sum(Q41,S41,U41)&gt;0,0,1)</f>
        <v>1</v>
      </c>
      <c r="Z41" s="265">
        <f>1-Y41</f>
        <v>0</v>
      </c>
      <c r="AA41" s="324">
        <f>if(sum(W41,Y41)=2,1,0)</f>
        <v>0</v>
      </c>
      <c r="AB41" s="265">
        <f>if(sum(W41,Z41)=2,1,0)</f>
        <v>0</v>
      </c>
      <c r="AC41" s="325">
        <v>0.0</v>
      </c>
      <c r="AD41" s="157" t="s">
        <v>17</v>
      </c>
      <c r="AE41" s="157" t="s">
        <v>17</v>
      </c>
      <c r="AF41" s="157" t="s">
        <v>17</v>
      </c>
      <c r="AG41" s="157" t="s">
        <v>17</v>
      </c>
      <c r="AH41" s="157" t="s">
        <v>17</v>
      </c>
      <c r="AI41" s="157" t="s">
        <v>17</v>
      </c>
      <c r="AJ41" s="157">
        <v>1.0</v>
      </c>
      <c r="AK41" s="157" t="s">
        <v>1090</v>
      </c>
      <c r="AL41" s="325" t="s">
        <v>1271</v>
      </c>
    </row>
    <row r="42" hidden="1">
      <c r="A42" s="265" t="s">
        <v>155</v>
      </c>
      <c r="B42" s="264" t="s">
        <v>638</v>
      </c>
      <c r="C42" s="47" t="s">
        <v>547</v>
      </c>
      <c r="D42" s="48" t="s">
        <v>7</v>
      </c>
      <c r="E42" s="46" t="s">
        <v>67</v>
      </c>
      <c r="F42" s="178" t="s">
        <v>17</v>
      </c>
      <c r="G42" s="265" t="s">
        <v>17</v>
      </c>
      <c r="H42" s="265" t="s">
        <v>17</v>
      </c>
      <c r="I42" s="265" t="s">
        <v>17</v>
      </c>
      <c r="J42" s="62" t="s">
        <v>381</v>
      </c>
      <c r="K42" s="62" t="s">
        <v>381</v>
      </c>
      <c r="L42" s="62" t="s">
        <v>381</v>
      </c>
      <c r="M42" s="62" t="s">
        <v>381</v>
      </c>
      <c r="N42" s="62" t="s">
        <v>381</v>
      </c>
      <c r="O42" s="62" t="s">
        <v>381</v>
      </c>
      <c r="P42" s="157" t="s">
        <v>17</v>
      </c>
      <c r="Q42" s="62" t="s">
        <v>381</v>
      </c>
      <c r="R42" s="62" t="s">
        <v>381</v>
      </c>
      <c r="S42" s="62" t="s">
        <v>381</v>
      </c>
      <c r="T42" s="62" t="s">
        <v>381</v>
      </c>
      <c r="U42" s="62" t="s">
        <v>381</v>
      </c>
      <c r="V42" s="62" t="s">
        <v>381</v>
      </c>
      <c r="W42" s="265" t="s">
        <v>17</v>
      </c>
      <c r="X42" s="265" t="s">
        <v>17</v>
      </c>
      <c r="Y42" s="265" t="s">
        <v>17</v>
      </c>
      <c r="Z42" s="265" t="s">
        <v>17</v>
      </c>
      <c r="AA42" s="265" t="s">
        <v>17</v>
      </c>
      <c r="AB42" s="265" t="s">
        <v>17</v>
      </c>
      <c r="AC42" s="265" t="s">
        <v>17</v>
      </c>
      <c r="AD42" s="265" t="s">
        <v>17</v>
      </c>
      <c r="AE42" s="265" t="s">
        <v>17</v>
      </c>
      <c r="AF42" s="265" t="s">
        <v>17</v>
      </c>
      <c r="AG42" s="265" t="s">
        <v>17</v>
      </c>
      <c r="AH42" s="265" t="s">
        <v>17</v>
      </c>
      <c r="AI42" s="265" t="s">
        <v>17</v>
      </c>
      <c r="AJ42" s="265" t="s">
        <v>17</v>
      </c>
      <c r="AK42" s="265" t="s">
        <v>17</v>
      </c>
      <c r="AL42" s="265" t="s">
        <v>17</v>
      </c>
    </row>
    <row r="43" hidden="1">
      <c r="A43" s="265" t="s">
        <v>158</v>
      </c>
      <c r="B43" s="264" t="s">
        <v>640</v>
      </c>
      <c r="C43" s="47" t="s">
        <v>547</v>
      </c>
      <c r="D43" s="48" t="s">
        <v>7</v>
      </c>
      <c r="E43" s="46" t="s">
        <v>8</v>
      </c>
      <c r="F43" s="178" t="s">
        <v>17</v>
      </c>
      <c r="G43" s="265" t="s">
        <v>17</v>
      </c>
      <c r="H43" s="265" t="s">
        <v>17</v>
      </c>
      <c r="I43" s="265" t="s">
        <v>17</v>
      </c>
      <c r="J43" s="157">
        <v>1.0</v>
      </c>
      <c r="K43" s="157" t="s">
        <v>357</v>
      </c>
      <c r="L43" s="157">
        <v>0.0</v>
      </c>
      <c r="M43" s="157" t="s">
        <v>17</v>
      </c>
      <c r="N43" s="44" t="s">
        <v>373</v>
      </c>
      <c r="O43" s="44" t="s">
        <v>373</v>
      </c>
      <c r="P43" s="157" t="s">
        <v>17</v>
      </c>
      <c r="Q43" s="61" t="s">
        <v>373</v>
      </c>
      <c r="R43" s="61" t="s">
        <v>373</v>
      </c>
      <c r="S43" s="62" t="s">
        <v>373</v>
      </c>
      <c r="T43" s="62" t="s">
        <v>373</v>
      </c>
      <c r="U43" s="62" t="s">
        <v>381</v>
      </c>
      <c r="V43" s="62" t="s">
        <v>381</v>
      </c>
      <c r="W43" s="265" t="s">
        <v>17</v>
      </c>
      <c r="X43" s="265" t="s">
        <v>17</v>
      </c>
      <c r="Y43" s="265" t="s">
        <v>17</v>
      </c>
      <c r="Z43" s="265" t="s">
        <v>17</v>
      </c>
      <c r="AA43" s="265" t="s">
        <v>17</v>
      </c>
      <c r="AB43" s="265" t="s">
        <v>17</v>
      </c>
      <c r="AC43" s="265" t="s">
        <v>17</v>
      </c>
      <c r="AD43" s="265" t="s">
        <v>17</v>
      </c>
      <c r="AE43" s="265" t="s">
        <v>17</v>
      </c>
      <c r="AF43" s="265" t="s">
        <v>17</v>
      </c>
      <c r="AG43" s="265" t="s">
        <v>17</v>
      </c>
      <c r="AH43" s="265" t="s">
        <v>17</v>
      </c>
      <c r="AI43" s="265" t="s">
        <v>17</v>
      </c>
      <c r="AJ43" s="265" t="s">
        <v>17</v>
      </c>
      <c r="AK43" s="265" t="s">
        <v>17</v>
      </c>
      <c r="AL43" s="265" t="s">
        <v>17</v>
      </c>
    </row>
    <row r="44">
      <c r="A44" s="265" t="s">
        <v>161</v>
      </c>
      <c r="B44" s="264" t="s">
        <v>645</v>
      </c>
      <c r="C44" s="47" t="s">
        <v>547</v>
      </c>
      <c r="D44" s="63" t="s">
        <v>37</v>
      </c>
      <c r="E44" s="46" t="s">
        <v>67</v>
      </c>
      <c r="F44" s="178" t="s">
        <v>17</v>
      </c>
      <c r="G44" s="158">
        <v>1.0</v>
      </c>
      <c r="H44" s="158" t="s">
        <v>647</v>
      </c>
      <c r="I44" s="158" t="s">
        <v>600</v>
      </c>
      <c r="J44" s="157">
        <v>1.0</v>
      </c>
      <c r="K44" s="157" t="s">
        <v>1178</v>
      </c>
      <c r="L44" s="157">
        <v>1.0</v>
      </c>
      <c r="M44" s="157" t="s">
        <v>357</v>
      </c>
      <c r="N44" s="157">
        <v>1.0</v>
      </c>
      <c r="O44" s="157" t="s">
        <v>413</v>
      </c>
      <c r="P44" s="157">
        <v>0.0</v>
      </c>
      <c r="Q44" s="157">
        <v>0.0</v>
      </c>
      <c r="R44" s="157" t="s">
        <v>17</v>
      </c>
      <c r="S44" s="157">
        <v>1.0</v>
      </c>
      <c r="T44" s="157" t="s">
        <v>413</v>
      </c>
      <c r="U44" s="157">
        <v>1.0</v>
      </c>
      <c r="V44" s="157" t="s">
        <v>358</v>
      </c>
      <c r="W44" s="265">
        <f t="shared" ref="W44:W48" si="49">if(sum(L44,N44)&gt;0,0,1)</f>
        <v>0</v>
      </c>
      <c r="X44" s="265">
        <f t="shared" ref="X44:X48" si="50">1-W44</f>
        <v>1</v>
      </c>
      <c r="Y44" s="265">
        <f t="shared" ref="Y44:Y48" si="51">if(sum(Q44,S44,U44)&gt;0,0,1)</f>
        <v>0</v>
      </c>
      <c r="Z44" s="265">
        <f t="shared" ref="Z44:Z48" si="52">1-Y44</f>
        <v>1</v>
      </c>
      <c r="AA44" s="265">
        <f t="shared" ref="AA44:AA48" si="53">if(sum(W44,Y44)=2,1,0)</f>
        <v>0</v>
      </c>
      <c r="AB44" s="265">
        <f t="shared" ref="AB44:AB48" si="54">if(sum(W44,Z44)=2,1,0)</f>
        <v>0</v>
      </c>
      <c r="AC44" s="158">
        <v>1.0</v>
      </c>
      <c r="AD44" s="157" t="s">
        <v>1284</v>
      </c>
      <c r="AE44" s="265" t="s">
        <v>17</v>
      </c>
      <c r="AF44" s="265" t="s">
        <v>17</v>
      </c>
      <c r="AG44" s="265" t="s">
        <v>17</v>
      </c>
      <c r="AH44" s="157" t="s">
        <v>17</v>
      </c>
      <c r="AI44" s="157" t="s">
        <v>17</v>
      </c>
      <c r="AJ44" s="157">
        <v>1.0</v>
      </c>
      <c r="AK44" s="157" t="s">
        <v>420</v>
      </c>
      <c r="AL44" s="158" t="s">
        <v>1271</v>
      </c>
    </row>
    <row r="45" hidden="1">
      <c r="A45" s="265" t="s">
        <v>165</v>
      </c>
      <c r="B45" s="264" t="s">
        <v>650</v>
      </c>
      <c r="C45" s="47" t="s">
        <v>547</v>
      </c>
      <c r="D45" s="63" t="s">
        <v>37</v>
      </c>
      <c r="E45" s="46" t="s">
        <v>8</v>
      </c>
      <c r="F45" s="178" t="s">
        <v>17</v>
      </c>
      <c r="G45" s="179">
        <v>1.0</v>
      </c>
      <c r="H45" s="179" t="s">
        <v>354</v>
      </c>
      <c r="I45" s="179" t="s">
        <v>485</v>
      </c>
      <c r="J45" s="157">
        <v>1.0</v>
      </c>
      <c r="K45" s="157" t="s">
        <v>357</v>
      </c>
      <c r="L45" s="157">
        <v>0.0</v>
      </c>
      <c r="M45" s="157" t="s">
        <v>17</v>
      </c>
      <c r="N45" s="157">
        <v>1.0</v>
      </c>
      <c r="O45" s="157" t="s">
        <v>1285</v>
      </c>
      <c r="P45" s="157">
        <v>1.0</v>
      </c>
      <c r="Q45" s="157">
        <v>0.0</v>
      </c>
      <c r="R45" s="157" t="s">
        <v>17</v>
      </c>
      <c r="S45" s="157">
        <v>1.0</v>
      </c>
      <c r="T45" s="157" t="s">
        <v>1115</v>
      </c>
      <c r="U45" s="157">
        <v>1.0</v>
      </c>
      <c r="V45" s="157" t="s">
        <v>420</v>
      </c>
      <c r="W45" s="265">
        <f t="shared" si="49"/>
        <v>0</v>
      </c>
      <c r="X45" s="265">
        <f t="shared" si="50"/>
        <v>1</v>
      </c>
      <c r="Y45" s="265">
        <f t="shared" si="51"/>
        <v>0</v>
      </c>
      <c r="Z45" s="265">
        <f t="shared" si="52"/>
        <v>1</v>
      </c>
      <c r="AA45" s="265">
        <f t="shared" si="53"/>
        <v>0</v>
      </c>
      <c r="AB45" s="265">
        <f t="shared" si="54"/>
        <v>0</v>
      </c>
      <c r="AC45" s="179">
        <v>1.0</v>
      </c>
      <c r="AD45" s="157" t="s">
        <v>1286</v>
      </c>
      <c r="AE45" s="265" t="s">
        <v>17</v>
      </c>
      <c r="AF45" s="265" t="s">
        <v>17</v>
      </c>
      <c r="AG45" s="265" t="s">
        <v>17</v>
      </c>
      <c r="AH45" s="157" t="s">
        <v>17</v>
      </c>
      <c r="AI45" s="157" t="s">
        <v>17</v>
      </c>
      <c r="AJ45" s="157" t="s">
        <v>17</v>
      </c>
      <c r="AK45" s="157" t="s">
        <v>17</v>
      </c>
      <c r="AL45" s="157" t="s">
        <v>17</v>
      </c>
    </row>
    <row r="46" hidden="1">
      <c r="A46" s="265" t="s">
        <v>168</v>
      </c>
      <c r="B46" s="264" t="s">
        <v>656</v>
      </c>
      <c r="C46" s="47" t="s">
        <v>547</v>
      </c>
      <c r="D46" s="48" t="s">
        <v>7</v>
      </c>
      <c r="E46" s="46" t="s">
        <v>8</v>
      </c>
      <c r="F46" s="178" t="s">
        <v>17</v>
      </c>
      <c r="G46" s="184">
        <v>0.0</v>
      </c>
      <c r="H46" s="184" t="s">
        <v>354</v>
      </c>
      <c r="I46" s="184" t="s">
        <v>371</v>
      </c>
      <c r="J46" s="157">
        <v>1.0</v>
      </c>
      <c r="K46" s="157" t="s">
        <v>358</v>
      </c>
      <c r="L46" s="157">
        <v>0.0</v>
      </c>
      <c r="M46" s="157" t="s">
        <v>17</v>
      </c>
      <c r="N46" s="157">
        <v>1.0</v>
      </c>
      <c r="O46" s="157" t="s">
        <v>413</v>
      </c>
      <c r="P46" s="157">
        <v>0.0</v>
      </c>
      <c r="Q46" s="157">
        <v>0.0</v>
      </c>
      <c r="R46" s="157" t="s">
        <v>17</v>
      </c>
      <c r="S46" s="157">
        <v>0.0</v>
      </c>
      <c r="T46" s="157" t="s">
        <v>17</v>
      </c>
      <c r="U46" s="157">
        <v>0.0</v>
      </c>
      <c r="V46" s="157" t="s">
        <v>17</v>
      </c>
      <c r="W46" s="265">
        <f t="shared" si="49"/>
        <v>0</v>
      </c>
      <c r="X46" s="265">
        <f t="shared" si="50"/>
        <v>1</v>
      </c>
      <c r="Y46" s="265">
        <f t="shared" si="51"/>
        <v>1</v>
      </c>
      <c r="Z46" s="265">
        <f t="shared" si="52"/>
        <v>0</v>
      </c>
      <c r="AA46" s="265">
        <f t="shared" si="53"/>
        <v>0</v>
      </c>
      <c r="AB46" s="265">
        <f t="shared" si="54"/>
        <v>0</v>
      </c>
      <c r="AC46" s="184">
        <v>0.0</v>
      </c>
      <c r="AD46" s="157" t="s">
        <v>17</v>
      </c>
      <c r="AE46" s="157">
        <v>1.0</v>
      </c>
      <c r="AF46" s="157" t="s">
        <v>387</v>
      </c>
      <c r="AG46" s="157" t="s">
        <v>1271</v>
      </c>
      <c r="AH46" s="157" t="s">
        <v>17</v>
      </c>
      <c r="AI46" s="157" t="s">
        <v>17</v>
      </c>
      <c r="AJ46" s="157" t="s">
        <v>17</v>
      </c>
      <c r="AK46" s="157" t="s">
        <v>17</v>
      </c>
      <c r="AL46" s="157" t="s">
        <v>17</v>
      </c>
    </row>
    <row r="47">
      <c r="A47" s="265" t="s">
        <v>171</v>
      </c>
      <c r="B47" s="264" t="s">
        <v>658</v>
      </c>
      <c r="C47" s="47" t="s">
        <v>547</v>
      </c>
      <c r="D47" s="48" t="s">
        <v>7</v>
      </c>
      <c r="E47" s="46" t="s">
        <v>67</v>
      </c>
      <c r="F47" s="178" t="s">
        <v>659</v>
      </c>
      <c r="G47" s="158">
        <v>1.0</v>
      </c>
      <c r="H47" s="158" t="s">
        <v>663</v>
      </c>
      <c r="I47" s="158" t="s">
        <v>664</v>
      </c>
      <c r="J47" s="157">
        <v>1.0</v>
      </c>
      <c r="K47" s="157" t="s">
        <v>357</v>
      </c>
      <c r="L47" s="44" t="s">
        <v>373</v>
      </c>
      <c r="M47" s="44" t="s">
        <v>373</v>
      </c>
      <c r="N47" s="157">
        <v>1.0</v>
      </c>
      <c r="O47" s="157" t="s">
        <v>363</v>
      </c>
      <c r="P47" s="157">
        <v>0.0</v>
      </c>
      <c r="Q47" s="157">
        <v>0.0</v>
      </c>
      <c r="R47" s="157" t="s">
        <v>17</v>
      </c>
      <c r="S47" s="157">
        <v>0.0</v>
      </c>
      <c r="T47" s="157" t="s">
        <v>17</v>
      </c>
      <c r="U47" s="157">
        <v>1.0</v>
      </c>
      <c r="V47" s="157" t="s">
        <v>357</v>
      </c>
      <c r="W47" s="265">
        <f t="shared" si="49"/>
        <v>0</v>
      </c>
      <c r="X47" s="265">
        <f t="shared" si="50"/>
        <v>1</v>
      </c>
      <c r="Y47" s="265">
        <f t="shared" si="51"/>
        <v>0</v>
      </c>
      <c r="Z47" s="265">
        <f t="shared" si="52"/>
        <v>1</v>
      </c>
      <c r="AA47" s="265">
        <f t="shared" si="53"/>
        <v>0</v>
      </c>
      <c r="AB47" s="265">
        <f t="shared" si="54"/>
        <v>0</v>
      </c>
      <c r="AC47" s="158">
        <v>1.0</v>
      </c>
      <c r="AD47" s="157" t="s">
        <v>1135</v>
      </c>
      <c r="AE47" s="265" t="s">
        <v>17</v>
      </c>
      <c r="AF47" s="265" t="s">
        <v>17</v>
      </c>
      <c r="AG47" s="265" t="s">
        <v>17</v>
      </c>
      <c r="AH47" s="157">
        <v>1.0</v>
      </c>
      <c r="AI47" s="157" t="s">
        <v>1287</v>
      </c>
      <c r="AJ47" s="157">
        <v>1.0</v>
      </c>
      <c r="AK47" s="157" t="s">
        <v>1115</v>
      </c>
      <c r="AL47" s="158" t="s">
        <v>357</v>
      </c>
    </row>
    <row r="48">
      <c r="A48" s="264" t="s">
        <v>666</v>
      </c>
      <c r="B48" s="264" t="s">
        <v>667</v>
      </c>
      <c r="C48" s="299">
        <v>43200.0</v>
      </c>
      <c r="D48" s="157" t="s">
        <v>1119</v>
      </c>
      <c r="E48" s="46" t="s">
        <v>8</v>
      </c>
      <c r="F48" s="108" t="s">
        <v>659</v>
      </c>
      <c r="G48" s="158">
        <v>1.0</v>
      </c>
      <c r="H48" s="158" t="s">
        <v>670</v>
      </c>
      <c r="I48" s="158" t="s">
        <v>600</v>
      </c>
      <c r="J48" s="265" t="s">
        <v>17</v>
      </c>
      <c r="K48" s="265" t="s">
        <v>17</v>
      </c>
      <c r="L48" s="157">
        <v>0.0</v>
      </c>
      <c r="M48" s="157" t="s">
        <v>17</v>
      </c>
      <c r="N48" s="157">
        <v>1.0</v>
      </c>
      <c r="O48" s="157" t="s">
        <v>413</v>
      </c>
      <c r="P48" s="157">
        <v>0.0</v>
      </c>
      <c r="Q48" s="157">
        <v>1.0</v>
      </c>
      <c r="R48" s="157" t="s">
        <v>1288</v>
      </c>
      <c r="S48" s="157">
        <v>0.0</v>
      </c>
      <c r="T48" s="157" t="s">
        <v>17</v>
      </c>
      <c r="U48" s="157">
        <v>1.0</v>
      </c>
      <c r="V48" s="157" t="s">
        <v>358</v>
      </c>
      <c r="W48" s="265">
        <f t="shared" si="49"/>
        <v>0</v>
      </c>
      <c r="X48" s="265">
        <f t="shared" si="50"/>
        <v>1</v>
      </c>
      <c r="Y48" s="265">
        <f t="shared" si="51"/>
        <v>0</v>
      </c>
      <c r="Z48" s="265">
        <f t="shared" si="52"/>
        <v>1</v>
      </c>
      <c r="AA48" s="265">
        <f t="shared" si="53"/>
        <v>0</v>
      </c>
      <c r="AB48" s="265">
        <f t="shared" si="54"/>
        <v>0</v>
      </c>
      <c r="AC48" s="158">
        <v>1.0</v>
      </c>
      <c r="AD48" s="157" t="s">
        <v>1289</v>
      </c>
      <c r="AE48" s="265" t="s">
        <v>17</v>
      </c>
      <c r="AF48" s="265" t="s">
        <v>17</v>
      </c>
      <c r="AG48" s="265" t="s">
        <v>17</v>
      </c>
      <c r="AH48" s="157" t="s">
        <v>17</v>
      </c>
      <c r="AI48" s="157" t="s">
        <v>17</v>
      </c>
      <c r="AJ48" s="157">
        <v>1.0</v>
      </c>
      <c r="AK48" s="157" t="s">
        <v>1163</v>
      </c>
      <c r="AL48" s="158" t="s">
        <v>357</v>
      </c>
    </row>
    <row r="49" hidden="1">
      <c r="A49" s="265" t="s">
        <v>174</v>
      </c>
      <c r="B49" s="264" t="s">
        <v>673</v>
      </c>
      <c r="C49" s="47" t="s">
        <v>547</v>
      </c>
      <c r="D49" s="48" t="s">
        <v>7</v>
      </c>
      <c r="E49" s="46" t="s">
        <v>8</v>
      </c>
      <c r="F49" s="178" t="s">
        <v>17</v>
      </c>
      <c r="G49" s="265" t="s">
        <v>17</v>
      </c>
      <c r="H49" s="265" t="s">
        <v>17</v>
      </c>
      <c r="I49" s="265" t="s">
        <v>17</v>
      </c>
      <c r="J49" s="44" t="s">
        <v>373</v>
      </c>
      <c r="K49" s="44" t="s">
        <v>373</v>
      </c>
      <c r="L49" s="62" t="s">
        <v>381</v>
      </c>
      <c r="M49" s="62" t="s">
        <v>381</v>
      </c>
      <c r="N49" s="62" t="s">
        <v>381</v>
      </c>
      <c r="O49" s="62" t="s">
        <v>381</v>
      </c>
      <c r="P49" s="157" t="s">
        <v>17</v>
      </c>
      <c r="Q49" s="62" t="s">
        <v>381</v>
      </c>
      <c r="R49" s="62" t="s">
        <v>381</v>
      </c>
      <c r="S49" s="62" t="s">
        <v>381</v>
      </c>
      <c r="T49" s="62" t="s">
        <v>381</v>
      </c>
      <c r="U49" s="62" t="s">
        <v>381</v>
      </c>
      <c r="V49" s="62" t="s">
        <v>381</v>
      </c>
      <c r="W49" s="265" t="s">
        <v>17</v>
      </c>
      <c r="X49" s="265" t="s">
        <v>17</v>
      </c>
      <c r="Y49" s="265" t="s">
        <v>17</v>
      </c>
      <c r="Z49" s="265" t="s">
        <v>17</v>
      </c>
      <c r="AA49" s="265" t="s">
        <v>17</v>
      </c>
      <c r="AB49" s="265" t="s">
        <v>17</v>
      </c>
      <c r="AC49" s="265" t="s">
        <v>17</v>
      </c>
      <c r="AD49" s="265" t="s">
        <v>17</v>
      </c>
      <c r="AE49" s="265" t="s">
        <v>17</v>
      </c>
      <c r="AF49" s="265" t="s">
        <v>17</v>
      </c>
      <c r="AG49" s="265" t="s">
        <v>17</v>
      </c>
      <c r="AH49" s="265" t="s">
        <v>17</v>
      </c>
      <c r="AI49" s="265" t="s">
        <v>17</v>
      </c>
      <c r="AJ49" s="265" t="s">
        <v>17</v>
      </c>
      <c r="AK49" s="265" t="s">
        <v>17</v>
      </c>
      <c r="AL49" s="265" t="s">
        <v>17</v>
      </c>
    </row>
    <row r="50">
      <c r="A50" s="264" t="s">
        <v>675</v>
      </c>
      <c r="B50" s="264" t="s">
        <v>676</v>
      </c>
      <c r="C50" s="47" t="s">
        <v>547</v>
      </c>
      <c r="D50" s="48" t="s">
        <v>37</v>
      </c>
      <c r="E50" s="46" t="s">
        <v>8</v>
      </c>
      <c r="F50" s="178" t="s">
        <v>17</v>
      </c>
      <c r="G50" s="158">
        <v>1.0</v>
      </c>
      <c r="H50" s="158" t="s">
        <v>681</v>
      </c>
      <c r="I50" s="158" t="s">
        <v>455</v>
      </c>
      <c r="J50" s="157">
        <v>1.0</v>
      </c>
      <c r="K50" s="157" t="s">
        <v>357</v>
      </c>
      <c r="L50" s="157">
        <v>1.0</v>
      </c>
      <c r="M50" s="157" t="s">
        <v>357</v>
      </c>
      <c r="N50" s="157">
        <v>0.0</v>
      </c>
      <c r="O50" s="157" t="s">
        <v>17</v>
      </c>
      <c r="P50" s="157">
        <v>0.0</v>
      </c>
      <c r="Q50" s="157">
        <v>0.0</v>
      </c>
      <c r="R50" s="157" t="s">
        <v>17</v>
      </c>
      <c r="S50" s="157">
        <v>0.0</v>
      </c>
      <c r="T50" s="157" t="s">
        <v>17</v>
      </c>
      <c r="U50" s="157">
        <v>0.0</v>
      </c>
      <c r="V50" s="157" t="s">
        <v>17</v>
      </c>
      <c r="W50" s="324">
        <f t="shared" ref="W50:W52" si="55">if(sum(L50,N50)&gt;0,0,1)</f>
        <v>0</v>
      </c>
      <c r="X50" s="265">
        <f t="shared" ref="X50:X52" si="56">1-W50</f>
        <v>1</v>
      </c>
      <c r="Y50" s="324">
        <f t="shared" ref="Y50:Y52" si="57">if(sum(Q50,S50,U50)&gt;0,0,1)</f>
        <v>1</v>
      </c>
      <c r="Z50" s="265">
        <f t="shared" ref="Z50:Z52" si="58">1-Y50</f>
        <v>0</v>
      </c>
      <c r="AA50" s="324">
        <f t="shared" ref="AA50:AA52" si="59">if(sum(W50,Y50)=2,1,0)</f>
        <v>0</v>
      </c>
      <c r="AB50" s="265">
        <f t="shared" ref="AB50:AB52" si="60">if(sum(W50,Z50)=2,1,0)</f>
        <v>0</v>
      </c>
      <c r="AC50" s="325">
        <v>0.0</v>
      </c>
      <c r="AD50" s="157" t="s">
        <v>17</v>
      </c>
      <c r="AE50" s="265" t="s">
        <v>17</v>
      </c>
      <c r="AF50" s="265" t="s">
        <v>17</v>
      </c>
      <c r="AG50" s="265" t="s">
        <v>17</v>
      </c>
      <c r="AH50" s="265" t="s">
        <v>17</v>
      </c>
      <c r="AI50" s="265" t="s">
        <v>17</v>
      </c>
      <c r="AJ50" s="157">
        <v>1.0</v>
      </c>
      <c r="AK50" s="157" t="s">
        <v>357</v>
      </c>
      <c r="AL50" s="325" t="s">
        <v>1271</v>
      </c>
    </row>
    <row r="51" hidden="1">
      <c r="A51" s="265" t="s">
        <v>180</v>
      </c>
      <c r="B51" s="264" t="s">
        <v>685</v>
      </c>
      <c r="C51" s="47" t="s">
        <v>547</v>
      </c>
      <c r="D51" s="48" t="s">
        <v>7</v>
      </c>
      <c r="E51" s="46" t="s">
        <v>8</v>
      </c>
      <c r="F51" s="178" t="s">
        <v>17</v>
      </c>
      <c r="G51" s="179">
        <v>1.0</v>
      </c>
      <c r="H51" s="179" t="s">
        <v>1290</v>
      </c>
      <c r="I51" s="179" t="s">
        <v>690</v>
      </c>
      <c r="J51" s="157">
        <v>1.0</v>
      </c>
      <c r="K51" s="157" t="s">
        <v>413</v>
      </c>
      <c r="L51" s="157">
        <v>0.0</v>
      </c>
      <c r="M51" s="157" t="s">
        <v>17</v>
      </c>
      <c r="N51" s="157">
        <v>1.0</v>
      </c>
      <c r="O51" s="157" t="s">
        <v>1291</v>
      </c>
      <c r="P51" s="157">
        <v>1.0</v>
      </c>
      <c r="Q51" s="157">
        <v>1.0</v>
      </c>
      <c r="R51" s="157" t="s">
        <v>1155</v>
      </c>
      <c r="S51" s="157">
        <v>1.0</v>
      </c>
      <c r="T51" s="157" t="s">
        <v>1090</v>
      </c>
      <c r="U51" s="157">
        <v>1.0</v>
      </c>
      <c r="V51" s="157" t="s">
        <v>1090</v>
      </c>
      <c r="W51" s="265">
        <f t="shared" si="55"/>
        <v>0</v>
      </c>
      <c r="X51" s="265">
        <f t="shared" si="56"/>
        <v>1</v>
      </c>
      <c r="Y51" s="265">
        <f t="shared" si="57"/>
        <v>0</v>
      </c>
      <c r="Z51" s="265">
        <f t="shared" si="58"/>
        <v>1</v>
      </c>
      <c r="AA51" s="265">
        <f t="shared" si="59"/>
        <v>0</v>
      </c>
      <c r="AB51" s="265">
        <f t="shared" si="60"/>
        <v>0</v>
      </c>
      <c r="AC51" s="179">
        <v>0.0</v>
      </c>
      <c r="AD51" s="157" t="s">
        <v>17</v>
      </c>
      <c r="AE51" s="265" t="s">
        <v>17</v>
      </c>
      <c r="AF51" s="265" t="s">
        <v>17</v>
      </c>
      <c r="AG51" s="265" t="s">
        <v>17</v>
      </c>
      <c r="AH51" s="265" t="s">
        <v>17</v>
      </c>
      <c r="AI51" s="265" t="s">
        <v>17</v>
      </c>
      <c r="AJ51" s="265" t="s">
        <v>17</v>
      </c>
      <c r="AK51" s="265" t="s">
        <v>17</v>
      </c>
      <c r="AL51" s="265" t="s">
        <v>17</v>
      </c>
    </row>
    <row r="52">
      <c r="A52" s="264" t="s">
        <v>694</v>
      </c>
      <c r="B52" s="264" t="s">
        <v>695</v>
      </c>
      <c r="C52" s="47" t="s">
        <v>547</v>
      </c>
      <c r="D52" s="48" t="s">
        <v>7</v>
      </c>
      <c r="E52" s="46" t="s">
        <v>8</v>
      </c>
      <c r="F52" s="178" t="s">
        <v>17</v>
      </c>
      <c r="G52" s="158">
        <v>1.0</v>
      </c>
      <c r="H52" s="158" t="s">
        <v>697</v>
      </c>
      <c r="I52" s="158" t="s">
        <v>398</v>
      </c>
      <c r="J52" s="157">
        <v>1.0</v>
      </c>
      <c r="K52" s="157" t="s">
        <v>1155</v>
      </c>
      <c r="L52" s="61" t="s">
        <v>373</v>
      </c>
      <c r="M52" s="61" t="s">
        <v>373</v>
      </c>
      <c r="N52" s="157">
        <v>0.0</v>
      </c>
      <c r="O52" s="157" t="s">
        <v>17</v>
      </c>
      <c r="P52" s="157">
        <v>0.0</v>
      </c>
      <c r="Q52" s="157">
        <v>0.0</v>
      </c>
      <c r="R52" s="157" t="s">
        <v>17</v>
      </c>
      <c r="S52" s="157">
        <v>1.0</v>
      </c>
      <c r="T52" s="157" t="s">
        <v>363</v>
      </c>
      <c r="U52" s="157">
        <v>0.0</v>
      </c>
      <c r="V52" s="157" t="s">
        <v>17</v>
      </c>
      <c r="W52" s="323">
        <f t="shared" si="55"/>
        <v>1</v>
      </c>
      <c r="X52" s="265">
        <f t="shared" si="56"/>
        <v>0</v>
      </c>
      <c r="Y52" s="265">
        <f t="shared" si="57"/>
        <v>0</v>
      </c>
      <c r="Z52" s="323">
        <f t="shared" si="58"/>
        <v>1</v>
      </c>
      <c r="AA52" s="265">
        <f t="shared" si="59"/>
        <v>0</v>
      </c>
      <c r="AB52" s="323">
        <f t="shared" si="60"/>
        <v>1</v>
      </c>
      <c r="AC52" s="158">
        <v>1.0</v>
      </c>
      <c r="AD52" s="157" t="s">
        <v>1273</v>
      </c>
      <c r="AE52" s="265" t="s">
        <v>17</v>
      </c>
      <c r="AF52" s="265" t="s">
        <v>17</v>
      </c>
      <c r="AG52" s="265" t="s">
        <v>17</v>
      </c>
      <c r="AH52" s="265" t="s">
        <v>17</v>
      </c>
      <c r="AI52" s="265" t="s">
        <v>17</v>
      </c>
      <c r="AJ52" s="157">
        <v>1.0</v>
      </c>
      <c r="AK52" s="157" t="s">
        <v>358</v>
      </c>
      <c r="AL52" s="158" t="s">
        <v>1271</v>
      </c>
    </row>
    <row r="53" hidden="1">
      <c r="A53" s="265" t="s">
        <v>186</v>
      </c>
      <c r="B53" s="264" t="s">
        <v>701</v>
      </c>
      <c r="C53" s="47" t="s">
        <v>547</v>
      </c>
      <c r="D53" s="48" t="s">
        <v>7</v>
      </c>
      <c r="E53" s="46" t="s">
        <v>67</v>
      </c>
      <c r="F53" s="178" t="s">
        <v>17</v>
      </c>
      <c r="G53" s="265" t="s">
        <v>17</v>
      </c>
      <c r="H53" s="265" t="s">
        <v>17</v>
      </c>
      <c r="I53" s="265" t="s">
        <v>17</v>
      </c>
      <c r="J53" s="62" t="s">
        <v>381</v>
      </c>
      <c r="K53" s="62" t="s">
        <v>381</v>
      </c>
      <c r="L53" s="62" t="s">
        <v>381</v>
      </c>
      <c r="M53" s="62" t="s">
        <v>381</v>
      </c>
      <c r="N53" s="62" t="s">
        <v>381</v>
      </c>
      <c r="O53" s="62" t="s">
        <v>381</v>
      </c>
      <c r="P53" s="265" t="s">
        <v>17</v>
      </c>
      <c r="Q53" s="62" t="s">
        <v>381</v>
      </c>
      <c r="R53" s="62" t="s">
        <v>381</v>
      </c>
      <c r="S53" s="62" t="s">
        <v>381</v>
      </c>
      <c r="T53" s="62" t="s">
        <v>381</v>
      </c>
      <c r="U53" s="62" t="s">
        <v>381</v>
      </c>
      <c r="V53" s="62" t="s">
        <v>381</v>
      </c>
      <c r="W53" s="265" t="s">
        <v>17</v>
      </c>
      <c r="X53" s="265" t="s">
        <v>17</v>
      </c>
      <c r="Y53" s="265" t="s">
        <v>17</v>
      </c>
      <c r="Z53" s="265" t="s">
        <v>17</v>
      </c>
      <c r="AA53" s="265" t="s">
        <v>17</v>
      </c>
      <c r="AB53" s="265" t="s">
        <v>17</v>
      </c>
      <c r="AC53" s="265" t="s">
        <v>17</v>
      </c>
      <c r="AD53" s="265" t="s">
        <v>17</v>
      </c>
      <c r="AE53" s="265" t="s">
        <v>17</v>
      </c>
      <c r="AF53" s="265" t="s">
        <v>17</v>
      </c>
      <c r="AG53" s="265" t="s">
        <v>17</v>
      </c>
      <c r="AH53" s="265" t="s">
        <v>17</v>
      </c>
      <c r="AI53" s="265" t="s">
        <v>17</v>
      </c>
      <c r="AJ53" s="265" t="s">
        <v>17</v>
      </c>
      <c r="AK53" s="265" t="s">
        <v>17</v>
      </c>
      <c r="AL53" s="265" t="s">
        <v>17</v>
      </c>
    </row>
    <row r="54" hidden="1">
      <c r="A54" s="265" t="s">
        <v>189</v>
      </c>
      <c r="B54" s="264" t="s">
        <v>703</v>
      </c>
      <c r="C54" s="47" t="s">
        <v>547</v>
      </c>
      <c r="D54" s="48" t="s">
        <v>7</v>
      </c>
      <c r="E54" s="46" t="s">
        <v>67</v>
      </c>
      <c r="F54" s="178" t="s">
        <v>17</v>
      </c>
      <c r="G54" s="265" t="s">
        <v>17</v>
      </c>
      <c r="H54" s="265" t="s">
        <v>17</v>
      </c>
      <c r="I54" s="265" t="s">
        <v>17</v>
      </c>
      <c r="J54" s="62" t="s">
        <v>381</v>
      </c>
      <c r="K54" s="62" t="s">
        <v>381</v>
      </c>
      <c r="L54" s="62" t="s">
        <v>381</v>
      </c>
      <c r="M54" s="62" t="s">
        <v>381</v>
      </c>
      <c r="N54" s="62" t="s">
        <v>381</v>
      </c>
      <c r="O54" s="62" t="s">
        <v>381</v>
      </c>
      <c r="P54" s="265" t="s">
        <v>17</v>
      </c>
      <c r="Q54" s="62" t="s">
        <v>381</v>
      </c>
      <c r="R54" s="62" t="s">
        <v>381</v>
      </c>
      <c r="S54" s="62" t="s">
        <v>381</v>
      </c>
      <c r="T54" s="62" t="s">
        <v>381</v>
      </c>
      <c r="U54" s="62" t="s">
        <v>381</v>
      </c>
      <c r="V54" s="62" t="s">
        <v>381</v>
      </c>
      <c r="W54" s="265" t="s">
        <v>17</v>
      </c>
      <c r="X54" s="265" t="s">
        <v>17</v>
      </c>
      <c r="Y54" s="265" t="s">
        <v>17</v>
      </c>
      <c r="Z54" s="265" t="s">
        <v>17</v>
      </c>
      <c r="AA54" s="265" t="s">
        <v>17</v>
      </c>
      <c r="AB54" s="265" t="s">
        <v>17</v>
      </c>
      <c r="AC54" s="265" t="s">
        <v>17</v>
      </c>
      <c r="AD54" s="265" t="s">
        <v>17</v>
      </c>
      <c r="AE54" s="265" t="s">
        <v>17</v>
      </c>
      <c r="AF54" s="265" t="s">
        <v>17</v>
      </c>
      <c r="AG54" s="265" t="s">
        <v>17</v>
      </c>
      <c r="AH54" s="265" t="s">
        <v>17</v>
      </c>
      <c r="AI54" s="265" t="s">
        <v>17</v>
      </c>
      <c r="AJ54" s="265" t="s">
        <v>17</v>
      </c>
      <c r="AK54" s="265" t="s">
        <v>17</v>
      </c>
      <c r="AL54" s="265" t="s">
        <v>17</v>
      </c>
    </row>
    <row r="55" hidden="1">
      <c r="A55" s="265" t="s">
        <v>192</v>
      </c>
      <c r="B55" s="264" t="s">
        <v>705</v>
      </c>
      <c r="C55" s="47" t="s">
        <v>547</v>
      </c>
      <c r="D55" s="48" t="s">
        <v>7</v>
      </c>
      <c r="E55" s="46" t="s">
        <v>67</v>
      </c>
      <c r="F55" s="178" t="s">
        <v>17</v>
      </c>
      <c r="G55" s="265" t="s">
        <v>17</v>
      </c>
      <c r="H55" s="265" t="s">
        <v>17</v>
      </c>
      <c r="I55" s="265" t="s">
        <v>17</v>
      </c>
      <c r="J55" s="44" t="s">
        <v>373</v>
      </c>
      <c r="K55" s="44" t="s">
        <v>373</v>
      </c>
      <c r="L55" s="62" t="s">
        <v>381</v>
      </c>
      <c r="M55" s="62" t="s">
        <v>381</v>
      </c>
      <c r="N55" s="62" t="s">
        <v>381</v>
      </c>
      <c r="O55" s="62" t="s">
        <v>381</v>
      </c>
      <c r="P55" s="265" t="s">
        <v>17</v>
      </c>
      <c r="Q55" s="62" t="s">
        <v>381</v>
      </c>
      <c r="R55" s="62" t="s">
        <v>381</v>
      </c>
      <c r="S55" s="62" t="s">
        <v>381</v>
      </c>
      <c r="T55" s="62" t="s">
        <v>381</v>
      </c>
      <c r="U55" s="62" t="s">
        <v>381</v>
      </c>
      <c r="V55" s="62" t="s">
        <v>381</v>
      </c>
      <c r="W55" s="265" t="s">
        <v>17</v>
      </c>
      <c r="X55" s="265" t="s">
        <v>17</v>
      </c>
      <c r="Y55" s="265" t="s">
        <v>17</v>
      </c>
      <c r="Z55" s="265" t="s">
        <v>17</v>
      </c>
      <c r="AA55" s="265" t="s">
        <v>17</v>
      </c>
      <c r="AB55" s="265" t="s">
        <v>17</v>
      </c>
      <c r="AC55" s="265" t="s">
        <v>17</v>
      </c>
      <c r="AD55" s="265" t="s">
        <v>17</v>
      </c>
      <c r="AE55" s="265" t="s">
        <v>17</v>
      </c>
      <c r="AF55" s="265" t="s">
        <v>17</v>
      </c>
      <c r="AG55" s="265" t="s">
        <v>17</v>
      </c>
      <c r="AH55" s="265" t="s">
        <v>17</v>
      </c>
      <c r="AI55" s="265" t="s">
        <v>17</v>
      </c>
      <c r="AJ55" s="265" t="s">
        <v>17</v>
      </c>
      <c r="AK55" s="265" t="s">
        <v>17</v>
      </c>
      <c r="AL55" s="265" t="s">
        <v>17</v>
      </c>
    </row>
    <row r="56" hidden="1">
      <c r="A56" s="265" t="s">
        <v>195</v>
      </c>
      <c r="B56" s="264" t="s">
        <v>707</v>
      </c>
      <c r="C56" s="47" t="s">
        <v>547</v>
      </c>
      <c r="D56" s="48" t="s">
        <v>7</v>
      </c>
      <c r="E56" s="46" t="s">
        <v>67</v>
      </c>
      <c r="F56" s="178" t="s">
        <v>17</v>
      </c>
      <c r="G56" s="179">
        <v>1.0</v>
      </c>
      <c r="H56" s="179" t="s">
        <v>354</v>
      </c>
      <c r="I56" s="179" t="s">
        <v>446</v>
      </c>
      <c r="J56" s="157">
        <v>1.0</v>
      </c>
      <c r="K56" s="157" t="s">
        <v>357</v>
      </c>
      <c r="L56" s="157">
        <v>1.0</v>
      </c>
      <c r="M56" s="157" t="s">
        <v>357</v>
      </c>
      <c r="N56" s="157">
        <v>1.0</v>
      </c>
      <c r="O56" s="157" t="s">
        <v>357</v>
      </c>
      <c r="P56" s="157">
        <v>0.0</v>
      </c>
      <c r="Q56" s="157">
        <v>1.0</v>
      </c>
      <c r="R56" s="157" t="s">
        <v>357</v>
      </c>
      <c r="S56" s="157">
        <v>1.0</v>
      </c>
      <c r="T56" s="157" t="s">
        <v>357</v>
      </c>
      <c r="U56" s="157">
        <v>1.0</v>
      </c>
      <c r="V56" s="157" t="s">
        <v>357</v>
      </c>
      <c r="W56" s="265">
        <f t="shared" ref="W56:W60" si="61">if(sum(L56,N56)&gt;0,0,1)</f>
        <v>0</v>
      </c>
      <c r="X56" s="265">
        <f t="shared" ref="X56:X60" si="62">1-W56</f>
        <v>1</v>
      </c>
      <c r="Y56" s="265">
        <f t="shared" ref="Y56:Y60" si="63">if(sum(Q56,S56,U56)&gt;0,0,1)</f>
        <v>0</v>
      </c>
      <c r="Z56" s="265">
        <f t="shared" ref="Z56:Z60" si="64">1-Y56</f>
        <v>1</v>
      </c>
      <c r="AA56" s="265">
        <f t="shared" ref="AA56:AA60" si="65">if(sum(W56,Y56)=2,1,0)</f>
        <v>0</v>
      </c>
      <c r="AB56" s="265">
        <f t="shared" ref="AB56:AB60" si="66">if(sum(W56,Z56)=2,1,0)</f>
        <v>0</v>
      </c>
      <c r="AC56" s="179">
        <v>0.0</v>
      </c>
      <c r="AD56" s="157" t="s">
        <v>17</v>
      </c>
      <c r="AE56" s="265" t="s">
        <v>17</v>
      </c>
      <c r="AF56" s="265" t="s">
        <v>17</v>
      </c>
      <c r="AG56" s="265" t="s">
        <v>17</v>
      </c>
      <c r="AH56" s="265" t="s">
        <v>17</v>
      </c>
      <c r="AI56" s="265" t="s">
        <v>17</v>
      </c>
      <c r="AJ56" s="265" t="s">
        <v>17</v>
      </c>
      <c r="AK56" s="265" t="s">
        <v>17</v>
      </c>
      <c r="AL56" s="265" t="s">
        <v>17</v>
      </c>
    </row>
    <row r="57">
      <c r="A57" s="264" t="s">
        <v>712</v>
      </c>
      <c r="B57" s="264" t="s">
        <v>1171</v>
      </c>
      <c r="C57" s="47" t="s">
        <v>547</v>
      </c>
      <c r="D57" s="48" t="s">
        <v>7</v>
      </c>
      <c r="E57" s="46" t="s">
        <v>67</v>
      </c>
      <c r="F57" s="178" t="s">
        <v>17</v>
      </c>
      <c r="G57" s="158">
        <v>1.0</v>
      </c>
      <c r="H57" s="158" t="s">
        <v>718</v>
      </c>
      <c r="I57" s="158" t="s">
        <v>455</v>
      </c>
      <c r="J57" s="157">
        <v>1.0</v>
      </c>
      <c r="K57" s="157" t="s">
        <v>357</v>
      </c>
      <c r="L57" s="44" t="s">
        <v>373</v>
      </c>
      <c r="M57" s="44" t="s">
        <v>373</v>
      </c>
      <c r="N57" s="157">
        <v>0.0</v>
      </c>
      <c r="O57" s="157" t="s">
        <v>17</v>
      </c>
      <c r="P57" s="157">
        <v>0.0</v>
      </c>
      <c r="Q57" s="157">
        <v>0.0</v>
      </c>
      <c r="R57" s="157" t="s">
        <v>17</v>
      </c>
      <c r="S57" s="157">
        <v>0.0</v>
      </c>
      <c r="T57" s="157" t="s">
        <v>17</v>
      </c>
      <c r="U57" s="157">
        <v>0.0</v>
      </c>
      <c r="V57" s="157" t="s">
        <v>17</v>
      </c>
      <c r="W57" s="323">
        <f t="shared" si="61"/>
        <v>1</v>
      </c>
      <c r="X57" s="265">
        <f t="shared" si="62"/>
        <v>0</v>
      </c>
      <c r="Y57" s="323">
        <f t="shared" si="63"/>
        <v>1</v>
      </c>
      <c r="Z57" s="265">
        <f t="shared" si="64"/>
        <v>0</v>
      </c>
      <c r="AA57" s="323">
        <f t="shared" si="65"/>
        <v>1</v>
      </c>
      <c r="AB57" s="265">
        <f t="shared" si="66"/>
        <v>0</v>
      </c>
      <c r="AC57" s="158">
        <v>0.0</v>
      </c>
      <c r="AD57" s="157" t="s">
        <v>17</v>
      </c>
      <c r="AE57" s="157" t="s">
        <v>17</v>
      </c>
      <c r="AF57" s="157" t="s">
        <v>17</v>
      </c>
      <c r="AG57" s="157" t="s">
        <v>17</v>
      </c>
      <c r="AH57" s="157" t="s">
        <v>17</v>
      </c>
      <c r="AI57" s="157" t="s">
        <v>17</v>
      </c>
      <c r="AJ57" s="157">
        <v>1.0</v>
      </c>
      <c r="AK57" s="157" t="s">
        <v>1115</v>
      </c>
      <c r="AL57" s="158" t="s">
        <v>1271</v>
      </c>
    </row>
    <row r="58" hidden="1">
      <c r="A58" s="265" t="s">
        <v>201</v>
      </c>
      <c r="B58" s="264" t="s">
        <v>721</v>
      </c>
      <c r="C58" s="47" t="s">
        <v>547</v>
      </c>
      <c r="D58" s="48" t="s">
        <v>7</v>
      </c>
      <c r="E58" s="46" t="s">
        <v>67</v>
      </c>
      <c r="F58" s="178" t="s">
        <v>17</v>
      </c>
      <c r="G58" s="184">
        <v>0.0</v>
      </c>
      <c r="H58" s="184" t="s">
        <v>354</v>
      </c>
      <c r="I58" s="184" t="s">
        <v>371</v>
      </c>
      <c r="J58" s="157">
        <v>0.0</v>
      </c>
      <c r="K58" s="157" t="s">
        <v>17</v>
      </c>
      <c r="L58" s="157">
        <v>0.0</v>
      </c>
      <c r="M58" s="157" t="s">
        <v>17</v>
      </c>
      <c r="N58" s="157">
        <v>0.0</v>
      </c>
      <c r="O58" s="157" t="s">
        <v>17</v>
      </c>
      <c r="P58" s="157">
        <v>0.0</v>
      </c>
      <c r="Q58" s="157">
        <v>0.0</v>
      </c>
      <c r="R58" s="157" t="s">
        <v>17</v>
      </c>
      <c r="S58" s="157">
        <v>0.0</v>
      </c>
      <c r="T58" s="157" t="s">
        <v>17</v>
      </c>
      <c r="U58" s="157">
        <v>0.0</v>
      </c>
      <c r="V58" s="157" t="s">
        <v>17</v>
      </c>
      <c r="W58" s="316">
        <f t="shared" si="61"/>
        <v>1</v>
      </c>
      <c r="X58" s="265">
        <f t="shared" si="62"/>
        <v>0</v>
      </c>
      <c r="Y58" s="316">
        <f t="shared" si="63"/>
        <v>1</v>
      </c>
      <c r="Z58" s="265">
        <f t="shared" si="64"/>
        <v>0</v>
      </c>
      <c r="AA58" s="316">
        <f t="shared" si="65"/>
        <v>1</v>
      </c>
      <c r="AB58" s="265">
        <f t="shared" si="66"/>
        <v>0</v>
      </c>
      <c r="AC58" s="184">
        <v>0.0</v>
      </c>
      <c r="AD58" s="157" t="s">
        <v>17</v>
      </c>
      <c r="AE58" s="157" t="s">
        <v>17</v>
      </c>
      <c r="AF58" s="157" t="s">
        <v>17</v>
      </c>
      <c r="AG58" s="157" t="s">
        <v>17</v>
      </c>
      <c r="AH58" s="157" t="s">
        <v>17</v>
      </c>
      <c r="AI58" s="157" t="s">
        <v>17</v>
      </c>
      <c r="AJ58" s="157" t="s">
        <v>17</v>
      </c>
      <c r="AK58" s="157" t="s">
        <v>17</v>
      </c>
      <c r="AL58" s="157" t="s">
        <v>17</v>
      </c>
    </row>
    <row r="59">
      <c r="A59" s="265" t="s">
        <v>204</v>
      </c>
      <c r="B59" s="264" t="s">
        <v>725</v>
      </c>
      <c r="C59" s="47" t="s">
        <v>547</v>
      </c>
      <c r="D59" s="63" t="s">
        <v>37</v>
      </c>
      <c r="E59" s="46" t="s">
        <v>67</v>
      </c>
      <c r="F59" s="178" t="s">
        <v>726</v>
      </c>
      <c r="G59" s="158">
        <v>1.0</v>
      </c>
      <c r="H59" s="158" t="s">
        <v>733</v>
      </c>
      <c r="I59" s="158" t="s">
        <v>600</v>
      </c>
      <c r="J59" s="157">
        <v>1.0</v>
      </c>
      <c r="K59" s="157" t="s">
        <v>1103</v>
      </c>
      <c r="L59" s="157">
        <v>0.0</v>
      </c>
      <c r="M59" s="157" t="s">
        <v>17</v>
      </c>
      <c r="N59" s="157">
        <v>1.0</v>
      </c>
      <c r="O59" s="157" t="s">
        <v>358</v>
      </c>
      <c r="P59" s="157">
        <v>0.0</v>
      </c>
      <c r="Q59" s="157">
        <v>1.0</v>
      </c>
      <c r="R59" s="157" t="s">
        <v>1103</v>
      </c>
      <c r="S59" s="157">
        <v>1.0</v>
      </c>
      <c r="T59" s="157" t="s">
        <v>358</v>
      </c>
      <c r="U59" s="157">
        <v>0.0</v>
      </c>
      <c r="V59" s="157" t="s">
        <v>17</v>
      </c>
      <c r="W59" s="265">
        <f t="shared" si="61"/>
        <v>0</v>
      </c>
      <c r="X59" s="265">
        <f t="shared" si="62"/>
        <v>1</v>
      </c>
      <c r="Y59" s="265">
        <f t="shared" si="63"/>
        <v>0</v>
      </c>
      <c r="Z59" s="265">
        <f t="shared" si="64"/>
        <v>1</v>
      </c>
      <c r="AA59" s="265">
        <f t="shared" si="65"/>
        <v>0</v>
      </c>
      <c r="AB59" s="265">
        <f t="shared" si="66"/>
        <v>0</v>
      </c>
      <c r="AC59" s="158">
        <v>1.0</v>
      </c>
      <c r="AD59" s="157" t="s">
        <v>1165</v>
      </c>
      <c r="AE59" s="157" t="s">
        <v>17</v>
      </c>
      <c r="AF59" s="157" t="s">
        <v>17</v>
      </c>
      <c r="AG59" s="157" t="s">
        <v>17</v>
      </c>
      <c r="AH59" s="157" t="s">
        <v>17</v>
      </c>
      <c r="AI59" s="157" t="s">
        <v>17</v>
      </c>
      <c r="AJ59" s="157">
        <v>1.0</v>
      </c>
      <c r="AK59" s="157" t="s">
        <v>358</v>
      </c>
      <c r="AL59" s="158" t="s">
        <v>1271</v>
      </c>
    </row>
    <row r="60" hidden="1">
      <c r="A60" s="264" t="s">
        <v>734</v>
      </c>
      <c r="B60" s="264" t="s">
        <v>735</v>
      </c>
      <c r="C60" s="47" t="s">
        <v>736</v>
      </c>
      <c r="D60" s="157" t="s">
        <v>1119</v>
      </c>
      <c r="E60" s="49" t="s">
        <v>8</v>
      </c>
      <c r="F60" s="178" t="s">
        <v>726</v>
      </c>
      <c r="G60" s="184">
        <v>0.0</v>
      </c>
      <c r="H60" s="184" t="s">
        <v>354</v>
      </c>
      <c r="I60" s="184" t="s">
        <v>371</v>
      </c>
      <c r="J60" s="264" t="s">
        <v>17</v>
      </c>
      <c r="K60" s="264" t="s">
        <v>17</v>
      </c>
      <c r="L60" s="157">
        <v>0.0</v>
      </c>
      <c r="M60" s="157" t="s">
        <v>17</v>
      </c>
      <c r="N60" s="157">
        <v>0.0</v>
      </c>
      <c r="O60" s="157" t="s">
        <v>17</v>
      </c>
      <c r="P60" s="157">
        <v>0.0</v>
      </c>
      <c r="Q60" s="157">
        <v>1.0</v>
      </c>
      <c r="R60" s="157" t="s">
        <v>1103</v>
      </c>
      <c r="S60" s="157">
        <v>1.0</v>
      </c>
      <c r="T60" s="157" t="s">
        <v>1120</v>
      </c>
      <c r="U60" s="157">
        <v>1.0</v>
      </c>
      <c r="V60" s="157" t="s">
        <v>420</v>
      </c>
      <c r="W60" s="316">
        <f t="shared" si="61"/>
        <v>1</v>
      </c>
      <c r="X60" s="265">
        <f t="shared" si="62"/>
        <v>0</v>
      </c>
      <c r="Y60" s="265">
        <f t="shared" si="63"/>
        <v>0</v>
      </c>
      <c r="Z60" s="316">
        <f t="shared" si="64"/>
        <v>1</v>
      </c>
      <c r="AA60" s="265">
        <f t="shared" si="65"/>
        <v>0</v>
      </c>
      <c r="AB60" s="316">
        <f t="shared" si="66"/>
        <v>1</v>
      </c>
      <c r="AC60" s="184">
        <v>1.0</v>
      </c>
      <c r="AD60" s="157" t="s">
        <v>1292</v>
      </c>
      <c r="AE60" s="264" t="s">
        <v>17</v>
      </c>
      <c r="AF60" s="264" t="s">
        <v>17</v>
      </c>
      <c r="AG60" s="264" t="s">
        <v>17</v>
      </c>
      <c r="AH60" s="264" t="s">
        <v>17</v>
      </c>
      <c r="AI60" s="264" t="s">
        <v>17</v>
      </c>
      <c r="AJ60" s="264" t="s">
        <v>17</v>
      </c>
      <c r="AK60" s="264" t="s">
        <v>17</v>
      </c>
      <c r="AL60" s="264" t="s">
        <v>17</v>
      </c>
    </row>
    <row r="61" hidden="1">
      <c r="A61" s="265" t="s">
        <v>207</v>
      </c>
      <c r="B61" s="264" t="s">
        <v>743</v>
      </c>
      <c r="C61" s="47" t="s">
        <v>547</v>
      </c>
      <c r="D61" s="48" t="s">
        <v>7</v>
      </c>
      <c r="E61" s="46" t="s">
        <v>67</v>
      </c>
      <c r="F61" s="5" t="s">
        <v>744</v>
      </c>
      <c r="G61" s="265" t="s">
        <v>17</v>
      </c>
      <c r="H61" s="265" t="s">
        <v>17</v>
      </c>
      <c r="I61" s="265" t="s">
        <v>17</v>
      </c>
      <c r="J61" s="44" t="s">
        <v>373</v>
      </c>
      <c r="K61" s="44" t="s">
        <v>373</v>
      </c>
      <c r="L61" s="62" t="s">
        <v>381</v>
      </c>
      <c r="M61" s="62" t="s">
        <v>381</v>
      </c>
      <c r="N61" s="62" t="s">
        <v>381</v>
      </c>
      <c r="O61" s="62" t="s">
        <v>381</v>
      </c>
      <c r="P61" s="265" t="s">
        <v>17</v>
      </c>
      <c r="Q61" s="62" t="s">
        <v>381</v>
      </c>
      <c r="R61" s="62" t="s">
        <v>381</v>
      </c>
      <c r="S61" s="62" t="s">
        <v>381</v>
      </c>
      <c r="T61" s="62" t="s">
        <v>381</v>
      </c>
      <c r="U61" s="62" t="s">
        <v>381</v>
      </c>
      <c r="V61" s="62" t="s">
        <v>381</v>
      </c>
      <c r="W61" s="265" t="s">
        <v>17</v>
      </c>
      <c r="X61" s="265" t="s">
        <v>17</v>
      </c>
      <c r="Y61" s="265" t="s">
        <v>17</v>
      </c>
      <c r="Z61" s="265" t="s">
        <v>17</v>
      </c>
      <c r="AA61" s="265" t="s">
        <v>17</v>
      </c>
      <c r="AB61" s="265" t="s">
        <v>17</v>
      </c>
      <c r="AC61" s="265" t="s">
        <v>17</v>
      </c>
      <c r="AD61" s="265" t="s">
        <v>17</v>
      </c>
      <c r="AE61" s="265" t="s">
        <v>17</v>
      </c>
      <c r="AF61" s="265" t="s">
        <v>17</v>
      </c>
      <c r="AG61" s="265" t="s">
        <v>17</v>
      </c>
      <c r="AH61" s="265" t="s">
        <v>17</v>
      </c>
      <c r="AI61" s="265" t="s">
        <v>17</v>
      </c>
      <c r="AJ61" s="265" t="s">
        <v>17</v>
      </c>
      <c r="AK61" s="265" t="s">
        <v>17</v>
      </c>
      <c r="AL61" s="265" t="s">
        <v>17</v>
      </c>
    </row>
    <row r="62" hidden="1">
      <c r="A62" s="265" t="s">
        <v>297</v>
      </c>
      <c r="B62" s="265" t="s">
        <v>746</v>
      </c>
      <c r="C62" s="299">
        <v>43200.0</v>
      </c>
      <c r="D62" s="157" t="s">
        <v>1119</v>
      </c>
      <c r="E62" s="120" t="s">
        <v>8</v>
      </c>
      <c r="F62" s="5" t="s">
        <v>744</v>
      </c>
      <c r="G62" s="265" t="s">
        <v>17</v>
      </c>
      <c r="H62" s="265" t="s">
        <v>17</v>
      </c>
      <c r="I62" s="265" t="s">
        <v>17</v>
      </c>
      <c r="J62" s="265" t="s">
        <v>17</v>
      </c>
      <c r="K62" s="265" t="s">
        <v>17</v>
      </c>
      <c r="L62" s="62" t="s">
        <v>381</v>
      </c>
      <c r="M62" s="62" t="s">
        <v>381</v>
      </c>
      <c r="N62" s="62" t="s">
        <v>381</v>
      </c>
      <c r="O62" s="62" t="s">
        <v>381</v>
      </c>
      <c r="P62" s="265" t="s">
        <v>17</v>
      </c>
      <c r="Q62" s="62" t="s">
        <v>381</v>
      </c>
      <c r="R62" s="62" t="s">
        <v>381</v>
      </c>
      <c r="S62" s="62" t="s">
        <v>381</v>
      </c>
      <c r="T62" s="62" t="s">
        <v>381</v>
      </c>
      <c r="U62" s="62" t="s">
        <v>381</v>
      </c>
      <c r="V62" s="62" t="s">
        <v>381</v>
      </c>
      <c r="W62" s="265" t="s">
        <v>17</v>
      </c>
      <c r="X62" s="265" t="s">
        <v>17</v>
      </c>
      <c r="Y62" s="265" t="s">
        <v>17</v>
      </c>
      <c r="Z62" s="265" t="s">
        <v>17</v>
      </c>
      <c r="AA62" s="265" t="s">
        <v>17</v>
      </c>
      <c r="AB62" s="265" t="s">
        <v>17</v>
      </c>
      <c r="AC62" s="265" t="s">
        <v>17</v>
      </c>
      <c r="AD62" s="265" t="s">
        <v>17</v>
      </c>
      <c r="AE62" s="265" t="s">
        <v>17</v>
      </c>
      <c r="AF62" s="265" t="s">
        <v>17</v>
      </c>
      <c r="AG62" s="265" t="s">
        <v>17</v>
      </c>
      <c r="AH62" s="265" t="s">
        <v>17</v>
      </c>
      <c r="AI62" s="265" t="s">
        <v>17</v>
      </c>
      <c r="AJ62" s="265" t="s">
        <v>17</v>
      </c>
      <c r="AK62" s="265" t="s">
        <v>17</v>
      </c>
      <c r="AL62" s="265" t="s">
        <v>17</v>
      </c>
    </row>
    <row r="63" hidden="1">
      <c r="A63" s="265" t="s">
        <v>210</v>
      </c>
      <c r="B63" s="264" t="s">
        <v>748</v>
      </c>
      <c r="C63" s="47" t="s">
        <v>547</v>
      </c>
      <c r="D63" s="48" t="s">
        <v>7</v>
      </c>
      <c r="E63" s="46" t="s">
        <v>67</v>
      </c>
      <c r="F63" s="5" t="s">
        <v>17</v>
      </c>
      <c r="G63" s="320">
        <v>0.0</v>
      </c>
      <c r="H63" s="320" t="s">
        <v>354</v>
      </c>
      <c r="I63" s="320" t="s">
        <v>1267</v>
      </c>
      <c r="J63" s="157">
        <v>1.0</v>
      </c>
      <c r="K63" s="157" t="s">
        <v>380</v>
      </c>
      <c r="L63" s="157">
        <v>1.0</v>
      </c>
      <c r="M63" s="157" t="s">
        <v>357</v>
      </c>
      <c r="N63" s="157">
        <v>0.0</v>
      </c>
      <c r="O63" s="157" t="s">
        <v>17</v>
      </c>
      <c r="P63" s="157">
        <v>0.0</v>
      </c>
      <c r="Q63" s="44" t="s">
        <v>373</v>
      </c>
      <c r="R63" s="44" t="s">
        <v>373</v>
      </c>
      <c r="S63" s="157">
        <v>0.0</v>
      </c>
      <c r="T63" s="157" t="s">
        <v>17</v>
      </c>
      <c r="U63" s="157">
        <v>0.0</v>
      </c>
      <c r="V63" s="157" t="s">
        <v>17</v>
      </c>
      <c r="W63" s="326">
        <f t="shared" ref="W63:W64" si="67">if(sum(L63,N63)&gt;0,0,1)</f>
        <v>0</v>
      </c>
      <c r="X63" s="265">
        <f t="shared" ref="X63:X64" si="68">1-W63</f>
        <v>1</v>
      </c>
      <c r="Y63" s="326">
        <f t="shared" ref="Y63:Y64" si="69">if(sum(Q63,S63,U63)&gt;0,0,1)</f>
        <v>1</v>
      </c>
      <c r="Z63" s="265">
        <f t="shared" ref="Z63:Z64" si="70">1-Y63</f>
        <v>0</v>
      </c>
      <c r="AA63" s="326">
        <f t="shared" ref="AA63:AA64" si="71">if(sum(W63,Y63)=2,1,0)</f>
        <v>0</v>
      </c>
      <c r="AB63" s="326">
        <f t="shared" ref="AB63:AB64" si="72">if(sum(W63,Z63)=2,1,0)</f>
        <v>0</v>
      </c>
      <c r="AC63" s="327">
        <v>0.0</v>
      </c>
      <c r="AD63" s="157" t="s">
        <v>17</v>
      </c>
      <c r="AE63" s="157">
        <v>1.0</v>
      </c>
      <c r="AF63" s="157" t="s">
        <v>357</v>
      </c>
      <c r="AG63" s="157" t="s">
        <v>357</v>
      </c>
      <c r="AH63" s="265" t="s">
        <v>17</v>
      </c>
      <c r="AI63" s="265" t="s">
        <v>17</v>
      </c>
      <c r="AJ63" s="265" t="s">
        <v>17</v>
      </c>
      <c r="AK63" s="265" t="s">
        <v>17</v>
      </c>
      <c r="AL63" s="265" t="s">
        <v>17</v>
      </c>
    </row>
    <row r="64">
      <c r="A64" s="265" t="s">
        <v>213</v>
      </c>
      <c r="B64" s="264" t="s">
        <v>753</v>
      </c>
      <c r="C64" s="47" t="s">
        <v>547</v>
      </c>
      <c r="D64" s="48" t="s">
        <v>7</v>
      </c>
      <c r="E64" s="46" t="s">
        <v>67</v>
      </c>
      <c r="F64" s="108" t="s">
        <v>754</v>
      </c>
      <c r="G64" s="158">
        <v>1.0</v>
      </c>
      <c r="H64" s="158" t="s">
        <v>759</v>
      </c>
      <c r="I64" s="158" t="s">
        <v>398</v>
      </c>
      <c r="J64" s="157">
        <v>1.0</v>
      </c>
      <c r="K64" s="157" t="s">
        <v>1293</v>
      </c>
      <c r="L64" s="157">
        <v>1.0</v>
      </c>
      <c r="M64" s="157" t="s">
        <v>413</v>
      </c>
      <c r="N64" s="157">
        <v>0.0</v>
      </c>
      <c r="O64" s="157" t="s">
        <v>17</v>
      </c>
      <c r="P64" s="157">
        <v>0.0</v>
      </c>
      <c r="Q64" s="157">
        <v>1.0</v>
      </c>
      <c r="R64" s="157" t="s">
        <v>358</v>
      </c>
      <c r="S64" s="157">
        <v>0.0</v>
      </c>
      <c r="T64" s="157" t="s">
        <v>17</v>
      </c>
      <c r="U64" s="157">
        <v>0.0</v>
      </c>
      <c r="V64" s="157" t="s">
        <v>17</v>
      </c>
      <c r="W64" s="324">
        <f t="shared" si="67"/>
        <v>0</v>
      </c>
      <c r="X64" s="265">
        <f t="shared" si="68"/>
        <v>1</v>
      </c>
      <c r="Y64" s="265">
        <f t="shared" si="69"/>
        <v>0</v>
      </c>
      <c r="Z64" s="324">
        <f t="shared" si="70"/>
        <v>1</v>
      </c>
      <c r="AA64" s="265">
        <f t="shared" si="71"/>
        <v>0</v>
      </c>
      <c r="AB64" s="324">
        <f t="shared" si="72"/>
        <v>0</v>
      </c>
      <c r="AC64" s="325">
        <v>1.0</v>
      </c>
      <c r="AD64" s="157" t="s">
        <v>1284</v>
      </c>
      <c r="AE64" s="157">
        <v>0.0</v>
      </c>
      <c r="AF64" s="157" t="s">
        <v>17</v>
      </c>
      <c r="AG64" s="157" t="s">
        <v>1271</v>
      </c>
      <c r="AH64" s="265" t="s">
        <v>17</v>
      </c>
      <c r="AI64" s="265" t="s">
        <v>17</v>
      </c>
      <c r="AJ64" s="157">
        <v>0.0</v>
      </c>
      <c r="AK64" s="157" t="s">
        <v>17</v>
      </c>
      <c r="AL64" s="325" t="s">
        <v>1271</v>
      </c>
    </row>
    <row r="65" hidden="1">
      <c r="A65" s="264" t="s">
        <v>761</v>
      </c>
      <c r="B65" s="264" t="s">
        <v>762</v>
      </c>
      <c r="C65" s="299">
        <v>43200.0</v>
      </c>
      <c r="D65" s="157" t="s">
        <v>1119</v>
      </c>
      <c r="E65" s="46" t="s">
        <v>67</v>
      </c>
      <c r="F65" s="108" t="s">
        <v>754</v>
      </c>
      <c r="G65" s="265" t="s">
        <v>17</v>
      </c>
      <c r="H65" s="265" t="s">
        <v>17</v>
      </c>
      <c r="I65" s="265" t="s">
        <v>17</v>
      </c>
      <c r="J65" s="265" t="s">
        <v>17</v>
      </c>
      <c r="K65" s="265" t="s">
        <v>17</v>
      </c>
      <c r="L65" s="62" t="s">
        <v>381</v>
      </c>
      <c r="M65" s="62" t="s">
        <v>381</v>
      </c>
      <c r="N65" s="62" t="s">
        <v>381</v>
      </c>
      <c r="O65" s="62" t="s">
        <v>381</v>
      </c>
      <c r="P65" s="265" t="s">
        <v>17</v>
      </c>
      <c r="Q65" s="62" t="s">
        <v>381</v>
      </c>
      <c r="R65" s="62" t="s">
        <v>381</v>
      </c>
      <c r="S65" s="62" t="s">
        <v>381</v>
      </c>
      <c r="T65" s="62" t="s">
        <v>381</v>
      </c>
      <c r="U65" s="62" t="s">
        <v>381</v>
      </c>
      <c r="V65" s="62" t="s">
        <v>381</v>
      </c>
      <c r="W65" s="265" t="s">
        <v>17</v>
      </c>
      <c r="X65" s="265" t="s">
        <v>17</v>
      </c>
      <c r="Y65" s="265" t="s">
        <v>17</v>
      </c>
      <c r="Z65" s="265" t="s">
        <v>17</v>
      </c>
      <c r="AA65" s="265" t="s">
        <v>17</v>
      </c>
      <c r="AB65" s="265" t="s">
        <v>17</v>
      </c>
      <c r="AC65" s="265" t="s">
        <v>17</v>
      </c>
      <c r="AD65" s="265" t="s">
        <v>17</v>
      </c>
      <c r="AE65" s="265" t="s">
        <v>17</v>
      </c>
      <c r="AF65" s="265" t="s">
        <v>17</v>
      </c>
      <c r="AG65" s="265" t="s">
        <v>17</v>
      </c>
      <c r="AH65" s="265" t="s">
        <v>17</v>
      </c>
      <c r="AI65" s="265" t="s">
        <v>17</v>
      </c>
      <c r="AJ65" s="265" t="s">
        <v>17</v>
      </c>
      <c r="AK65" s="265" t="s">
        <v>17</v>
      </c>
      <c r="AL65" s="265" t="s">
        <v>17</v>
      </c>
    </row>
    <row r="66">
      <c r="A66" s="265" t="s">
        <v>216</v>
      </c>
      <c r="B66" s="264" t="s">
        <v>764</v>
      </c>
      <c r="C66" s="47" t="s">
        <v>547</v>
      </c>
      <c r="D66" s="48" t="s">
        <v>37</v>
      </c>
      <c r="E66" s="46" t="s">
        <v>67</v>
      </c>
      <c r="F66" s="178" t="s">
        <v>17</v>
      </c>
      <c r="G66" s="158">
        <v>1.0</v>
      </c>
      <c r="H66" s="158" t="s">
        <v>766</v>
      </c>
      <c r="I66" s="158" t="s">
        <v>600</v>
      </c>
      <c r="J66" s="157">
        <v>1.0</v>
      </c>
      <c r="K66" s="157" t="s">
        <v>363</v>
      </c>
      <c r="L66" s="157">
        <v>0.0</v>
      </c>
      <c r="M66" s="157" t="s">
        <v>17</v>
      </c>
      <c r="N66" s="157">
        <v>0.0</v>
      </c>
      <c r="O66" s="157" t="s">
        <v>17</v>
      </c>
      <c r="P66" s="157">
        <v>0.0</v>
      </c>
      <c r="Q66" s="157">
        <v>0.0</v>
      </c>
      <c r="R66" s="157" t="s">
        <v>17</v>
      </c>
      <c r="S66" s="157">
        <v>0.0</v>
      </c>
      <c r="T66" s="157" t="s">
        <v>17</v>
      </c>
      <c r="U66" s="157">
        <v>0.0</v>
      </c>
      <c r="V66" s="157" t="s">
        <v>17</v>
      </c>
      <c r="W66" s="323">
        <f>if(sum(L66,N66)&gt;0,0,1)</f>
        <v>1</v>
      </c>
      <c r="X66" s="265">
        <f>1-W66</f>
        <v>0</v>
      </c>
      <c r="Y66" s="323">
        <f>if(sum(Q66,S66,U66)&gt;0,0,1)</f>
        <v>1</v>
      </c>
      <c r="Z66" s="265">
        <f>1-Y66</f>
        <v>0</v>
      </c>
      <c r="AA66" s="323">
        <f>if(sum(W66,Y66)=2,1,0)</f>
        <v>1</v>
      </c>
      <c r="AB66" s="265">
        <f>if(sum(W66,Z66)=2,1,0)</f>
        <v>0</v>
      </c>
      <c r="AC66" s="158">
        <v>0.0</v>
      </c>
      <c r="AD66" s="157" t="s">
        <v>17</v>
      </c>
      <c r="AE66" s="265" t="s">
        <v>17</v>
      </c>
      <c r="AF66" s="265" t="s">
        <v>17</v>
      </c>
      <c r="AG66" s="265" t="s">
        <v>17</v>
      </c>
      <c r="AH66" s="265" t="s">
        <v>17</v>
      </c>
      <c r="AI66" s="265" t="s">
        <v>17</v>
      </c>
      <c r="AJ66" s="157">
        <v>1.0</v>
      </c>
      <c r="AK66" s="157" t="s">
        <v>1090</v>
      </c>
      <c r="AL66" s="158" t="s">
        <v>1271</v>
      </c>
    </row>
    <row r="67" hidden="1">
      <c r="A67" s="264" t="s">
        <v>768</v>
      </c>
      <c r="B67" s="264" t="s">
        <v>769</v>
      </c>
      <c r="C67" s="47" t="s">
        <v>547</v>
      </c>
      <c r="D67" s="48" t="s">
        <v>7</v>
      </c>
      <c r="E67" s="46" t="s">
        <v>67</v>
      </c>
      <c r="F67" s="178" t="s">
        <v>17</v>
      </c>
      <c r="G67" s="265" t="s">
        <v>17</v>
      </c>
      <c r="H67" s="265" t="s">
        <v>17</v>
      </c>
      <c r="I67" s="265" t="s">
        <v>17</v>
      </c>
      <c r="J67" s="157">
        <v>1.0</v>
      </c>
      <c r="K67" s="157" t="s">
        <v>357</v>
      </c>
      <c r="L67" s="157">
        <v>0.0</v>
      </c>
      <c r="M67" s="157" t="s">
        <v>17</v>
      </c>
      <c r="N67" s="44" t="s">
        <v>373</v>
      </c>
      <c r="O67" s="44" t="s">
        <v>373</v>
      </c>
      <c r="P67" s="157" t="s">
        <v>17</v>
      </c>
      <c r="Q67" s="157">
        <v>1.0</v>
      </c>
      <c r="R67" s="157" t="s">
        <v>1285</v>
      </c>
      <c r="S67" s="157">
        <v>1.0</v>
      </c>
      <c r="T67" s="157" t="s">
        <v>357</v>
      </c>
      <c r="U67" s="157">
        <v>0.0</v>
      </c>
      <c r="V67" s="157" t="s">
        <v>17</v>
      </c>
      <c r="W67" s="265" t="s">
        <v>17</v>
      </c>
      <c r="X67" s="265" t="s">
        <v>17</v>
      </c>
      <c r="Y67" s="265" t="s">
        <v>17</v>
      </c>
      <c r="Z67" s="265" t="s">
        <v>17</v>
      </c>
      <c r="AA67" s="265" t="s">
        <v>17</v>
      </c>
      <c r="AB67" s="265" t="s">
        <v>17</v>
      </c>
      <c r="AC67" s="265" t="s">
        <v>17</v>
      </c>
      <c r="AD67" s="265" t="s">
        <v>17</v>
      </c>
      <c r="AE67" s="265" t="s">
        <v>17</v>
      </c>
      <c r="AF67" s="265" t="s">
        <v>17</v>
      </c>
      <c r="AG67" s="265" t="s">
        <v>17</v>
      </c>
      <c r="AH67" s="265" t="s">
        <v>17</v>
      </c>
      <c r="AI67" s="265" t="s">
        <v>17</v>
      </c>
      <c r="AJ67" s="265" t="s">
        <v>17</v>
      </c>
      <c r="AK67" s="265" t="s">
        <v>17</v>
      </c>
      <c r="AL67" s="265" t="s">
        <v>17</v>
      </c>
    </row>
    <row r="68">
      <c r="A68" s="264" t="s">
        <v>774</v>
      </c>
      <c r="B68" s="264" t="s">
        <v>775</v>
      </c>
      <c r="C68" s="47" t="s">
        <v>547</v>
      </c>
      <c r="D68" s="48" t="s">
        <v>7</v>
      </c>
      <c r="E68" s="46" t="s">
        <v>67</v>
      </c>
      <c r="F68" s="5" t="s">
        <v>776</v>
      </c>
      <c r="G68" s="158">
        <v>1.0</v>
      </c>
      <c r="H68" s="158" t="s">
        <v>778</v>
      </c>
      <c r="I68" s="158" t="s">
        <v>455</v>
      </c>
      <c r="J68" s="157">
        <v>1.0</v>
      </c>
      <c r="K68" s="157" t="s">
        <v>357</v>
      </c>
      <c r="L68" s="44" t="s">
        <v>373</v>
      </c>
      <c r="M68" s="44" t="s">
        <v>373</v>
      </c>
      <c r="N68" s="157">
        <v>0.0</v>
      </c>
      <c r="O68" s="157" t="s">
        <v>17</v>
      </c>
      <c r="P68" s="157">
        <v>0.0</v>
      </c>
      <c r="Q68" s="157">
        <v>0.0</v>
      </c>
      <c r="R68" s="157" t="s">
        <v>17</v>
      </c>
      <c r="S68" s="157">
        <v>0.0</v>
      </c>
      <c r="T68" s="157" t="s">
        <v>17</v>
      </c>
      <c r="U68" s="157">
        <v>1.0</v>
      </c>
      <c r="V68" s="157" t="s">
        <v>1188</v>
      </c>
      <c r="W68" s="323">
        <f t="shared" ref="W68:W77" si="73">if(sum(L68,N68)&gt;0,0,1)</f>
        <v>1</v>
      </c>
      <c r="X68" s="265">
        <f t="shared" ref="X68:X77" si="74">1-W68</f>
        <v>0</v>
      </c>
      <c r="Y68" s="265">
        <f t="shared" ref="Y68:Y77" si="75">if(sum(Q68,S68,U68)&gt;0,0,1)</f>
        <v>0</v>
      </c>
      <c r="Z68" s="323">
        <f t="shared" ref="Z68:Z77" si="76">1-Y68</f>
        <v>1</v>
      </c>
      <c r="AA68" s="265">
        <f t="shared" ref="AA68:AA77" si="77">if(sum(W68,Y68)=2,1,0)</f>
        <v>0</v>
      </c>
      <c r="AB68" s="323">
        <f t="shared" ref="AB68:AB77" si="78">if(sum(W68,Z68)=2,1,0)</f>
        <v>1</v>
      </c>
      <c r="AC68" s="158">
        <v>1.0</v>
      </c>
      <c r="AD68" s="157" t="s">
        <v>1294</v>
      </c>
      <c r="AE68" s="265" t="s">
        <v>17</v>
      </c>
      <c r="AF68" s="265" t="s">
        <v>17</v>
      </c>
      <c r="AG68" s="265" t="s">
        <v>17</v>
      </c>
      <c r="AH68" s="265" t="s">
        <v>17</v>
      </c>
      <c r="AI68" s="265" t="s">
        <v>17</v>
      </c>
      <c r="AJ68" s="157">
        <v>1.0</v>
      </c>
      <c r="AK68" s="157" t="s">
        <v>1103</v>
      </c>
      <c r="AL68" s="158" t="s">
        <v>1271</v>
      </c>
    </row>
    <row r="69">
      <c r="A69" s="264" t="s">
        <v>782</v>
      </c>
      <c r="B69" s="264" t="s">
        <v>783</v>
      </c>
      <c r="C69" s="299">
        <v>43200.0</v>
      </c>
      <c r="D69" s="157" t="s">
        <v>1119</v>
      </c>
      <c r="E69" s="46" t="s">
        <v>67</v>
      </c>
      <c r="F69" s="5" t="s">
        <v>776</v>
      </c>
      <c r="G69" s="158">
        <v>1.0</v>
      </c>
      <c r="H69" s="158" t="s">
        <v>785</v>
      </c>
      <c r="I69" s="158" t="s">
        <v>556</v>
      </c>
      <c r="J69" s="265" t="s">
        <v>17</v>
      </c>
      <c r="K69" s="265" t="s">
        <v>17</v>
      </c>
      <c r="L69" s="44" t="s">
        <v>373</v>
      </c>
      <c r="M69" s="44" t="s">
        <v>373</v>
      </c>
      <c r="N69" s="157">
        <v>1.0</v>
      </c>
      <c r="O69" s="157" t="s">
        <v>420</v>
      </c>
      <c r="P69" s="157">
        <v>0.0</v>
      </c>
      <c r="Q69" s="157">
        <v>1.0</v>
      </c>
      <c r="R69" s="157" t="s">
        <v>420</v>
      </c>
      <c r="S69" s="157">
        <v>0.0</v>
      </c>
      <c r="T69" s="157" t="s">
        <v>17</v>
      </c>
      <c r="U69" s="157">
        <v>1.0</v>
      </c>
      <c r="V69" s="157" t="s">
        <v>1103</v>
      </c>
      <c r="W69" s="265">
        <f t="shared" si="73"/>
        <v>0</v>
      </c>
      <c r="X69" s="265">
        <f t="shared" si="74"/>
        <v>1</v>
      </c>
      <c r="Y69" s="265">
        <f t="shared" si="75"/>
        <v>0</v>
      </c>
      <c r="Z69" s="265">
        <f t="shared" si="76"/>
        <v>1</v>
      </c>
      <c r="AA69" s="265">
        <f t="shared" si="77"/>
        <v>0</v>
      </c>
      <c r="AB69" s="265">
        <f t="shared" si="78"/>
        <v>0</v>
      </c>
      <c r="AC69" s="158">
        <v>1.0</v>
      </c>
      <c r="AD69" s="157" t="s">
        <v>1295</v>
      </c>
      <c r="AE69" s="265" t="s">
        <v>17</v>
      </c>
      <c r="AF69" s="265" t="s">
        <v>17</v>
      </c>
      <c r="AG69" s="265" t="s">
        <v>17</v>
      </c>
      <c r="AH69" s="265" t="s">
        <v>17</v>
      </c>
      <c r="AI69" s="265" t="s">
        <v>17</v>
      </c>
      <c r="AJ69" s="157">
        <v>1.0</v>
      </c>
      <c r="AK69" s="157" t="s">
        <v>1103</v>
      </c>
      <c r="AL69" s="158" t="s">
        <v>1103</v>
      </c>
    </row>
    <row r="70">
      <c r="A70" s="265" t="s">
        <v>225</v>
      </c>
      <c r="B70" s="265" t="s">
        <v>789</v>
      </c>
      <c r="C70" s="47" t="s">
        <v>547</v>
      </c>
      <c r="D70" s="48" t="s">
        <v>7</v>
      </c>
      <c r="E70" s="46" t="s">
        <v>67</v>
      </c>
      <c r="F70" s="108" t="s">
        <v>790</v>
      </c>
      <c r="G70" s="158">
        <v>1.0</v>
      </c>
      <c r="H70" s="158" t="s">
        <v>794</v>
      </c>
      <c r="I70" s="158" t="s">
        <v>600</v>
      </c>
      <c r="J70" s="157">
        <v>1.0</v>
      </c>
      <c r="K70" s="157" t="s">
        <v>357</v>
      </c>
      <c r="L70" s="157">
        <v>1.0</v>
      </c>
      <c r="M70" s="157" t="s">
        <v>363</v>
      </c>
      <c r="N70" s="157">
        <v>1.0</v>
      </c>
      <c r="O70" s="157" t="s">
        <v>358</v>
      </c>
      <c r="P70" s="157">
        <v>0.0</v>
      </c>
      <c r="Q70" s="157">
        <v>0.0</v>
      </c>
      <c r="R70" s="157" t="s">
        <v>17</v>
      </c>
      <c r="S70" s="157">
        <v>1.0</v>
      </c>
      <c r="T70" s="157" t="s">
        <v>357</v>
      </c>
      <c r="U70" s="157">
        <v>1.0</v>
      </c>
      <c r="V70" s="157" t="s">
        <v>1296</v>
      </c>
      <c r="W70" s="265">
        <f t="shared" si="73"/>
        <v>0</v>
      </c>
      <c r="X70" s="265">
        <f t="shared" si="74"/>
        <v>1</v>
      </c>
      <c r="Y70" s="265">
        <f t="shared" si="75"/>
        <v>0</v>
      </c>
      <c r="Z70" s="265">
        <f t="shared" si="76"/>
        <v>1</v>
      </c>
      <c r="AA70" s="265">
        <f t="shared" si="77"/>
        <v>0</v>
      </c>
      <c r="AB70" s="265">
        <f t="shared" si="78"/>
        <v>0</v>
      </c>
      <c r="AC70" s="158">
        <v>1.0</v>
      </c>
      <c r="AD70" s="157" t="s">
        <v>1297</v>
      </c>
      <c r="AE70" s="157">
        <v>1.0</v>
      </c>
      <c r="AF70" s="157" t="s">
        <v>1163</v>
      </c>
      <c r="AG70" s="157" t="s">
        <v>357</v>
      </c>
      <c r="AH70" s="265" t="s">
        <v>17</v>
      </c>
      <c r="AI70" s="265" t="s">
        <v>17</v>
      </c>
      <c r="AJ70" s="157">
        <v>1.0</v>
      </c>
      <c r="AK70" s="157" t="s">
        <v>1298</v>
      </c>
      <c r="AL70" s="158" t="s">
        <v>1271</v>
      </c>
    </row>
    <row r="71" hidden="1">
      <c r="A71" s="264" t="s">
        <v>796</v>
      </c>
      <c r="B71" s="264" t="s">
        <v>797</v>
      </c>
      <c r="C71" s="47" t="s">
        <v>736</v>
      </c>
      <c r="D71" s="157" t="s">
        <v>1119</v>
      </c>
      <c r="E71" s="49" t="s">
        <v>67</v>
      </c>
      <c r="F71" s="108" t="s">
        <v>790</v>
      </c>
      <c r="G71" s="179">
        <v>1.0</v>
      </c>
      <c r="H71" s="179" t="s">
        <v>354</v>
      </c>
      <c r="I71" s="201" t="s">
        <v>485</v>
      </c>
      <c r="J71" s="264" t="s">
        <v>17</v>
      </c>
      <c r="K71" s="264" t="s">
        <v>17</v>
      </c>
      <c r="L71" s="264">
        <v>0.0</v>
      </c>
      <c r="M71" s="264" t="s">
        <v>17</v>
      </c>
      <c r="N71" s="264">
        <v>0.0</v>
      </c>
      <c r="O71" s="264" t="s">
        <v>17</v>
      </c>
      <c r="P71" s="157">
        <v>1.0</v>
      </c>
      <c r="Q71" s="157">
        <v>0.0</v>
      </c>
      <c r="R71" s="157" t="s">
        <v>17</v>
      </c>
      <c r="S71" s="157">
        <v>1.0</v>
      </c>
      <c r="T71" s="157" t="s">
        <v>1190</v>
      </c>
      <c r="U71" s="157">
        <v>0.0</v>
      </c>
      <c r="V71" s="157" t="s">
        <v>17</v>
      </c>
      <c r="W71" s="322">
        <f t="shared" si="73"/>
        <v>1</v>
      </c>
      <c r="X71" s="265">
        <f t="shared" si="74"/>
        <v>0</v>
      </c>
      <c r="Y71" s="265">
        <f t="shared" si="75"/>
        <v>0</v>
      </c>
      <c r="Z71" s="322">
        <f t="shared" si="76"/>
        <v>1</v>
      </c>
      <c r="AA71" s="265">
        <f t="shared" si="77"/>
        <v>0</v>
      </c>
      <c r="AB71" s="322">
        <f t="shared" si="78"/>
        <v>1</v>
      </c>
      <c r="AC71" s="179">
        <v>1.0</v>
      </c>
      <c r="AD71" s="157" t="s">
        <v>1299</v>
      </c>
      <c r="AE71" s="264" t="s">
        <v>17</v>
      </c>
      <c r="AF71" s="264" t="s">
        <v>17</v>
      </c>
      <c r="AG71" s="264" t="s">
        <v>17</v>
      </c>
      <c r="AH71" s="264" t="s">
        <v>17</v>
      </c>
      <c r="AI71" s="264" t="s">
        <v>17</v>
      </c>
      <c r="AJ71" s="264" t="s">
        <v>17</v>
      </c>
      <c r="AK71" s="264" t="s">
        <v>17</v>
      </c>
      <c r="AL71" s="264" t="s">
        <v>17</v>
      </c>
    </row>
    <row r="72" hidden="1">
      <c r="A72" s="265" t="s">
        <v>228</v>
      </c>
      <c r="B72" s="264" t="s">
        <v>801</v>
      </c>
      <c r="C72" s="47" t="s">
        <v>547</v>
      </c>
      <c r="D72" s="63" t="s">
        <v>37</v>
      </c>
      <c r="E72" s="46" t="s">
        <v>67</v>
      </c>
      <c r="F72" s="178" t="s">
        <v>17</v>
      </c>
      <c r="G72" s="320">
        <v>0.0</v>
      </c>
      <c r="H72" s="320" t="s">
        <v>354</v>
      </c>
      <c r="I72" s="320" t="s">
        <v>1267</v>
      </c>
      <c r="J72" s="157">
        <v>1.0</v>
      </c>
      <c r="K72" s="157" t="s">
        <v>1229</v>
      </c>
      <c r="L72" s="157">
        <v>1.0</v>
      </c>
      <c r="M72" s="157" t="s">
        <v>389</v>
      </c>
      <c r="N72" s="157">
        <v>1.0</v>
      </c>
      <c r="O72" s="157" t="s">
        <v>413</v>
      </c>
      <c r="P72" s="157">
        <v>0.0</v>
      </c>
      <c r="Q72" s="157">
        <v>1.0</v>
      </c>
      <c r="R72" s="157" t="s">
        <v>413</v>
      </c>
      <c r="S72" s="157">
        <v>0.0</v>
      </c>
      <c r="T72" s="157" t="s">
        <v>17</v>
      </c>
      <c r="U72" s="157">
        <v>1.0</v>
      </c>
      <c r="V72" s="157" t="s">
        <v>420</v>
      </c>
      <c r="W72" s="265">
        <f t="shared" si="73"/>
        <v>0</v>
      </c>
      <c r="X72" s="265">
        <f t="shared" si="74"/>
        <v>1</v>
      </c>
      <c r="Y72" s="265">
        <f t="shared" si="75"/>
        <v>0</v>
      </c>
      <c r="Z72" s="265">
        <f t="shared" si="76"/>
        <v>1</v>
      </c>
      <c r="AA72" s="265">
        <f t="shared" si="77"/>
        <v>0</v>
      </c>
      <c r="AB72" s="265">
        <f t="shared" si="78"/>
        <v>0</v>
      </c>
      <c r="AC72" s="320">
        <v>1.0</v>
      </c>
      <c r="AD72" s="157" t="s">
        <v>1300</v>
      </c>
      <c r="AE72" s="157">
        <v>1.0</v>
      </c>
      <c r="AF72" s="157" t="s">
        <v>420</v>
      </c>
      <c r="AG72" s="157" t="s">
        <v>420</v>
      </c>
      <c r="AH72" s="264" t="s">
        <v>17</v>
      </c>
      <c r="AI72" s="264" t="s">
        <v>17</v>
      </c>
      <c r="AJ72" s="264" t="s">
        <v>17</v>
      </c>
      <c r="AK72" s="264" t="s">
        <v>17</v>
      </c>
      <c r="AL72" s="264" t="s">
        <v>17</v>
      </c>
    </row>
    <row r="73">
      <c r="A73" s="265" t="s">
        <v>231</v>
      </c>
      <c r="B73" s="264" t="s">
        <v>808</v>
      </c>
      <c r="C73" s="47" t="s">
        <v>547</v>
      </c>
      <c r="D73" s="48" t="s">
        <v>7</v>
      </c>
      <c r="E73" s="46" t="s">
        <v>67</v>
      </c>
      <c r="F73" s="108" t="s">
        <v>809</v>
      </c>
      <c r="G73" s="158">
        <v>2.0</v>
      </c>
      <c r="H73" s="158" t="s">
        <v>815</v>
      </c>
      <c r="I73" s="158" t="s">
        <v>398</v>
      </c>
      <c r="J73" s="157">
        <v>1.0</v>
      </c>
      <c r="K73" s="157" t="s">
        <v>387</v>
      </c>
      <c r="L73" s="157">
        <v>1.0</v>
      </c>
      <c r="M73" s="157" t="s">
        <v>1095</v>
      </c>
      <c r="N73" s="264">
        <v>0.0</v>
      </c>
      <c r="O73" s="264" t="s">
        <v>17</v>
      </c>
      <c r="P73" s="157">
        <v>0.0</v>
      </c>
      <c r="Q73" s="264">
        <v>0.0</v>
      </c>
      <c r="R73" s="264" t="s">
        <v>17</v>
      </c>
      <c r="S73" s="264">
        <v>0.0</v>
      </c>
      <c r="T73" s="264" t="s">
        <v>17</v>
      </c>
      <c r="U73" s="264">
        <v>0.0</v>
      </c>
      <c r="V73" s="264" t="s">
        <v>17</v>
      </c>
      <c r="W73" s="324">
        <f t="shared" si="73"/>
        <v>0</v>
      </c>
      <c r="X73" s="265">
        <f t="shared" si="74"/>
        <v>1</v>
      </c>
      <c r="Y73" s="324">
        <f t="shared" si="75"/>
        <v>1</v>
      </c>
      <c r="Z73" s="265">
        <f t="shared" si="76"/>
        <v>0</v>
      </c>
      <c r="AA73" s="324">
        <f t="shared" si="77"/>
        <v>0</v>
      </c>
      <c r="AB73" s="265">
        <f t="shared" si="78"/>
        <v>0</v>
      </c>
      <c r="AC73" s="325">
        <v>0.0</v>
      </c>
      <c r="AD73" s="157" t="s">
        <v>17</v>
      </c>
      <c r="AE73" s="264" t="s">
        <v>17</v>
      </c>
      <c r="AF73" s="264" t="s">
        <v>17</v>
      </c>
      <c r="AG73" s="264" t="s">
        <v>17</v>
      </c>
      <c r="AH73" s="264" t="s">
        <v>17</v>
      </c>
      <c r="AI73" s="264" t="s">
        <v>17</v>
      </c>
      <c r="AJ73" s="157">
        <v>1.0</v>
      </c>
      <c r="AK73" s="157" t="s">
        <v>1301</v>
      </c>
      <c r="AL73" s="325" t="s">
        <v>1271</v>
      </c>
    </row>
    <row r="74" hidden="1">
      <c r="A74" s="264" t="s">
        <v>816</v>
      </c>
      <c r="B74" s="264" t="s">
        <v>817</v>
      </c>
      <c r="C74" s="299">
        <v>43200.0</v>
      </c>
      <c r="D74" s="157" t="s">
        <v>1119</v>
      </c>
      <c r="E74" s="46" t="s">
        <v>67</v>
      </c>
      <c r="F74" s="108" t="s">
        <v>809</v>
      </c>
      <c r="G74" s="184">
        <v>0.0</v>
      </c>
      <c r="H74" s="184" t="s">
        <v>354</v>
      </c>
      <c r="I74" s="184" t="s">
        <v>371</v>
      </c>
      <c r="J74" s="157" t="s">
        <v>17</v>
      </c>
      <c r="K74" s="157" t="s">
        <v>17</v>
      </c>
      <c r="L74" s="157">
        <v>1.0</v>
      </c>
      <c r="M74" s="157" t="s">
        <v>380</v>
      </c>
      <c r="N74" s="157">
        <v>1.0</v>
      </c>
      <c r="O74" s="157" t="s">
        <v>413</v>
      </c>
      <c r="P74" s="157">
        <v>0.0</v>
      </c>
      <c r="Q74" s="264">
        <v>0.0</v>
      </c>
      <c r="R74" s="264" t="s">
        <v>17</v>
      </c>
      <c r="S74" s="264">
        <v>0.0</v>
      </c>
      <c r="T74" s="264" t="s">
        <v>17</v>
      </c>
      <c r="U74" s="264">
        <v>0.0</v>
      </c>
      <c r="V74" s="264" t="s">
        <v>17</v>
      </c>
      <c r="W74" s="265">
        <f t="shared" si="73"/>
        <v>0</v>
      </c>
      <c r="X74" s="265">
        <f t="shared" si="74"/>
        <v>1</v>
      </c>
      <c r="Y74" s="265">
        <f t="shared" si="75"/>
        <v>1</v>
      </c>
      <c r="Z74" s="265">
        <f t="shared" si="76"/>
        <v>0</v>
      </c>
      <c r="AA74" s="265">
        <f t="shared" si="77"/>
        <v>0</v>
      </c>
      <c r="AB74" s="265">
        <f t="shared" si="78"/>
        <v>0</v>
      </c>
      <c r="AC74" s="184">
        <v>0.0</v>
      </c>
      <c r="AD74" s="157" t="s">
        <v>17</v>
      </c>
      <c r="AE74" s="157" t="s">
        <v>17</v>
      </c>
      <c r="AF74" s="157" t="s">
        <v>17</v>
      </c>
      <c r="AG74" s="157" t="s">
        <v>17</v>
      </c>
      <c r="AH74" s="157" t="s">
        <v>17</v>
      </c>
      <c r="AI74" s="157" t="s">
        <v>17</v>
      </c>
      <c r="AJ74" s="157" t="s">
        <v>17</v>
      </c>
      <c r="AK74" s="157" t="s">
        <v>17</v>
      </c>
      <c r="AL74" s="157" t="s">
        <v>17</v>
      </c>
    </row>
    <row r="75">
      <c r="A75" s="265" t="s">
        <v>234</v>
      </c>
      <c r="B75" s="264" t="s">
        <v>825</v>
      </c>
      <c r="C75" s="47" t="s">
        <v>547</v>
      </c>
      <c r="D75" s="48" t="s">
        <v>7</v>
      </c>
      <c r="E75" s="46" t="s">
        <v>67</v>
      </c>
      <c r="F75" s="108" t="s">
        <v>826</v>
      </c>
      <c r="G75" s="158">
        <v>1.0</v>
      </c>
      <c r="H75" s="158" t="s">
        <v>832</v>
      </c>
      <c r="I75" s="158" t="s">
        <v>556</v>
      </c>
      <c r="J75" s="157">
        <v>1.0</v>
      </c>
      <c r="K75" s="157" t="s">
        <v>380</v>
      </c>
      <c r="L75" s="264">
        <v>0.0</v>
      </c>
      <c r="M75" s="264" t="s">
        <v>17</v>
      </c>
      <c r="N75" s="264">
        <v>0.0</v>
      </c>
      <c r="O75" s="264" t="s">
        <v>17</v>
      </c>
      <c r="P75" s="157">
        <v>0.0</v>
      </c>
      <c r="Q75" s="264">
        <v>0.0</v>
      </c>
      <c r="R75" s="264" t="s">
        <v>17</v>
      </c>
      <c r="S75" s="264">
        <v>0.0</v>
      </c>
      <c r="T75" s="264" t="s">
        <v>17</v>
      </c>
      <c r="U75" s="264">
        <v>0.0</v>
      </c>
      <c r="V75" s="264" t="s">
        <v>17</v>
      </c>
      <c r="W75" s="323">
        <f t="shared" si="73"/>
        <v>1</v>
      </c>
      <c r="X75" s="265">
        <f t="shared" si="74"/>
        <v>0</v>
      </c>
      <c r="Y75" s="323">
        <f t="shared" si="75"/>
        <v>1</v>
      </c>
      <c r="Z75" s="265">
        <f t="shared" si="76"/>
        <v>0</v>
      </c>
      <c r="AA75" s="323">
        <f t="shared" si="77"/>
        <v>1</v>
      </c>
      <c r="AB75" s="265">
        <f t="shared" si="78"/>
        <v>0</v>
      </c>
      <c r="AC75" s="158">
        <v>0.0</v>
      </c>
      <c r="AD75" s="157" t="s">
        <v>17</v>
      </c>
      <c r="AE75" s="157" t="s">
        <v>17</v>
      </c>
      <c r="AF75" s="157" t="s">
        <v>17</v>
      </c>
      <c r="AG75" s="157" t="s">
        <v>17</v>
      </c>
      <c r="AH75" s="157" t="s">
        <v>17</v>
      </c>
      <c r="AI75" s="157" t="s">
        <v>17</v>
      </c>
      <c r="AJ75" s="157">
        <v>1.0</v>
      </c>
      <c r="AK75" s="157" t="s">
        <v>1302</v>
      </c>
      <c r="AL75" s="158" t="s">
        <v>1271</v>
      </c>
    </row>
    <row r="76">
      <c r="A76" s="264" t="s">
        <v>835</v>
      </c>
      <c r="B76" s="264" t="s">
        <v>836</v>
      </c>
      <c r="C76" s="299">
        <v>43200.0</v>
      </c>
      <c r="D76" s="157" t="s">
        <v>1119</v>
      </c>
      <c r="E76" s="46" t="s">
        <v>67</v>
      </c>
      <c r="F76" s="108" t="s">
        <v>826</v>
      </c>
      <c r="G76" s="158">
        <v>1.0</v>
      </c>
      <c r="H76" s="158" t="s">
        <v>841</v>
      </c>
      <c r="I76" s="158" t="s">
        <v>455</v>
      </c>
      <c r="J76" s="265" t="s">
        <v>17</v>
      </c>
      <c r="K76" s="265" t="s">
        <v>17</v>
      </c>
      <c r="L76" s="264">
        <v>0.0</v>
      </c>
      <c r="M76" s="264" t="s">
        <v>17</v>
      </c>
      <c r="N76" s="157">
        <v>1.0</v>
      </c>
      <c r="O76" s="157" t="s">
        <v>420</v>
      </c>
      <c r="P76" s="157">
        <v>0.0</v>
      </c>
      <c r="Q76" s="157">
        <v>1.0</v>
      </c>
      <c r="R76" s="157" t="s">
        <v>420</v>
      </c>
      <c r="S76" s="157">
        <v>0.0</v>
      </c>
      <c r="T76" s="157" t="s">
        <v>17</v>
      </c>
      <c r="U76" s="157">
        <v>1.0</v>
      </c>
      <c r="V76" s="157" t="s">
        <v>358</v>
      </c>
      <c r="W76" s="265">
        <f t="shared" si="73"/>
        <v>0</v>
      </c>
      <c r="X76" s="265">
        <f t="shared" si="74"/>
        <v>1</v>
      </c>
      <c r="Y76" s="265">
        <f t="shared" si="75"/>
        <v>0</v>
      </c>
      <c r="Z76" s="265">
        <f t="shared" si="76"/>
        <v>1</v>
      </c>
      <c r="AA76" s="265">
        <f t="shared" si="77"/>
        <v>0</v>
      </c>
      <c r="AB76" s="265">
        <f t="shared" si="78"/>
        <v>0</v>
      </c>
      <c r="AC76" s="158">
        <v>1.0</v>
      </c>
      <c r="AD76" s="157" t="s">
        <v>1303</v>
      </c>
      <c r="AE76" s="265" t="s">
        <v>17</v>
      </c>
      <c r="AF76" s="265" t="s">
        <v>17</v>
      </c>
      <c r="AG76" s="265" t="s">
        <v>17</v>
      </c>
      <c r="AH76" s="157">
        <v>1.0</v>
      </c>
      <c r="AI76" s="157" t="s">
        <v>357</v>
      </c>
      <c r="AJ76" s="157">
        <v>1.0</v>
      </c>
      <c r="AK76" s="157" t="s">
        <v>1089</v>
      </c>
      <c r="AL76" s="158" t="s">
        <v>1271</v>
      </c>
    </row>
    <row r="77">
      <c r="A77" s="265" t="s">
        <v>238</v>
      </c>
      <c r="B77" s="264" t="s">
        <v>844</v>
      </c>
      <c r="C77" s="47" t="s">
        <v>547</v>
      </c>
      <c r="D77" s="48" t="s">
        <v>7</v>
      </c>
      <c r="E77" s="46" t="s">
        <v>67</v>
      </c>
      <c r="F77" s="178" t="s">
        <v>17</v>
      </c>
      <c r="G77" s="158">
        <v>3.0</v>
      </c>
      <c r="H77" s="158" t="s">
        <v>850</v>
      </c>
      <c r="I77" s="158" t="s">
        <v>600</v>
      </c>
      <c r="J77" s="157">
        <v>1.0</v>
      </c>
      <c r="K77" s="157" t="s">
        <v>357</v>
      </c>
      <c r="L77" s="264">
        <v>0.0</v>
      </c>
      <c r="M77" s="264" t="s">
        <v>17</v>
      </c>
      <c r="N77" s="264">
        <v>0.0</v>
      </c>
      <c r="O77" s="264" t="s">
        <v>17</v>
      </c>
      <c r="P77" s="157">
        <v>0.0</v>
      </c>
      <c r="Q77" s="264">
        <v>0.0</v>
      </c>
      <c r="R77" s="264" t="s">
        <v>17</v>
      </c>
      <c r="S77" s="264">
        <v>0.0</v>
      </c>
      <c r="T77" s="264" t="s">
        <v>17</v>
      </c>
      <c r="U77" s="264">
        <v>0.0</v>
      </c>
      <c r="V77" s="264" t="s">
        <v>17</v>
      </c>
      <c r="W77" s="323">
        <f t="shared" si="73"/>
        <v>1</v>
      </c>
      <c r="X77" s="265">
        <f t="shared" si="74"/>
        <v>0</v>
      </c>
      <c r="Y77" s="323">
        <f t="shared" si="75"/>
        <v>1</v>
      </c>
      <c r="Z77" s="265">
        <f t="shared" si="76"/>
        <v>0</v>
      </c>
      <c r="AA77" s="323">
        <f t="shared" si="77"/>
        <v>1</v>
      </c>
      <c r="AB77" s="265">
        <f t="shared" si="78"/>
        <v>0</v>
      </c>
      <c r="AC77" s="158">
        <v>0.0</v>
      </c>
      <c r="AD77" s="157" t="s">
        <v>17</v>
      </c>
      <c r="AE77" s="157" t="s">
        <v>17</v>
      </c>
      <c r="AF77" s="157" t="s">
        <v>17</v>
      </c>
      <c r="AG77" s="157" t="s">
        <v>17</v>
      </c>
      <c r="AH77" s="157" t="s">
        <v>17</v>
      </c>
      <c r="AI77" s="157" t="s">
        <v>17</v>
      </c>
      <c r="AJ77" s="157">
        <v>1.0</v>
      </c>
      <c r="AK77" s="157" t="s">
        <v>1178</v>
      </c>
      <c r="AL77" s="158" t="s">
        <v>1271</v>
      </c>
    </row>
    <row r="78" hidden="1">
      <c r="A78" s="265" t="s">
        <v>241</v>
      </c>
      <c r="B78" s="264" t="s">
        <v>853</v>
      </c>
      <c r="C78" s="47" t="s">
        <v>547</v>
      </c>
      <c r="D78" s="48" t="s">
        <v>7</v>
      </c>
      <c r="E78" s="46" t="s">
        <v>67</v>
      </c>
      <c r="F78" s="178" t="s">
        <v>17</v>
      </c>
      <c r="G78" s="265" t="s">
        <v>17</v>
      </c>
      <c r="H78" s="265" t="s">
        <v>17</v>
      </c>
      <c r="I78" s="265" t="s">
        <v>17</v>
      </c>
      <c r="J78" s="157">
        <v>1.0</v>
      </c>
      <c r="K78" s="157" t="s">
        <v>357</v>
      </c>
      <c r="L78" s="62" t="s">
        <v>381</v>
      </c>
      <c r="M78" s="62" t="s">
        <v>381</v>
      </c>
      <c r="N78" s="62" t="s">
        <v>381</v>
      </c>
      <c r="O78" s="62" t="s">
        <v>381</v>
      </c>
      <c r="P78" s="157" t="s">
        <v>17</v>
      </c>
      <c r="Q78" s="62" t="s">
        <v>381</v>
      </c>
      <c r="R78" s="62" t="s">
        <v>381</v>
      </c>
      <c r="S78" s="62" t="s">
        <v>381</v>
      </c>
      <c r="T78" s="62" t="s">
        <v>381</v>
      </c>
      <c r="U78" s="62" t="s">
        <v>381</v>
      </c>
      <c r="V78" s="62" t="s">
        <v>381</v>
      </c>
      <c r="W78" s="157" t="s">
        <v>17</v>
      </c>
      <c r="X78" s="157" t="s">
        <v>17</v>
      </c>
      <c r="Y78" s="157" t="s">
        <v>17</v>
      </c>
      <c r="Z78" s="157" t="s">
        <v>17</v>
      </c>
      <c r="AA78" s="157" t="s">
        <v>17</v>
      </c>
      <c r="AB78" s="157" t="s">
        <v>17</v>
      </c>
      <c r="AC78" s="157" t="s">
        <v>17</v>
      </c>
      <c r="AD78" s="157" t="s">
        <v>17</v>
      </c>
      <c r="AE78" s="157">
        <v>1.0</v>
      </c>
      <c r="AF78" s="157" t="s">
        <v>413</v>
      </c>
      <c r="AG78" s="157" t="s">
        <v>1271</v>
      </c>
      <c r="AH78" s="157" t="s">
        <v>17</v>
      </c>
      <c r="AI78" s="157" t="s">
        <v>17</v>
      </c>
      <c r="AJ78" s="157" t="s">
        <v>17</v>
      </c>
      <c r="AK78" s="157" t="s">
        <v>17</v>
      </c>
      <c r="AL78" s="157" t="s">
        <v>17</v>
      </c>
    </row>
    <row r="79">
      <c r="A79" s="265" t="s">
        <v>244</v>
      </c>
      <c r="B79" s="264" t="s">
        <v>856</v>
      </c>
      <c r="C79" s="47" t="s">
        <v>547</v>
      </c>
      <c r="D79" s="48" t="s">
        <v>7</v>
      </c>
      <c r="E79" s="46" t="s">
        <v>67</v>
      </c>
      <c r="F79" s="108" t="s">
        <v>857</v>
      </c>
      <c r="G79" s="158">
        <v>3.0</v>
      </c>
      <c r="H79" s="158" t="s">
        <v>862</v>
      </c>
      <c r="I79" s="158" t="s">
        <v>600</v>
      </c>
      <c r="J79" s="157">
        <v>1.0</v>
      </c>
      <c r="K79" s="157" t="s">
        <v>1163</v>
      </c>
      <c r="L79" s="157">
        <v>0.0</v>
      </c>
      <c r="M79" s="157" t="s">
        <v>17</v>
      </c>
      <c r="N79" s="157">
        <v>0.0</v>
      </c>
      <c r="O79" s="157" t="s">
        <v>17</v>
      </c>
      <c r="P79" s="157">
        <v>0.0</v>
      </c>
      <c r="Q79" s="44" t="s">
        <v>373</v>
      </c>
      <c r="R79" s="44" t="s">
        <v>373</v>
      </c>
      <c r="S79" s="157">
        <v>1.0</v>
      </c>
      <c r="T79" s="157" t="s">
        <v>363</v>
      </c>
      <c r="U79" s="157">
        <v>0.0</v>
      </c>
      <c r="V79" s="157" t="s">
        <v>17</v>
      </c>
      <c r="W79" s="323">
        <f t="shared" ref="W79:W90" si="79">if(sum(L79,N79)&gt;0,0,1)</f>
        <v>1</v>
      </c>
      <c r="X79" s="265">
        <f t="shared" ref="X79:X90" si="80">1-W79</f>
        <v>0</v>
      </c>
      <c r="Y79" s="265">
        <f t="shared" ref="Y79:Y90" si="81">if(sum(Q79,S79,U79)&gt;0,0,1)</f>
        <v>0</v>
      </c>
      <c r="Z79" s="323">
        <f t="shared" ref="Z79:Z90" si="82">1-Y79</f>
        <v>1</v>
      </c>
      <c r="AA79" s="265">
        <f t="shared" ref="AA79:AA90" si="83">if(sum(W79,Y79)=2,1,0)</f>
        <v>0</v>
      </c>
      <c r="AB79" s="323">
        <f t="shared" ref="AB79:AB90" si="84">if(sum(W79,Z79)=2,1,0)</f>
        <v>1</v>
      </c>
      <c r="AC79" s="158">
        <v>1.0</v>
      </c>
      <c r="AD79" s="157" t="s">
        <v>1273</v>
      </c>
      <c r="AE79" s="157">
        <v>1.0</v>
      </c>
      <c r="AF79" s="157" t="s">
        <v>1282</v>
      </c>
      <c r="AG79" s="157" t="s">
        <v>1271</v>
      </c>
      <c r="AH79" s="157" t="s">
        <v>17</v>
      </c>
      <c r="AI79" s="157" t="s">
        <v>17</v>
      </c>
      <c r="AJ79" s="157">
        <v>1.0</v>
      </c>
      <c r="AK79" s="157" t="s">
        <v>1302</v>
      </c>
      <c r="AL79" s="158" t="s">
        <v>1271</v>
      </c>
    </row>
    <row r="80">
      <c r="A80" s="264" t="s">
        <v>863</v>
      </c>
      <c r="B80" s="264" t="s">
        <v>864</v>
      </c>
      <c r="C80" s="299">
        <v>43200.0</v>
      </c>
      <c r="D80" s="157" t="s">
        <v>1119</v>
      </c>
      <c r="E80" s="46" t="s">
        <v>8</v>
      </c>
      <c r="F80" s="108" t="s">
        <v>857</v>
      </c>
      <c r="G80" s="158">
        <v>3.0</v>
      </c>
      <c r="H80" s="158" t="s">
        <v>868</v>
      </c>
      <c r="I80" s="158" t="s">
        <v>600</v>
      </c>
      <c r="J80" s="265" t="s">
        <v>17</v>
      </c>
      <c r="K80" s="265" t="s">
        <v>17</v>
      </c>
      <c r="L80" s="44" t="s">
        <v>373</v>
      </c>
      <c r="M80" s="44" t="s">
        <v>373</v>
      </c>
      <c r="N80" s="157">
        <v>1.0</v>
      </c>
      <c r="O80" s="157" t="s">
        <v>1120</v>
      </c>
      <c r="P80" s="157">
        <v>0.0</v>
      </c>
      <c r="Q80" s="157">
        <v>1.0</v>
      </c>
      <c r="R80" s="157" t="s">
        <v>389</v>
      </c>
      <c r="S80" s="157">
        <v>1.0</v>
      </c>
      <c r="T80" s="157" t="s">
        <v>413</v>
      </c>
      <c r="U80" s="157">
        <v>1.0</v>
      </c>
      <c r="V80" s="157" t="s">
        <v>1103</v>
      </c>
      <c r="W80" s="265">
        <f t="shared" si="79"/>
        <v>0</v>
      </c>
      <c r="X80" s="265">
        <f t="shared" si="80"/>
        <v>1</v>
      </c>
      <c r="Y80" s="265">
        <f t="shared" si="81"/>
        <v>0</v>
      </c>
      <c r="Z80" s="265">
        <f t="shared" si="82"/>
        <v>1</v>
      </c>
      <c r="AA80" s="265">
        <f t="shared" si="83"/>
        <v>0</v>
      </c>
      <c r="AB80" s="265">
        <f t="shared" si="84"/>
        <v>0</v>
      </c>
      <c r="AC80" s="158">
        <v>1.0</v>
      </c>
      <c r="AD80" s="157" t="s">
        <v>1304</v>
      </c>
      <c r="AE80" s="265" t="s">
        <v>17</v>
      </c>
      <c r="AF80" s="265" t="s">
        <v>17</v>
      </c>
      <c r="AG80" s="265" t="s">
        <v>17</v>
      </c>
      <c r="AH80" s="157" t="s">
        <v>17</v>
      </c>
      <c r="AI80" s="157" t="s">
        <v>17</v>
      </c>
      <c r="AJ80" s="157">
        <v>1.0</v>
      </c>
      <c r="AK80" s="157" t="s">
        <v>1270</v>
      </c>
      <c r="AL80" s="158" t="s">
        <v>358</v>
      </c>
    </row>
    <row r="81" hidden="1">
      <c r="A81" s="264" t="s">
        <v>869</v>
      </c>
      <c r="B81" s="264" t="s">
        <v>870</v>
      </c>
      <c r="C81" s="47" t="s">
        <v>547</v>
      </c>
      <c r="D81" s="48" t="s">
        <v>7</v>
      </c>
      <c r="E81" s="46" t="s">
        <v>67</v>
      </c>
      <c r="F81" s="178" t="s">
        <v>17</v>
      </c>
      <c r="G81" s="184">
        <v>0.0</v>
      </c>
      <c r="H81" s="184" t="s">
        <v>354</v>
      </c>
      <c r="I81" s="184" t="s">
        <v>371</v>
      </c>
      <c r="J81" s="157">
        <v>0.0</v>
      </c>
      <c r="K81" s="157" t="s">
        <v>17</v>
      </c>
      <c r="L81" s="157">
        <v>0.0</v>
      </c>
      <c r="M81" s="157" t="s">
        <v>17</v>
      </c>
      <c r="N81" s="157">
        <v>0.0</v>
      </c>
      <c r="O81" s="157" t="s">
        <v>17</v>
      </c>
      <c r="P81" s="157">
        <v>0.0</v>
      </c>
      <c r="Q81" s="157">
        <v>0.0</v>
      </c>
      <c r="R81" s="157" t="s">
        <v>17</v>
      </c>
      <c r="S81" s="157">
        <v>0.0</v>
      </c>
      <c r="T81" s="157" t="s">
        <v>17</v>
      </c>
      <c r="U81" s="157">
        <v>0.0</v>
      </c>
      <c r="V81" s="157" t="s">
        <v>17</v>
      </c>
      <c r="W81" s="316">
        <f t="shared" si="79"/>
        <v>1</v>
      </c>
      <c r="X81" s="265">
        <f t="shared" si="80"/>
        <v>0</v>
      </c>
      <c r="Y81" s="316">
        <f t="shared" si="81"/>
        <v>1</v>
      </c>
      <c r="Z81" s="265">
        <f t="shared" si="82"/>
        <v>0</v>
      </c>
      <c r="AA81" s="316">
        <f t="shared" si="83"/>
        <v>1</v>
      </c>
      <c r="AB81" s="265">
        <f t="shared" si="84"/>
        <v>0</v>
      </c>
      <c r="AC81" s="184">
        <v>0.0</v>
      </c>
      <c r="AD81" s="157" t="s">
        <v>17</v>
      </c>
      <c r="AE81" s="157">
        <v>1.0</v>
      </c>
      <c r="AF81" s="157" t="s">
        <v>413</v>
      </c>
      <c r="AG81" s="157" t="s">
        <v>1271</v>
      </c>
      <c r="AH81" s="157" t="s">
        <v>17</v>
      </c>
      <c r="AI81" s="157" t="s">
        <v>17</v>
      </c>
      <c r="AJ81" s="157" t="s">
        <v>17</v>
      </c>
      <c r="AK81" s="157" t="s">
        <v>17</v>
      </c>
      <c r="AL81" s="157" t="s">
        <v>17</v>
      </c>
    </row>
    <row r="82">
      <c r="A82" s="265" t="s">
        <v>250</v>
      </c>
      <c r="B82" s="264" t="s">
        <v>874</v>
      </c>
      <c r="C82" s="47" t="s">
        <v>547</v>
      </c>
      <c r="D82" s="48" t="s">
        <v>7</v>
      </c>
      <c r="E82" s="46" t="s">
        <v>67</v>
      </c>
      <c r="F82" s="178" t="s">
        <v>17</v>
      </c>
      <c r="G82" s="158">
        <v>1.0</v>
      </c>
      <c r="H82" s="158" t="s">
        <v>878</v>
      </c>
      <c r="I82" s="158" t="s">
        <v>455</v>
      </c>
      <c r="J82" s="44" t="s">
        <v>373</v>
      </c>
      <c r="K82" s="44" t="s">
        <v>373</v>
      </c>
      <c r="L82" s="157">
        <v>1.0</v>
      </c>
      <c r="M82" s="157" t="s">
        <v>389</v>
      </c>
      <c r="N82" s="157">
        <v>0.0</v>
      </c>
      <c r="O82" s="157" t="s">
        <v>17</v>
      </c>
      <c r="P82" s="157">
        <v>0.0</v>
      </c>
      <c r="Q82" s="44" t="s">
        <v>373</v>
      </c>
      <c r="R82" s="44" t="s">
        <v>373</v>
      </c>
      <c r="S82" s="157">
        <v>1.0</v>
      </c>
      <c r="T82" s="157" t="s">
        <v>389</v>
      </c>
      <c r="U82" s="157">
        <v>1.0</v>
      </c>
      <c r="V82" s="157" t="s">
        <v>357</v>
      </c>
      <c r="W82" s="265">
        <f t="shared" si="79"/>
        <v>0</v>
      </c>
      <c r="X82" s="265">
        <f t="shared" si="80"/>
        <v>1</v>
      </c>
      <c r="Y82" s="265">
        <f t="shared" si="81"/>
        <v>0</v>
      </c>
      <c r="Z82" s="265">
        <f t="shared" si="82"/>
        <v>1</v>
      </c>
      <c r="AA82" s="265">
        <f t="shared" si="83"/>
        <v>0</v>
      </c>
      <c r="AB82" s="265">
        <f t="shared" si="84"/>
        <v>0</v>
      </c>
      <c r="AC82" s="158">
        <v>1.0</v>
      </c>
      <c r="AD82" s="157" t="s">
        <v>1305</v>
      </c>
      <c r="AE82" s="265" t="s">
        <v>17</v>
      </c>
      <c r="AF82" s="265" t="s">
        <v>17</v>
      </c>
      <c r="AG82" s="265" t="s">
        <v>17</v>
      </c>
      <c r="AH82" s="265" t="s">
        <v>17</v>
      </c>
      <c r="AI82" s="265" t="s">
        <v>17</v>
      </c>
      <c r="AJ82" s="157">
        <v>1.0</v>
      </c>
      <c r="AK82" s="157" t="s">
        <v>1090</v>
      </c>
      <c r="AL82" s="158" t="s">
        <v>357</v>
      </c>
    </row>
    <row r="83" hidden="1">
      <c r="A83" s="264" t="s">
        <v>881</v>
      </c>
      <c r="B83" s="264" t="s">
        <v>882</v>
      </c>
      <c r="C83" s="47" t="s">
        <v>547</v>
      </c>
      <c r="D83" s="48" t="s">
        <v>7</v>
      </c>
      <c r="E83" s="46" t="s">
        <v>67</v>
      </c>
      <c r="F83" s="178" t="s">
        <v>17</v>
      </c>
      <c r="G83" s="184">
        <v>0.0</v>
      </c>
      <c r="H83" s="184" t="s">
        <v>354</v>
      </c>
      <c r="I83" s="184" t="s">
        <v>371</v>
      </c>
      <c r="J83" s="157">
        <v>1.0</v>
      </c>
      <c r="K83" s="157" t="s">
        <v>1095</v>
      </c>
      <c r="L83" s="157">
        <v>0.0</v>
      </c>
      <c r="M83" s="157" t="s">
        <v>17</v>
      </c>
      <c r="N83" s="157">
        <v>0.0</v>
      </c>
      <c r="O83" s="157" t="s">
        <v>17</v>
      </c>
      <c r="P83" s="157">
        <v>0.0</v>
      </c>
      <c r="Q83" s="157">
        <v>0.0</v>
      </c>
      <c r="R83" s="157" t="s">
        <v>17</v>
      </c>
      <c r="S83" s="157">
        <v>1.0</v>
      </c>
      <c r="T83" s="157" t="s">
        <v>413</v>
      </c>
      <c r="U83" s="157">
        <v>0.0</v>
      </c>
      <c r="V83" s="157" t="s">
        <v>17</v>
      </c>
      <c r="W83" s="316">
        <f t="shared" si="79"/>
        <v>1</v>
      </c>
      <c r="X83" s="265">
        <f t="shared" si="80"/>
        <v>0</v>
      </c>
      <c r="Y83" s="265">
        <f t="shared" si="81"/>
        <v>0</v>
      </c>
      <c r="Z83" s="316">
        <f t="shared" si="82"/>
        <v>1</v>
      </c>
      <c r="AA83" s="265">
        <f t="shared" si="83"/>
        <v>0</v>
      </c>
      <c r="AB83" s="316">
        <f t="shared" si="84"/>
        <v>1</v>
      </c>
      <c r="AC83" s="184">
        <v>1.0</v>
      </c>
      <c r="AD83" s="157" t="s">
        <v>1283</v>
      </c>
      <c r="AE83" s="265" t="s">
        <v>17</v>
      </c>
      <c r="AF83" s="265" t="s">
        <v>17</v>
      </c>
      <c r="AG83" s="265" t="s">
        <v>17</v>
      </c>
      <c r="AH83" s="265" t="s">
        <v>17</v>
      </c>
      <c r="AI83" s="265" t="s">
        <v>17</v>
      </c>
      <c r="AJ83" s="265" t="s">
        <v>17</v>
      </c>
      <c r="AK83" s="265" t="s">
        <v>17</v>
      </c>
      <c r="AL83" s="265" t="s">
        <v>17</v>
      </c>
    </row>
    <row r="84" hidden="1">
      <c r="A84" s="264" t="s">
        <v>888</v>
      </c>
      <c r="B84" s="264" t="s">
        <v>889</v>
      </c>
      <c r="C84" s="47" t="s">
        <v>547</v>
      </c>
      <c r="D84" s="63" t="s">
        <v>37</v>
      </c>
      <c r="E84" s="46" t="s">
        <v>67</v>
      </c>
      <c r="F84" s="108" t="s">
        <v>890</v>
      </c>
      <c r="G84" s="184">
        <v>0.0</v>
      </c>
      <c r="H84" s="184" t="s">
        <v>354</v>
      </c>
      <c r="I84" s="184" t="s">
        <v>371</v>
      </c>
      <c r="J84" s="157">
        <v>1.0</v>
      </c>
      <c r="K84" s="157" t="s">
        <v>1194</v>
      </c>
      <c r="L84" s="157">
        <v>1.0</v>
      </c>
      <c r="M84" s="157" t="s">
        <v>413</v>
      </c>
      <c r="N84" s="157">
        <v>0.0</v>
      </c>
      <c r="O84" s="157" t="s">
        <v>17</v>
      </c>
      <c r="P84" s="157">
        <v>0.0</v>
      </c>
      <c r="Q84" s="157">
        <v>0.0</v>
      </c>
      <c r="R84" s="157" t="s">
        <v>17</v>
      </c>
      <c r="S84" s="157">
        <v>0.0</v>
      </c>
      <c r="T84" s="157" t="s">
        <v>17</v>
      </c>
      <c r="U84" s="157">
        <v>0.0</v>
      </c>
      <c r="V84" s="157" t="s">
        <v>17</v>
      </c>
      <c r="W84" s="317">
        <f t="shared" si="79"/>
        <v>0</v>
      </c>
      <c r="X84" s="265">
        <f t="shared" si="80"/>
        <v>1</v>
      </c>
      <c r="Y84" s="317">
        <f t="shared" si="81"/>
        <v>1</v>
      </c>
      <c r="Z84" s="265">
        <f t="shared" si="82"/>
        <v>0</v>
      </c>
      <c r="AA84" s="317">
        <f t="shared" si="83"/>
        <v>0</v>
      </c>
      <c r="AB84" s="265">
        <f t="shared" si="84"/>
        <v>0</v>
      </c>
      <c r="AC84" s="318">
        <v>0.0</v>
      </c>
      <c r="AD84" s="157" t="s">
        <v>17</v>
      </c>
      <c r="AE84" s="265" t="s">
        <v>17</v>
      </c>
      <c r="AF84" s="265" t="s">
        <v>17</v>
      </c>
      <c r="AG84" s="265" t="s">
        <v>17</v>
      </c>
      <c r="AH84" s="265" t="s">
        <v>17</v>
      </c>
      <c r="AI84" s="265" t="s">
        <v>17</v>
      </c>
      <c r="AJ84" s="265" t="s">
        <v>17</v>
      </c>
      <c r="AK84" s="265" t="s">
        <v>17</v>
      </c>
      <c r="AL84" s="265" t="s">
        <v>17</v>
      </c>
    </row>
    <row r="85" hidden="1">
      <c r="A85" s="264" t="s">
        <v>895</v>
      </c>
      <c r="B85" s="264" t="s">
        <v>896</v>
      </c>
      <c r="C85" s="47" t="s">
        <v>736</v>
      </c>
      <c r="D85" s="157" t="s">
        <v>1119</v>
      </c>
      <c r="E85" s="49" t="s">
        <v>67</v>
      </c>
      <c r="F85" s="108" t="s">
        <v>890</v>
      </c>
      <c r="G85" s="184">
        <v>0.0</v>
      </c>
      <c r="H85" s="184" t="s">
        <v>354</v>
      </c>
      <c r="I85" s="184" t="s">
        <v>371</v>
      </c>
      <c r="J85" s="264" t="s">
        <v>17</v>
      </c>
      <c r="K85" s="264" t="s">
        <v>17</v>
      </c>
      <c r="L85" s="157">
        <v>0.0</v>
      </c>
      <c r="M85" s="157" t="s">
        <v>17</v>
      </c>
      <c r="N85" s="157">
        <v>1.0</v>
      </c>
      <c r="O85" s="157" t="s">
        <v>1214</v>
      </c>
      <c r="P85" s="157">
        <v>0.0</v>
      </c>
      <c r="Q85" s="157">
        <v>1.0</v>
      </c>
      <c r="R85" s="157" t="s">
        <v>1301</v>
      </c>
      <c r="S85" s="157">
        <v>1.0</v>
      </c>
      <c r="T85" s="157" t="s">
        <v>420</v>
      </c>
      <c r="U85" s="157">
        <v>1.0</v>
      </c>
      <c r="V85" s="157" t="s">
        <v>413</v>
      </c>
      <c r="W85" s="157">
        <f t="shared" si="79"/>
        <v>0</v>
      </c>
      <c r="X85" s="316">
        <f t="shared" si="80"/>
        <v>1</v>
      </c>
      <c r="Y85" s="265">
        <f t="shared" si="81"/>
        <v>0</v>
      </c>
      <c r="Z85" s="316">
        <f t="shared" si="82"/>
        <v>1</v>
      </c>
      <c r="AA85" s="265">
        <f t="shared" si="83"/>
        <v>0</v>
      </c>
      <c r="AB85" s="265">
        <f t="shared" si="84"/>
        <v>0</v>
      </c>
      <c r="AC85" s="184">
        <v>1.0</v>
      </c>
      <c r="AD85" s="157" t="s">
        <v>1306</v>
      </c>
      <c r="AE85" s="264" t="s">
        <v>17</v>
      </c>
      <c r="AF85" s="264" t="s">
        <v>17</v>
      </c>
      <c r="AG85" s="264" t="s">
        <v>17</v>
      </c>
      <c r="AH85" s="264" t="s">
        <v>17</v>
      </c>
      <c r="AI85" s="264" t="s">
        <v>17</v>
      </c>
      <c r="AJ85" s="264" t="s">
        <v>17</v>
      </c>
      <c r="AK85" s="264" t="s">
        <v>17</v>
      </c>
      <c r="AL85" s="264" t="s">
        <v>17</v>
      </c>
    </row>
    <row r="86" hidden="1">
      <c r="A86" s="264" t="s">
        <v>899</v>
      </c>
      <c r="B86" s="264" t="s">
        <v>900</v>
      </c>
      <c r="C86" s="47" t="s">
        <v>547</v>
      </c>
      <c r="D86" s="48" t="s">
        <v>7</v>
      </c>
      <c r="E86" s="46" t="s">
        <v>67</v>
      </c>
      <c r="F86" s="178" t="s">
        <v>17</v>
      </c>
      <c r="G86" s="184">
        <v>0.0</v>
      </c>
      <c r="H86" s="184" t="s">
        <v>354</v>
      </c>
      <c r="I86" s="184" t="s">
        <v>371</v>
      </c>
      <c r="J86" s="157">
        <v>1.0</v>
      </c>
      <c r="K86" s="157" t="s">
        <v>413</v>
      </c>
      <c r="L86" s="157">
        <v>0.0</v>
      </c>
      <c r="M86" s="157" t="s">
        <v>17</v>
      </c>
      <c r="N86" s="157">
        <v>0.0</v>
      </c>
      <c r="O86" s="157" t="s">
        <v>17</v>
      </c>
      <c r="P86" s="157">
        <v>0.0</v>
      </c>
      <c r="Q86" s="157">
        <v>0.0</v>
      </c>
      <c r="R86" s="157" t="s">
        <v>17</v>
      </c>
      <c r="S86" s="157">
        <v>0.0</v>
      </c>
      <c r="T86" s="157" t="s">
        <v>17</v>
      </c>
      <c r="U86" s="157">
        <v>0.0</v>
      </c>
      <c r="V86" s="157" t="s">
        <v>17</v>
      </c>
      <c r="W86" s="316">
        <f t="shared" si="79"/>
        <v>1</v>
      </c>
      <c r="X86" s="265">
        <f t="shared" si="80"/>
        <v>0</v>
      </c>
      <c r="Y86" s="316">
        <f t="shared" si="81"/>
        <v>1</v>
      </c>
      <c r="Z86" s="265">
        <f t="shared" si="82"/>
        <v>0</v>
      </c>
      <c r="AA86" s="316">
        <f t="shared" si="83"/>
        <v>1</v>
      </c>
      <c r="AB86" s="265">
        <f t="shared" si="84"/>
        <v>0</v>
      </c>
      <c r="AC86" s="184">
        <v>0.0</v>
      </c>
      <c r="AD86" s="157" t="s">
        <v>17</v>
      </c>
      <c r="AE86" s="264" t="s">
        <v>17</v>
      </c>
      <c r="AF86" s="264" t="s">
        <v>17</v>
      </c>
      <c r="AG86" s="264" t="s">
        <v>17</v>
      </c>
      <c r="AH86" s="264" t="s">
        <v>17</v>
      </c>
      <c r="AI86" s="264" t="s">
        <v>17</v>
      </c>
      <c r="AJ86" s="264" t="s">
        <v>17</v>
      </c>
      <c r="AK86" s="264" t="s">
        <v>17</v>
      </c>
      <c r="AL86" s="264" t="s">
        <v>17</v>
      </c>
    </row>
    <row r="87">
      <c r="A87" s="264" t="s">
        <v>906</v>
      </c>
      <c r="B87" s="264" t="s">
        <v>907</v>
      </c>
      <c r="C87" s="47" t="s">
        <v>547</v>
      </c>
      <c r="D87" s="48" t="s">
        <v>7</v>
      </c>
      <c r="E87" s="46" t="s">
        <v>67</v>
      </c>
      <c r="F87" s="178" t="s">
        <v>17</v>
      </c>
      <c r="G87" s="158">
        <v>1.0</v>
      </c>
      <c r="H87" s="158" t="s">
        <v>912</v>
      </c>
      <c r="I87" s="158" t="s">
        <v>455</v>
      </c>
      <c r="J87" s="157">
        <v>0.0</v>
      </c>
      <c r="K87" s="157" t="s">
        <v>17</v>
      </c>
      <c r="L87" s="157">
        <v>0.0</v>
      </c>
      <c r="M87" s="157" t="s">
        <v>17</v>
      </c>
      <c r="N87" s="157">
        <v>0.0</v>
      </c>
      <c r="O87" s="157" t="s">
        <v>17</v>
      </c>
      <c r="P87" s="157">
        <v>0.0</v>
      </c>
      <c r="Q87" s="157">
        <v>1.0</v>
      </c>
      <c r="R87" s="157" t="s">
        <v>1120</v>
      </c>
      <c r="S87" s="157">
        <v>0.0</v>
      </c>
      <c r="T87" s="157" t="s">
        <v>17</v>
      </c>
      <c r="U87" s="157">
        <v>0.0</v>
      </c>
      <c r="V87" s="157" t="s">
        <v>17</v>
      </c>
      <c r="W87" s="323">
        <f t="shared" si="79"/>
        <v>1</v>
      </c>
      <c r="X87" s="265">
        <f t="shared" si="80"/>
        <v>0</v>
      </c>
      <c r="Y87" s="265">
        <f t="shared" si="81"/>
        <v>0</v>
      </c>
      <c r="Z87" s="323">
        <f t="shared" si="82"/>
        <v>1</v>
      </c>
      <c r="AA87" s="265">
        <f t="shared" si="83"/>
        <v>0</v>
      </c>
      <c r="AB87" s="323">
        <f t="shared" si="84"/>
        <v>1</v>
      </c>
      <c r="AC87" s="158">
        <v>1.0</v>
      </c>
      <c r="AD87" s="157" t="s">
        <v>1281</v>
      </c>
      <c r="AE87" s="157">
        <v>1.0</v>
      </c>
      <c r="AF87" s="157" t="s">
        <v>357</v>
      </c>
      <c r="AG87" s="157" t="s">
        <v>1271</v>
      </c>
      <c r="AH87" s="264" t="s">
        <v>17</v>
      </c>
      <c r="AI87" s="264" t="s">
        <v>17</v>
      </c>
      <c r="AJ87" s="157">
        <v>1.0</v>
      </c>
      <c r="AK87" s="157" t="s">
        <v>1103</v>
      </c>
      <c r="AL87" s="158" t="s">
        <v>413</v>
      </c>
    </row>
    <row r="88">
      <c r="A88" s="265" t="s">
        <v>268</v>
      </c>
      <c r="B88" s="264" t="s">
        <v>915</v>
      </c>
      <c r="C88" s="47" t="s">
        <v>547</v>
      </c>
      <c r="D88" s="48" t="s">
        <v>7</v>
      </c>
      <c r="E88" s="46" t="s">
        <v>67</v>
      </c>
      <c r="F88" s="178" t="s">
        <v>17</v>
      </c>
      <c r="G88" s="158">
        <v>2.0</v>
      </c>
      <c r="H88" s="158" t="s">
        <v>922</v>
      </c>
      <c r="I88" s="158" t="s">
        <v>398</v>
      </c>
      <c r="J88" s="157">
        <v>1.0</v>
      </c>
      <c r="K88" s="157" t="s">
        <v>1155</v>
      </c>
      <c r="L88" s="157">
        <v>0.0</v>
      </c>
      <c r="M88" s="157" t="s">
        <v>17</v>
      </c>
      <c r="N88" s="157">
        <v>0.0</v>
      </c>
      <c r="O88" s="157" t="s">
        <v>17</v>
      </c>
      <c r="P88" s="157">
        <v>0.0</v>
      </c>
      <c r="Q88" s="157">
        <v>0.0</v>
      </c>
      <c r="R88" s="157" t="s">
        <v>17</v>
      </c>
      <c r="S88" s="157">
        <v>0.0</v>
      </c>
      <c r="T88" s="157" t="s">
        <v>17</v>
      </c>
      <c r="U88" s="157">
        <v>0.0</v>
      </c>
      <c r="V88" s="157" t="s">
        <v>17</v>
      </c>
      <c r="W88" s="323">
        <f t="shared" si="79"/>
        <v>1</v>
      </c>
      <c r="X88" s="265">
        <f t="shared" si="80"/>
        <v>0</v>
      </c>
      <c r="Y88" s="323">
        <f t="shared" si="81"/>
        <v>1</v>
      </c>
      <c r="Z88" s="265">
        <f t="shared" si="82"/>
        <v>0</v>
      </c>
      <c r="AA88" s="323">
        <f t="shared" si="83"/>
        <v>1</v>
      </c>
      <c r="AB88" s="265">
        <f t="shared" si="84"/>
        <v>0</v>
      </c>
      <c r="AC88" s="158">
        <v>0.0</v>
      </c>
      <c r="AD88" s="157" t="s">
        <v>17</v>
      </c>
      <c r="AE88" s="157">
        <v>0.0</v>
      </c>
      <c r="AF88" s="157" t="s">
        <v>17</v>
      </c>
      <c r="AG88" s="157" t="s">
        <v>1271</v>
      </c>
      <c r="AH88" s="157" t="s">
        <v>17</v>
      </c>
      <c r="AI88" s="157" t="s">
        <v>17</v>
      </c>
      <c r="AJ88" s="157">
        <v>0.0</v>
      </c>
      <c r="AK88" s="157" t="s">
        <v>17</v>
      </c>
      <c r="AL88" s="158" t="s">
        <v>1307</v>
      </c>
    </row>
    <row r="89">
      <c r="A89" s="265" t="s">
        <v>271</v>
      </c>
      <c r="B89" s="264" t="s">
        <v>924</v>
      </c>
      <c r="C89" s="47" t="s">
        <v>547</v>
      </c>
      <c r="D89" s="48" t="s">
        <v>37</v>
      </c>
      <c r="E89" s="46" t="s">
        <v>67</v>
      </c>
      <c r="F89" s="178" t="s">
        <v>17</v>
      </c>
      <c r="G89" s="158">
        <v>1.0</v>
      </c>
      <c r="H89" s="158" t="s">
        <v>929</v>
      </c>
      <c r="I89" s="158" t="s">
        <v>455</v>
      </c>
      <c r="J89" s="44" t="s">
        <v>373</v>
      </c>
      <c r="K89" s="44" t="s">
        <v>373</v>
      </c>
      <c r="L89" s="157">
        <v>0.0</v>
      </c>
      <c r="M89" s="157" t="s">
        <v>17</v>
      </c>
      <c r="N89" s="157">
        <v>1.0</v>
      </c>
      <c r="O89" s="157" t="s">
        <v>420</v>
      </c>
      <c r="P89" s="157">
        <v>0.0</v>
      </c>
      <c r="Q89" s="157">
        <v>1.0</v>
      </c>
      <c r="R89" s="157" t="s">
        <v>420</v>
      </c>
      <c r="S89" s="157">
        <v>0.0</v>
      </c>
      <c r="T89" s="157" t="s">
        <v>17</v>
      </c>
      <c r="U89" s="157">
        <v>1.0</v>
      </c>
      <c r="V89" s="157" t="s">
        <v>1103</v>
      </c>
      <c r="W89" s="265">
        <f t="shared" si="79"/>
        <v>0</v>
      </c>
      <c r="X89" s="265">
        <f t="shared" si="80"/>
        <v>1</v>
      </c>
      <c r="Y89" s="265">
        <f t="shared" si="81"/>
        <v>0</v>
      </c>
      <c r="Z89" s="265">
        <f t="shared" si="82"/>
        <v>1</v>
      </c>
      <c r="AA89" s="265">
        <f t="shared" si="83"/>
        <v>0</v>
      </c>
      <c r="AB89" s="265">
        <f t="shared" si="84"/>
        <v>0</v>
      </c>
      <c r="AC89" s="158">
        <v>1.0</v>
      </c>
      <c r="AD89" s="157" t="s">
        <v>1295</v>
      </c>
      <c r="AE89" s="157" t="s">
        <v>17</v>
      </c>
      <c r="AF89" s="157" t="s">
        <v>17</v>
      </c>
      <c r="AG89" s="157" t="s">
        <v>17</v>
      </c>
      <c r="AH89" s="157" t="s">
        <v>17</v>
      </c>
      <c r="AI89" s="157" t="s">
        <v>17</v>
      </c>
      <c r="AJ89" s="157">
        <v>1.0</v>
      </c>
      <c r="AK89" s="157" t="s">
        <v>1182</v>
      </c>
      <c r="AL89" s="158" t="s">
        <v>1271</v>
      </c>
    </row>
    <row r="90">
      <c r="A90" s="264" t="s">
        <v>931</v>
      </c>
      <c r="B90" s="264" t="s">
        <v>932</v>
      </c>
      <c r="C90" s="47" t="s">
        <v>547</v>
      </c>
      <c r="D90" s="63" t="s">
        <v>37</v>
      </c>
      <c r="E90" s="46" t="s">
        <v>67</v>
      </c>
      <c r="F90" s="178" t="s">
        <v>17</v>
      </c>
      <c r="G90" s="158">
        <v>2.0</v>
      </c>
      <c r="H90" s="158" t="s">
        <v>934</v>
      </c>
      <c r="I90" s="158" t="s">
        <v>398</v>
      </c>
      <c r="J90" s="157">
        <v>1.0</v>
      </c>
      <c r="K90" s="157" t="s">
        <v>357</v>
      </c>
      <c r="L90" s="44" t="s">
        <v>373</v>
      </c>
      <c r="M90" s="44" t="s">
        <v>373</v>
      </c>
      <c r="N90" s="157">
        <v>0.0</v>
      </c>
      <c r="O90" s="157" t="s">
        <v>17</v>
      </c>
      <c r="P90" s="157">
        <v>0.0</v>
      </c>
      <c r="Q90" s="157">
        <v>0.0</v>
      </c>
      <c r="R90" s="157" t="s">
        <v>17</v>
      </c>
      <c r="S90" s="157">
        <v>1.0</v>
      </c>
      <c r="T90" s="157" t="s">
        <v>413</v>
      </c>
      <c r="U90" s="157">
        <v>1.0</v>
      </c>
      <c r="V90" s="157" t="s">
        <v>1103</v>
      </c>
      <c r="W90" s="158">
        <f t="shared" si="79"/>
        <v>1</v>
      </c>
      <c r="X90" s="265">
        <f t="shared" si="80"/>
        <v>0</v>
      </c>
      <c r="Y90" s="265">
        <f t="shared" si="81"/>
        <v>0</v>
      </c>
      <c r="Z90" s="323">
        <f t="shared" si="82"/>
        <v>1</v>
      </c>
      <c r="AA90" s="265">
        <f t="shared" si="83"/>
        <v>0</v>
      </c>
      <c r="AB90" s="323">
        <f t="shared" si="84"/>
        <v>1</v>
      </c>
      <c r="AC90" s="158">
        <v>1.0</v>
      </c>
      <c r="AD90" s="157" t="s">
        <v>1308</v>
      </c>
      <c r="AE90" s="157">
        <v>1.0</v>
      </c>
      <c r="AF90" s="157" t="s">
        <v>357</v>
      </c>
      <c r="AG90" s="157" t="s">
        <v>357</v>
      </c>
      <c r="AH90" s="157" t="s">
        <v>17</v>
      </c>
      <c r="AI90" s="157" t="s">
        <v>17</v>
      </c>
      <c r="AJ90" s="157">
        <v>1.0</v>
      </c>
      <c r="AK90" s="157" t="s">
        <v>1157</v>
      </c>
      <c r="AL90" s="158" t="s">
        <v>1103</v>
      </c>
    </row>
    <row r="91" hidden="1">
      <c r="A91" s="265" t="s">
        <v>282</v>
      </c>
      <c r="B91" s="264" t="s">
        <v>937</v>
      </c>
      <c r="C91" s="47" t="s">
        <v>547</v>
      </c>
      <c r="D91" s="48" t="s">
        <v>7</v>
      </c>
      <c r="E91" s="46" t="s">
        <v>67</v>
      </c>
      <c r="F91" s="178" t="s">
        <v>17</v>
      </c>
      <c r="G91" s="157" t="s">
        <v>17</v>
      </c>
      <c r="H91" s="157" t="s">
        <v>17</v>
      </c>
      <c r="I91" s="157" t="s">
        <v>17</v>
      </c>
      <c r="J91" s="157">
        <v>1.0</v>
      </c>
      <c r="K91" s="157" t="s">
        <v>357</v>
      </c>
      <c r="L91" s="62" t="s">
        <v>381</v>
      </c>
      <c r="M91" s="62" t="s">
        <v>381</v>
      </c>
      <c r="N91" s="62" t="s">
        <v>381</v>
      </c>
      <c r="O91" s="62" t="s">
        <v>381</v>
      </c>
      <c r="P91" s="157" t="s">
        <v>17</v>
      </c>
      <c r="Q91" s="62" t="s">
        <v>381</v>
      </c>
      <c r="R91" s="62" t="s">
        <v>381</v>
      </c>
      <c r="S91" s="62" t="s">
        <v>381</v>
      </c>
      <c r="T91" s="62" t="s">
        <v>381</v>
      </c>
      <c r="U91" s="62" t="s">
        <v>381</v>
      </c>
      <c r="V91" s="62" t="s">
        <v>381</v>
      </c>
      <c r="W91" s="157" t="s">
        <v>17</v>
      </c>
      <c r="X91" s="157" t="s">
        <v>17</v>
      </c>
      <c r="Y91" s="157" t="s">
        <v>17</v>
      </c>
      <c r="Z91" s="157" t="s">
        <v>17</v>
      </c>
      <c r="AA91" s="157" t="s">
        <v>17</v>
      </c>
      <c r="AB91" s="157" t="s">
        <v>17</v>
      </c>
      <c r="AC91" s="157" t="s">
        <v>17</v>
      </c>
      <c r="AD91" s="157" t="s">
        <v>17</v>
      </c>
      <c r="AE91" s="157">
        <v>1.0</v>
      </c>
      <c r="AF91" s="157" t="s">
        <v>413</v>
      </c>
      <c r="AG91" s="157" t="s">
        <v>1271</v>
      </c>
      <c r="AH91" s="157" t="s">
        <v>17</v>
      </c>
      <c r="AI91" s="157" t="s">
        <v>17</v>
      </c>
      <c r="AJ91" s="157" t="s">
        <v>17</v>
      </c>
      <c r="AK91" s="157" t="s">
        <v>17</v>
      </c>
      <c r="AL91" s="157" t="s">
        <v>17</v>
      </c>
    </row>
    <row r="92">
      <c r="A92" s="264" t="s">
        <v>939</v>
      </c>
      <c r="B92" s="264" t="s">
        <v>940</v>
      </c>
      <c r="C92" s="47" t="s">
        <v>547</v>
      </c>
      <c r="D92" s="48" t="s">
        <v>7</v>
      </c>
      <c r="E92" s="46" t="s">
        <v>67</v>
      </c>
      <c r="F92" s="178" t="s">
        <v>17</v>
      </c>
      <c r="G92" s="158">
        <v>1.0</v>
      </c>
      <c r="H92" s="158" t="s">
        <v>944</v>
      </c>
      <c r="I92" s="158" t="s">
        <v>455</v>
      </c>
      <c r="J92" s="157">
        <v>1.0</v>
      </c>
      <c r="K92" s="157" t="s">
        <v>363</v>
      </c>
      <c r="L92" s="157">
        <v>0.0</v>
      </c>
      <c r="M92" s="157" t="s">
        <v>17</v>
      </c>
      <c r="N92" s="157">
        <v>0.0</v>
      </c>
      <c r="O92" s="157" t="s">
        <v>17</v>
      </c>
      <c r="P92" s="157">
        <v>0.0</v>
      </c>
      <c r="Q92" s="157">
        <v>0.0</v>
      </c>
      <c r="R92" s="157" t="s">
        <v>17</v>
      </c>
      <c r="S92" s="157">
        <v>0.0</v>
      </c>
      <c r="T92" s="157" t="s">
        <v>17</v>
      </c>
      <c r="U92" s="157">
        <v>0.0</v>
      </c>
      <c r="V92" s="157" t="s">
        <v>17</v>
      </c>
      <c r="W92" s="323">
        <f t="shared" ref="W92:W98" si="85">if(sum(L92,N92)&gt;0,0,1)</f>
        <v>1</v>
      </c>
      <c r="X92" s="265">
        <f t="shared" ref="X92:X98" si="86">1-W92</f>
        <v>0</v>
      </c>
      <c r="Y92" s="323">
        <f t="shared" ref="Y92:Y98" si="87">if(sum(Q92,S92,U92)&gt;0,0,1)</f>
        <v>1</v>
      </c>
      <c r="Z92" s="265">
        <f t="shared" ref="Z92:Z98" si="88">1-Y92</f>
        <v>0</v>
      </c>
      <c r="AA92" s="323">
        <f t="shared" ref="AA92:AA98" si="89">if(sum(W92,Y92)=2,1,0)</f>
        <v>1</v>
      </c>
      <c r="AB92" s="265">
        <f t="shared" ref="AB92:AB98" si="90">if(sum(W92,Z92)=2,1,0)</f>
        <v>0</v>
      </c>
      <c r="AC92" s="158">
        <v>0.0</v>
      </c>
      <c r="AD92" s="157" t="s">
        <v>17</v>
      </c>
      <c r="AE92" s="157">
        <v>1.0</v>
      </c>
      <c r="AF92" s="157" t="s">
        <v>357</v>
      </c>
      <c r="AG92" s="157" t="s">
        <v>1271</v>
      </c>
      <c r="AH92" s="157" t="s">
        <v>17</v>
      </c>
      <c r="AI92" s="157" t="s">
        <v>17</v>
      </c>
      <c r="AJ92" s="157">
        <v>1.0</v>
      </c>
      <c r="AK92" s="157" t="s">
        <v>357</v>
      </c>
      <c r="AL92" s="158" t="s">
        <v>1271</v>
      </c>
    </row>
    <row r="93" hidden="1">
      <c r="A93" s="264" t="s">
        <v>947</v>
      </c>
      <c r="B93" s="264" t="s">
        <v>948</v>
      </c>
      <c r="C93" s="299">
        <v>43200.0</v>
      </c>
      <c r="D93" s="157" t="s">
        <v>1119</v>
      </c>
      <c r="E93" s="46" t="s">
        <v>67</v>
      </c>
      <c r="F93" s="178" t="s">
        <v>17</v>
      </c>
      <c r="G93" s="320">
        <v>0.0</v>
      </c>
      <c r="H93" s="320" t="s">
        <v>354</v>
      </c>
      <c r="I93" s="320" t="s">
        <v>1267</v>
      </c>
      <c r="J93" s="300" t="s">
        <v>17</v>
      </c>
      <c r="K93" s="265" t="s">
        <v>17</v>
      </c>
      <c r="L93" s="157">
        <v>0.0</v>
      </c>
      <c r="M93" s="157" t="s">
        <v>17</v>
      </c>
      <c r="N93" s="157">
        <v>1.0</v>
      </c>
      <c r="O93" s="157" t="s">
        <v>1301</v>
      </c>
      <c r="P93" s="157">
        <v>0.0</v>
      </c>
      <c r="Q93" s="157">
        <v>1.0</v>
      </c>
      <c r="R93" s="157" t="s">
        <v>413</v>
      </c>
      <c r="S93" s="157">
        <v>1.0</v>
      </c>
      <c r="T93" s="157" t="s">
        <v>413</v>
      </c>
      <c r="U93" s="157">
        <v>1.0</v>
      </c>
      <c r="V93" s="157" t="s">
        <v>1103</v>
      </c>
      <c r="W93" s="265">
        <f t="shared" si="85"/>
        <v>0</v>
      </c>
      <c r="X93" s="265">
        <f t="shared" si="86"/>
        <v>1</v>
      </c>
      <c r="Y93" s="265">
        <f t="shared" si="87"/>
        <v>0</v>
      </c>
      <c r="Z93" s="265">
        <f t="shared" si="88"/>
        <v>1</v>
      </c>
      <c r="AA93" s="265">
        <f t="shared" si="89"/>
        <v>0</v>
      </c>
      <c r="AB93" s="265">
        <f t="shared" si="90"/>
        <v>0</v>
      </c>
      <c r="AC93" s="320">
        <v>1.0</v>
      </c>
      <c r="AD93" s="157" t="s">
        <v>1309</v>
      </c>
      <c r="AE93" s="265" t="s">
        <v>17</v>
      </c>
      <c r="AF93" s="265" t="s">
        <v>17</v>
      </c>
      <c r="AG93" s="265" t="s">
        <v>17</v>
      </c>
      <c r="AH93" s="265" t="s">
        <v>17</v>
      </c>
      <c r="AI93" s="265" t="s">
        <v>17</v>
      </c>
      <c r="AJ93" s="265" t="s">
        <v>17</v>
      </c>
      <c r="AK93" s="265" t="s">
        <v>17</v>
      </c>
      <c r="AL93" s="265" t="s">
        <v>17</v>
      </c>
    </row>
    <row r="94" hidden="1">
      <c r="A94" s="264" t="s">
        <v>955</v>
      </c>
      <c r="B94" s="264" t="s">
        <v>956</v>
      </c>
      <c r="C94" s="47" t="s">
        <v>736</v>
      </c>
      <c r="D94" s="157" t="s">
        <v>1119</v>
      </c>
      <c r="E94" s="49" t="s">
        <v>8</v>
      </c>
      <c r="F94" s="178" t="s">
        <v>17</v>
      </c>
      <c r="G94" s="184">
        <v>0.0</v>
      </c>
      <c r="H94" s="184" t="s">
        <v>354</v>
      </c>
      <c r="I94" s="184" t="s">
        <v>371</v>
      </c>
      <c r="J94" s="265" t="s">
        <v>17</v>
      </c>
      <c r="K94" s="265" t="s">
        <v>17</v>
      </c>
      <c r="L94" s="157">
        <v>0.0</v>
      </c>
      <c r="M94" s="157" t="s">
        <v>17</v>
      </c>
      <c r="N94" s="157">
        <v>0.0</v>
      </c>
      <c r="O94" s="157" t="s">
        <v>17</v>
      </c>
      <c r="P94" s="157">
        <v>0.0</v>
      </c>
      <c r="Q94" s="157">
        <v>1.0</v>
      </c>
      <c r="R94" s="157" t="s">
        <v>413</v>
      </c>
      <c r="S94" s="44" t="s">
        <v>373</v>
      </c>
      <c r="T94" s="44" t="s">
        <v>373</v>
      </c>
      <c r="U94" s="157">
        <v>1.0</v>
      </c>
      <c r="V94" s="157" t="s">
        <v>420</v>
      </c>
      <c r="W94" s="316">
        <f t="shared" si="85"/>
        <v>1</v>
      </c>
      <c r="X94" s="265">
        <f t="shared" si="86"/>
        <v>0</v>
      </c>
      <c r="Y94" s="265">
        <f t="shared" si="87"/>
        <v>0</v>
      </c>
      <c r="Z94" s="316">
        <f t="shared" si="88"/>
        <v>1</v>
      </c>
      <c r="AA94" s="265">
        <f t="shared" si="89"/>
        <v>0</v>
      </c>
      <c r="AB94" s="316">
        <f t="shared" si="90"/>
        <v>1</v>
      </c>
      <c r="AC94" s="184">
        <v>1.0</v>
      </c>
      <c r="AD94" s="157" t="s">
        <v>1310</v>
      </c>
      <c r="AE94" s="265" t="s">
        <v>17</v>
      </c>
      <c r="AF94" s="265" t="s">
        <v>17</v>
      </c>
      <c r="AG94" s="265" t="s">
        <v>17</v>
      </c>
      <c r="AH94" s="265" t="s">
        <v>17</v>
      </c>
      <c r="AI94" s="265" t="s">
        <v>17</v>
      </c>
      <c r="AJ94" s="265" t="s">
        <v>17</v>
      </c>
      <c r="AK94" s="265" t="s">
        <v>17</v>
      </c>
      <c r="AL94" s="265" t="s">
        <v>17</v>
      </c>
    </row>
    <row r="95" hidden="1">
      <c r="A95" s="264" t="s">
        <v>959</v>
      </c>
      <c r="B95" s="264" t="s">
        <v>960</v>
      </c>
      <c r="C95" s="47" t="s">
        <v>736</v>
      </c>
      <c r="D95" s="157" t="s">
        <v>1119</v>
      </c>
      <c r="E95" s="49" t="s">
        <v>67</v>
      </c>
      <c r="F95" s="178" t="s">
        <v>17</v>
      </c>
      <c r="G95" s="320">
        <v>0.0</v>
      </c>
      <c r="H95" s="320" t="s">
        <v>354</v>
      </c>
      <c r="I95" s="320" t="s">
        <v>1267</v>
      </c>
      <c r="J95" s="265" t="s">
        <v>17</v>
      </c>
      <c r="K95" s="265" t="s">
        <v>17</v>
      </c>
      <c r="L95" s="264">
        <v>0.0</v>
      </c>
      <c r="M95" s="264" t="s">
        <v>17</v>
      </c>
      <c r="N95" s="264">
        <v>0.0</v>
      </c>
      <c r="O95" s="264" t="s">
        <v>17</v>
      </c>
      <c r="P95" s="157">
        <v>0.0</v>
      </c>
      <c r="Q95" s="264">
        <v>0.0</v>
      </c>
      <c r="R95" s="264" t="s">
        <v>17</v>
      </c>
      <c r="S95" s="264">
        <v>0.0</v>
      </c>
      <c r="T95" s="264" t="s">
        <v>17</v>
      </c>
      <c r="U95" s="157">
        <v>1.0</v>
      </c>
      <c r="V95" s="157" t="s">
        <v>1229</v>
      </c>
      <c r="W95" s="321">
        <f t="shared" si="85"/>
        <v>1</v>
      </c>
      <c r="X95" s="265">
        <f t="shared" si="86"/>
        <v>0</v>
      </c>
      <c r="Y95" s="265">
        <f t="shared" si="87"/>
        <v>0</v>
      </c>
      <c r="Z95" s="321">
        <f t="shared" si="88"/>
        <v>1</v>
      </c>
      <c r="AA95" s="265">
        <f t="shared" si="89"/>
        <v>0</v>
      </c>
      <c r="AB95" s="321">
        <f t="shared" si="90"/>
        <v>1</v>
      </c>
      <c r="AC95" s="320">
        <v>1.0</v>
      </c>
      <c r="AD95" s="157" t="s">
        <v>1311</v>
      </c>
      <c r="AE95" s="265" t="s">
        <v>17</v>
      </c>
      <c r="AF95" s="265" t="s">
        <v>17</v>
      </c>
      <c r="AG95" s="265" t="s">
        <v>17</v>
      </c>
      <c r="AH95" s="265" t="s">
        <v>17</v>
      </c>
      <c r="AI95" s="265" t="s">
        <v>17</v>
      </c>
      <c r="AJ95" s="265" t="s">
        <v>17</v>
      </c>
      <c r="AK95" s="265" t="s">
        <v>17</v>
      </c>
      <c r="AL95" s="265" t="s">
        <v>17</v>
      </c>
    </row>
    <row r="96">
      <c r="A96" s="264" t="s">
        <v>964</v>
      </c>
      <c r="B96" s="264" t="s">
        <v>965</v>
      </c>
      <c r="C96" s="47" t="s">
        <v>736</v>
      </c>
      <c r="D96" s="157" t="s">
        <v>1119</v>
      </c>
      <c r="E96" s="49" t="s">
        <v>67</v>
      </c>
      <c r="F96" s="178" t="s">
        <v>17</v>
      </c>
      <c r="G96" s="158">
        <v>1.0</v>
      </c>
      <c r="H96" s="158" t="s">
        <v>967</v>
      </c>
      <c r="I96" s="158" t="s">
        <v>455</v>
      </c>
      <c r="J96" s="264" t="s">
        <v>17</v>
      </c>
      <c r="K96" s="264" t="s">
        <v>17</v>
      </c>
      <c r="L96" s="264">
        <v>0.0</v>
      </c>
      <c r="M96" s="264" t="s">
        <v>17</v>
      </c>
      <c r="N96" s="264">
        <v>0.0</v>
      </c>
      <c r="O96" s="264" t="s">
        <v>17</v>
      </c>
      <c r="P96" s="157">
        <v>0.0</v>
      </c>
      <c r="Q96" s="264">
        <v>0.0</v>
      </c>
      <c r="R96" s="264" t="s">
        <v>17</v>
      </c>
      <c r="S96" s="157">
        <v>1.0</v>
      </c>
      <c r="T96" s="157" t="s">
        <v>413</v>
      </c>
      <c r="U96" s="157">
        <v>1.0</v>
      </c>
      <c r="V96" s="157" t="s">
        <v>413</v>
      </c>
      <c r="W96" s="158">
        <f t="shared" si="85"/>
        <v>1</v>
      </c>
      <c r="X96" s="265">
        <f t="shared" si="86"/>
        <v>0</v>
      </c>
      <c r="Y96" s="265">
        <f t="shared" si="87"/>
        <v>0</v>
      </c>
      <c r="Z96" s="323">
        <f t="shared" si="88"/>
        <v>1</v>
      </c>
      <c r="AA96" s="265">
        <f t="shared" si="89"/>
        <v>0</v>
      </c>
      <c r="AB96" s="323">
        <f t="shared" si="90"/>
        <v>1</v>
      </c>
      <c r="AC96" s="158">
        <v>1.0</v>
      </c>
      <c r="AD96" s="157" t="s">
        <v>1283</v>
      </c>
      <c r="AE96" s="264" t="s">
        <v>17</v>
      </c>
      <c r="AF96" s="264" t="s">
        <v>17</v>
      </c>
      <c r="AG96" s="264" t="s">
        <v>17</v>
      </c>
      <c r="AH96" s="157" t="s">
        <v>17</v>
      </c>
      <c r="AI96" s="157" t="s">
        <v>17</v>
      </c>
      <c r="AJ96" s="157">
        <v>1.0</v>
      </c>
      <c r="AK96" s="157" t="s">
        <v>1229</v>
      </c>
      <c r="AL96" s="158" t="s">
        <v>1271</v>
      </c>
    </row>
    <row r="97" hidden="1">
      <c r="A97" s="264" t="s">
        <v>970</v>
      </c>
      <c r="B97" s="264" t="s">
        <v>971</v>
      </c>
      <c r="C97" s="47" t="s">
        <v>736</v>
      </c>
      <c r="D97" s="157" t="s">
        <v>1119</v>
      </c>
      <c r="E97" s="49" t="s">
        <v>67</v>
      </c>
      <c r="F97" s="178" t="s">
        <v>17</v>
      </c>
      <c r="G97" s="184">
        <v>0.0</v>
      </c>
      <c r="H97" s="184" t="s">
        <v>354</v>
      </c>
      <c r="I97" s="184" t="s">
        <v>371</v>
      </c>
      <c r="J97" s="264" t="s">
        <v>17</v>
      </c>
      <c r="K97" s="264" t="s">
        <v>17</v>
      </c>
      <c r="L97" s="264">
        <v>0.0</v>
      </c>
      <c r="M97" s="264" t="s">
        <v>17</v>
      </c>
      <c r="N97" s="264">
        <v>0.0</v>
      </c>
      <c r="O97" s="264" t="s">
        <v>17</v>
      </c>
      <c r="P97" s="157">
        <v>0.0</v>
      </c>
      <c r="Q97" s="157">
        <v>1.0</v>
      </c>
      <c r="R97" s="157" t="s">
        <v>1120</v>
      </c>
      <c r="S97" s="157">
        <v>1.0</v>
      </c>
      <c r="T97" s="157" t="s">
        <v>1120</v>
      </c>
      <c r="U97" s="44" t="s">
        <v>373</v>
      </c>
      <c r="V97" s="44" t="s">
        <v>373</v>
      </c>
      <c r="W97" s="316">
        <f t="shared" si="85"/>
        <v>1</v>
      </c>
      <c r="X97" s="265">
        <f t="shared" si="86"/>
        <v>0</v>
      </c>
      <c r="Y97" s="265">
        <f t="shared" si="87"/>
        <v>0</v>
      </c>
      <c r="Z97" s="316">
        <f t="shared" si="88"/>
        <v>1</v>
      </c>
      <c r="AA97" s="265">
        <f t="shared" si="89"/>
        <v>0</v>
      </c>
      <c r="AB97" s="316">
        <f t="shared" si="90"/>
        <v>1</v>
      </c>
      <c r="AC97" s="316">
        <v>1.0</v>
      </c>
      <c r="AD97" s="157" t="s">
        <v>1281</v>
      </c>
      <c r="AE97" s="264" t="s">
        <v>17</v>
      </c>
      <c r="AF97" s="264" t="s">
        <v>17</v>
      </c>
      <c r="AG97" s="264" t="s">
        <v>17</v>
      </c>
      <c r="AH97" s="264" t="s">
        <v>17</v>
      </c>
      <c r="AI97" s="264" t="s">
        <v>17</v>
      </c>
      <c r="AJ97" s="264" t="s">
        <v>17</v>
      </c>
      <c r="AK97" s="264" t="s">
        <v>17</v>
      </c>
      <c r="AL97" s="264" t="s">
        <v>17</v>
      </c>
    </row>
    <row r="98" hidden="1">
      <c r="A98" s="264" t="s">
        <v>259</v>
      </c>
      <c r="B98" s="264" t="s">
        <v>977</v>
      </c>
      <c r="C98" s="47" t="s">
        <v>736</v>
      </c>
      <c r="D98" s="157" t="s">
        <v>1119</v>
      </c>
      <c r="E98" s="49" t="s">
        <v>67</v>
      </c>
      <c r="F98" s="178" t="s">
        <v>17</v>
      </c>
      <c r="G98" s="184">
        <v>0.0</v>
      </c>
      <c r="H98" s="184" t="s">
        <v>354</v>
      </c>
      <c r="I98" s="184" t="s">
        <v>371</v>
      </c>
      <c r="J98" s="264" t="s">
        <v>17</v>
      </c>
      <c r="K98" s="264" t="s">
        <v>17</v>
      </c>
      <c r="L98" s="264">
        <v>0.0</v>
      </c>
      <c r="M98" s="264" t="s">
        <v>17</v>
      </c>
      <c r="N98" s="264">
        <v>0.0</v>
      </c>
      <c r="O98" s="264" t="s">
        <v>17</v>
      </c>
      <c r="P98" s="157">
        <v>0.0</v>
      </c>
      <c r="Q98" s="264">
        <v>0.0</v>
      </c>
      <c r="R98" s="264" t="s">
        <v>17</v>
      </c>
      <c r="S98" s="157">
        <v>1.0</v>
      </c>
      <c r="T98" s="157" t="s">
        <v>389</v>
      </c>
      <c r="U98" s="157">
        <v>1.0</v>
      </c>
      <c r="V98" s="157" t="s">
        <v>1103</v>
      </c>
      <c r="W98" s="316">
        <f t="shared" si="85"/>
        <v>1</v>
      </c>
      <c r="X98" s="265">
        <f t="shared" si="86"/>
        <v>0</v>
      </c>
      <c r="Y98" s="265">
        <f t="shared" si="87"/>
        <v>0</v>
      </c>
      <c r="Z98" s="316">
        <f t="shared" si="88"/>
        <v>1</v>
      </c>
      <c r="AA98" s="265">
        <f t="shared" si="89"/>
        <v>0</v>
      </c>
      <c r="AB98" s="316">
        <f t="shared" si="90"/>
        <v>1</v>
      </c>
      <c r="AC98" s="316">
        <v>1.0</v>
      </c>
      <c r="AD98" s="157" t="s">
        <v>1312</v>
      </c>
      <c r="AE98" s="264" t="s">
        <v>17</v>
      </c>
      <c r="AF98" s="264" t="s">
        <v>17</v>
      </c>
      <c r="AG98" s="264" t="s">
        <v>17</v>
      </c>
      <c r="AH98" s="264" t="s">
        <v>17</v>
      </c>
      <c r="AI98" s="264" t="s">
        <v>17</v>
      </c>
      <c r="AJ98" s="264" t="s">
        <v>17</v>
      </c>
      <c r="AK98" s="264" t="s">
        <v>17</v>
      </c>
      <c r="AL98" s="264" t="s">
        <v>17</v>
      </c>
    </row>
    <row r="99" hidden="1">
      <c r="A99" s="264" t="s">
        <v>982</v>
      </c>
      <c r="B99" s="264" t="s">
        <v>980</v>
      </c>
      <c r="C99" s="47" t="s">
        <v>736</v>
      </c>
      <c r="D99" s="157" t="s">
        <v>1119</v>
      </c>
      <c r="E99" s="49" t="s">
        <v>8</v>
      </c>
      <c r="F99" s="178" t="s">
        <v>17</v>
      </c>
      <c r="G99" s="264" t="s">
        <v>17</v>
      </c>
      <c r="H99" s="264" t="s">
        <v>17</v>
      </c>
      <c r="I99" s="264" t="s">
        <v>17</v>
      </c>
      <c r="J99" s="264" t="s">
        <v>17</v>
      </c>
      <c r="K99" s="264" t="s">
        <v>17</v>
      </c>
      <c r="L99" s="157">
        <v>0.0</v>
      </c>
      <c r="M99" s="157" t="s">
        <v>17</v>
      </c>
      <c r="N99" s="315" t="s">
        <v>373</v>
      </c>
      <c r="O99" s="328" t="s">
        <v>373</v>
      </c>
      <c r="P99" s="157" t="s">
        <v>17</v>
      </c>
      <c r="Q99" s="264">
        <v>0.0</v>
      </c>
      <c r="R99" s="264" t="s">
        <v>17</v>
      </c>
      <c r="S99" s="264">
        <v>0.0</v>
      </c>
      <c r="T99" s="264" t="s">
        <v>17</v>
      </c>
      <c r="U99" s="157">
        <v>1.0</v>
      </c>
      <c r="V99" s="157" t="s">
        <v>1103</v>
      </c>
      <c r="W99" s="264" t="s">
        <v>17</v>
      </c>
      <c r="X99" s="264" t="s">
        <v>17</v>
      </c>
      <c r="Y99" s="264" t="s">
        <v>17</v>
      </c>
      <c r="Z99" s="264" t="s">
        <v>17</v>
      </c>
      <c r="AA99" s="264" t="s">
        <v>17</v>
      </c>
      <c r="AB99" s="264" t="s">
        <v>17</v>
      </c>
      <c r="AC99" s="264" t="s">
        <v>17</v>
      </c>
      <c r="AD99" s="264" t="s">
        <v>17</v>
      </c>
      <c r="AE99" s="264" t="s">
        <v>17</v>
      </c>
      <c r="AF99" s="264" t="s">
        <v>17</v>
      </c>
      <c r="AG99" s="264" t="s">
        <v>17</v>
      </c>
      <c r="AH99" s="264" t="s">
        <v>17</v>
      </c>
      <c r="AI99" s="264" t="s">
        <v>17</v>
      </c>
      <c r="AJ99" s="264" t="s">
        <v>17</v>
      </c>
      <c r="AK99" s="264" t="s">
        <v>17</v>
      </c>
      <c r="AL99" s="264" t="s">
        <v>17</v>
      </c>
    </row>
    <row r="100" hidden="1">
      <c r="A100" s="264" t="s">
        <v>984</v>
      </c>
      <c r="B100" s="264" t="s">
        <v>985</v>
      </c>
      <c r="C100" s="47" t="s">
        <v>736</v>
      </c>
      <c r="D100" s="157" t="s">
        <v>1119</v>
      </c>
      <c r="E100" s="49" t="s">
        <v>8</v>
      </c>
      <c r="F100" s="178" t="s">
        <v>17</v>
      </c>
      <c r="G100" s="184">
        <v>0.0</v>
      </c>
      <c r="H100" s="184" t="s">
        <v>354</v>
      </c>
      <c r="I100" s="184" t="s">
        <v>371</v>
      </c>
      <c r="J100" s="157" t="s">
        <v>17</v>
      </c>
      <c r="K100" s="264" t="s">
        <v>17</v>
      </c>
      <c r="L100" s="157">
        <v>0.0</v>
      </c>
      <c r="M100" s="157" t="s">
        <v>17</v>
      </c>
      <c r="N100" s="157">
        <v>0.0</v>
      </c>
      <c r="O100" s="157" t="s">
        <v>17</v>
      </c>
      <c r="P100" s="157">
        <v>0.0</v>
      </c>
      <c r="Q100" s="157">
        <v>0.0</v>
      </c>
      <c r="R100" s="157" t="s">
        <v>17</v>
      </c>
      <c r="S100" s="157">
        <v>1.0</v>
      </c>
      <c r="T100" s="157" t="s">
        <v>420</v>
      </c>
      <c r="U100" s="44" t="s">
        <v>373</v>
      </c>
      <c r="V100" s="44" t="s">
        <v>373</v>
      </c>
      <c r="W100" s="316">
        <f t="shared" ref="W100:W111" si="91">if(sum(L100,N100)&gt;0,0,1)</f>
        <v>1</v>
      </c>
      <c r="X100" s="265">
        <f t="shared" ref="X100:X111" si="92">1-W100</f>
        <v>0</v>
      </c>
      <c r="Y100" s="265">
        <f t="shared" ref="Y100:Y111" si="93">if(sum(Q100,S100,U100)&gt;0,0,1)</f>
        <v>0</v>
      </c>
      <c r="Z100" s="316">
        <f t="shared" ref="Z100:Z111" si="94">1-Y100</f>
        <v>1</v>
      </c>
      <c r="AA100" s="265">
        <f t="shared" ref="AA100:AA111" si="95">if(sum(W100,Y100)=2,1,0)</f>
        <v>0</v>
      </c>
      <c r="AB100" s="316">
        <f t="shared" ref="AB100:AB111" si="96">if(sum(W100,Z100)=2,1,0)</f>
        <v>1</v>
      </c>
      <c r="AC100" s="316">
        <v>1.0</v>
      </c>
      <c r="AD100" s="157" t="s">
        <v>1313</v>
      </c>
      <c r="AE100" s="264" t="s">
        <v>17</v>
      </c>
      <c r="AF100" s="264" t="s">
        <v>17</v>
      </c>
      <c r="AG100" s="264" t="s">
        <v>17</v>
      </c>
      <c r="AH100" s="264" t="s">
        <v>17</v>
      </c>
      <c r="AI100" s="264" t="s">
        <v>17</v>
      </c>
      <c r="AJ100" s="264" t="s">
        <v>17</v>
      </c>
      <c r="AK100" s="264" t="s">
        <v>17</v>
      </c>
      <c r="AL100" s="264" t="s">
        <v>17</v>
      </c>
    </row>
    <row r="101">
      <c r="A101" s="264" t="s">
        <v>990</v>
      </c>
      <c r="B101" s="264" t="s">
        <v>991</v>
      </c>
      <c r="C101" s="47" t="s">
        <v>736</v>
      </c>
      <c r="D101" s="157" t="s">
        <v>1119</v>
      </c>
      <c r="E101" s="49" t="s">
        <v>67</v>
      </c>
      <c r="F101" s="178" t="s">
        <v>17</v>
      </c>
      <c r="G101" s="158">
        <v>2.0</v>
      </c>
      <c r="H101" s="158" t="s">
        <v>993</v>
      </c>
      <c r="I101" s="158" t="s">
        <v>398</v>
      </c>
      <c r="J101" s="264" t="s">
        <v>17</v>
      </c>
      <c r="K101" s="264" t="s">
        <v>17</v>
      </c>
      <c r="L101" s="157">
        <v>0.0</v>
      </c>
      <c r="M101" s="157" t="s">
        <v>17</v>
      </c>
      <c r="N101" s="157">
        <v>1.0</v>
      </c>
      <c r="O101" s="157" t="s">
        <v>358</v>
      </c>
      <c r="P101" s="157">
        <v>0.0</v>
      </c>
      <c r="Q101" s="157">
        <v>0.0</v>
      </c>
      <c r="R101" s="157" t="s">
        <v>17</v>
      </c>
      <c r="S101" s="157">
        <v>0.0</v>
      </c>
      <c r="T101" s="157" t="s">
        <v>17</v>
      </c>
      <c r="U101" s="157">
        <v>1.0</v>
      </c>
      <c r="V101" s="157" t="s">
        <v>413</v>
      </c>
      <c r="W101" s="265">
        <f t="shared" si="91"/>
        <v>0</v>
      </c>
      <c r="X101" s="265">
        <f t="shared" si="92"/>
        <v>1</v>
      </c>
      <c r="Y101" s="265">
        <f t="shared" si="93"/>
        <v>0</v>
      </c>
      <c r="Z101" s="265">
        <f t="shared" si="94"/>
        <v>1</v>
      </c>
      <c r="AA101" s="265">
        <f t="shared" si="95"/>
        <v>0</v>
      </c>
      <c r="AB101" s="265">
        <f t="shared" si="96"/>
        <v>0</v>
      </c>
      <c r="AC101" s="158">
        <v>1.0</v>
      </c>
      <c r="AD101" s="157" t="s">
        <v>1165</v>
      </c>
      <c r="AE101" s="264" t="s">
        <v>17</v>
      </c>
      <c r="AF101" s="264" t="s">
        <v>17</v>
      </c>
      <c r="AG101" s="264" t="s">
        <v>17</v>
      </c>
      <c r="AH101" s="157" t="s">
        <v>17</v>
      </c>
      <c r="AI101" s="157" t="s">
        <v>17</v>
      </c>
      <c r="AJ101" s="157">
        <v>1.0</v>
      </c>
      <c r="AK101" s="157" t="s">
        <v>413</v>
      </c>
      <c r="AL101" s="158" t="s">
        <v>413</v>
      </c>
    </row>
    <row r="102">
      <c r="A102" s="264" t="s">
        <v>995</v>
      </c>
      <c r="B102" s="264" t="s">
        <v>996</v>
      </c>
      <c r="C102" s="47" t="s">
        <v>736</v>
      </c>
      <c r="D102" s="157" t="s">
        <v>1119</v>
      </c>
      <c r="E102" s="49" t="s">
        <v>67</v>
      </c>
      <c r="F102" s="178" t="s">
        <v>17</v>
      </c>
      <c r="G102" s="158">
        <v>1.0</v>
      </c>
      <c r="H102" s="158" t="s">
        <v>998</v>
      </c>
      <c r="I102" s="158" t="s">
        <v>455</v>
      </c>
      <c r="J102" s="264" t="s">
        <v>17</v>
      </c>
      <c r="K102" s="264" t="s">
        <v>17</v>
      </c>
      <c r="L102" s="157">
        <v>0.0</v>
      </c>
      <c r="M102" s="157" t="s">
        <v>17</v>
      </c>
      <c r="N102" s="157">
        <v>0.0</v>
      </c>
      <c r="O102" s="157" t="s">
        <v>17</v>
      </c>
      <c r="P102" s="157">
        <v>0.0</v>
      </c>
      <c r="Q102" s="157">
        <v>0.0</v>
      </c>
      <c r="R102" s="157" t="s">
        <v>17</v>
      </c>
      <c r="S102" s="157">
        <v>0.0</v>
      </c>
      <c r="T102" s="157" t="s">
        <v>17</v>
      </c>
      <c r="U102" s="157">
        <v>1.0</v>
      </c>
      <c r="V102" s="157" t="s">
        <v>413</v>
      </c>
      <c r="W102" s="323">
        <f t="shared" si="91"/>
        <v>1</v>
      </c>
      <c r="X102" s="265">
        <f t="shared" si="92"/>
        <v>0</v>
      </c>
      <c r="Y102" s="265">
        <f t="shared" si="93"/>
        <v>0</v>
      </c>
      <c r="Z102" s="323">
        <f t="shared" si="94"/>
        <v>1</v>
      </c>
      <c r="AA102" s="265">
        <f t="shared" si="95"/>
        <v>0</v>
      </c>
      <c r="AB102" s="323">
        <f t="shared" si="96"/>
        <v>1</v>
      </c>
      <c r="AC102" s="323">
        <v>1.0</v>
      </c>
      <c r="AD102" s="157" t="s">
        <v>1283</v>
      </c>
      <c r="AE102" s="264" t="s">
        <v>17</v>
      </c>
      <c r="AF102" s="264" t="s">
        <v>17</v>
      </c>
      <c r="AG102" s="264" t="s">
        <v>17</v>
      </c>
      <c r="AH102" s="157">
        <v>1.0</v>
      </c>
      <c r="AI102" s="157" t="s">
        <v>357</v>
      </c>
      <c r="AJ102" s="157">
        <v>1.0</v>
      </c>
      <c r="AK102" s="157" t="s">
        <v>1314</v>
      </c>
      <c r="AL102" s="158" t="s">
        <v>1271</v>
      </c>
    </row>
    <row r="103" hidden="1">
      <c r="A103" s="264" t="s">
        <v>1002</v>
      </c>
      <c r="B103" s="264" t="s">
        <v>1003</v>
      </c>
      <c r="C103" s="47" t="s">
        <v>736</v>
      </c>
      <c r="D103" s="157" t="s">
        <v>1119</v>
      </c>
      <c r="E103" s="49" t="s">
        <v>67</v>
      </c>
      <c r="F103" s="178" t="s">
        <v>17</v>
      </c>
      <c r="G103" s="184">
        <v>0.0</v>
      </c>
      <c r="H103" s="184" t="s">
        <v>354</v>
      </c>
      <c r="I103" s="184" t="s">
        <v>371</v>
      </c>
      <c r="J103" s="264" t="s">
        <v>17</v>
      </c>
      <c r="K103" s="264" t="s">
        <v>17</v>
      </c>
      <c r="L103" s="157">
        <v>0.0</v>
      </c>
      <c r="M103" s="157" t="s">
        <v>17</v>
      </c>
      <c r="N103" s="157">
        <v>0.0</v>
      </c>
      <c r="O103" s="157" t="s">
        <v>17</v>
      </c>
      <c r="P103" s="157">
        <v>0.0</v>
      </c>
      <c r="Q103" s="157">
        <v>0.0</v>
      </c>
      <c r="R103" s="157" t="s">
        <v>17</v>
      </c>
      <c r="S103" s="157">
        <v>0.0</v>
      </c>
      <c r="T103" s="157" t="s">
        <v>17</v>
      </c>
      <c r="U103" s="157">
        <v>0.0</v>
      </c>
      <c r="V103" s="157" t="s">
        <v>17</v>
      </c>
      <c r="W103" s="316">
        <f t="shared" si="91"/>
        <v>1</v>
      </c>
      <c r="X103" s="265">
        <f t="shared" si="92"/>
        <v>0</v>
      </c>
      <c r="Y103" s="316">
        <f t="shared" si="93"/>
        <v>1</v>
      </c>
      <c r="Z103" s="265">
        <f t="shared" si="94"/>
        <v>0</v>
      </c>
      <c r="AA103" s="316">
        <f t="shared" si="95"/>
        <v>1</v>
      </c>
      <c r="AB103" s="265">
        <f t="shared" si="96"/>
        <v>0</v>
      </c>
      <c r="AC103" s="184">
        <v>0.0</v>
      </c>
      <c r="AD103" s="157" t="s">
        <v>17</v>
      </c>
      <c r="AE103" s="264" t="s">
        <v>17</v>
      </c>
      <c r="AF103" s="264" t="s">
        <v>17</v>
      </c>
      <c r="AG103" s="264" t="s">
        <v>17</v>
      </c>
      <c r="AH103" s="264" t="s">
        <v>17</v>
      </c>
      <c r="AI103" s="264" t="s">
        <v>17</v>
      </c>
      <c r="AJ103" s="264" t="s">
        <v>17</v>
      </c>
      <c r="AK103" s="264" t="s">
        <v>17</v>
      </c>
      <c r="AL103" s="264" t="s">
        <v>17</v>
      </c>
    </row>
    <row r="104" hidden="1">
      <c r="A104" s="264" t="s">
        <v>1008</v>
      </c>
      <c r="B104" s="264" t="s">
        <v>1009</v>
      </c>
      <c r="C104" s="47" t="s">
        <v>736</v>
      </c>
      <c r="D104" s="157" t="s">
        <v>1119</v>
      </c>
      <c r="E104" s="49" t="s">
        <v>8</v>
      </c>
      <c r="F104" s="178" t="s">
        <v>17</v>
      </c>
      <c r="G104" s="184">
        <v>0.0</v>
      </c>
      <c r="H104" s="184" t="s">
        <v>354</v>
      </c>
      <c r="I104" s="184" t="s">
        <v>371</v>
      </c>
      <c r="J104" s="264" t="s">
        <v>17</v>
      </c>
      <c r="K104" s="264" t="s">
        <v>17</v>
      </c>
      <c r="L104" s="157">
        <v>0.0</v>
      </c>
      <c r="M104" s="157" t="s">
        <v>17</v>
      </c>
      <c r="N104" s="157">
        <v>0.0</v>
      </c>
      <c r="O104" s="157" t="s">
        <v>17</v>
      </c>
      <c r="P104" s="157">
        <v>0.0</v>
      </c>
      <c r="Q104" s="157">
        <v>0.0</v>
      </c>
      <c r="R104" s="157" t="s">
        <v>17</v>
      </c>
      <c r="S104" s="157">
        <v>0.0</v>
      </c>
      <c r="T104" s="157" t="s">
        <v>17</v>
      </c>
      <c r="U104" s="157">
        <v>0.0</v>
      </c>
      <c r="V104" s="157" t="s">
        <v>17</v>
      </c>
      <c r="W104" s="316">
        <f t="shared" si="91"/>
        <v>1</v>
      </c>
      <c r="X104" s="265">
        <f t="shared" si="92"/>
        <v>0</v>
      </c>
      <c r="Y104" s="316">
        <f t="shared" si="93"/>
        <v>1</v>
      </c>
      <c r="Z104" s="265">
        <f t="shared" si="94"/>
        <v>0</v>
      </c>
      <c r="AA104" s="316">
        <f t="shared" si="95"/>
        <v>1</v>
      </c>
      <c r="AB104" s="265">
        <f t="shared" si="96"/>
        <v>0</v>
      </c>
      <c r="AC104" s="184">
        <v>0.0</v>
      </c>
      <c r="AD104" s="157" t="s">
        <v>17</v>
      </c>
      <c r="AE104" s="264" t="s">
        <v>17</v>
      </c>
      <c r="AF104" s="264" t="s">
        <v>17</v>
      </c>
      <c r="AG104" s="264" t="s">
        <v>17</v>
      </c>
      <c r="AH104" s="264" t="s">
        <v>17</v>
      </c>
      <c r="AI104" s="264" t="s">
        <v>17</v>
      </c>
      <c r="AJ104" s="264" t="s">
        <v>17</v>
      </c>
      <c r="AK104" s="264" t="s">
        <v>17</v>
      </c>
      <c r="AL104" s="264" t="s">
        <v>17</v>
      </c>
    </row>
    <row r="105" hidden="1">
      <c r="A105" s="264" t="s">
        <v>1013</v>
      </c>
      <c r="B105" s="264" t="s">
        <v>1014</v>
      </c>
      <c r="C105" s="47" t="s">
        <v>736</v>
      </c>
      <c r="D105" s="157" t="s">
        <v>1119</v>
      </c>
      <c r="E105" s="49" t="s">
        <v>67</v>
      </c>
      <c r="F105" s="178" t="s">
        <v>17</v>
      </c>
      <c r="G105" s="184">
        <v>0.0</v>
      </c>
      <c r="H105" s="184" t="s">
        <v>354</v>
      </c>
      <c r="I105" s="184" t="s">
        <v>371</v>
      </c>
      <c r="J105" s="264" t="s">
        <v>17</v>
      </c>
      <c r="K105" s="264" t="s">
        <v>17</v>
      </c>
      <c r="L105" s="157">
        <v>0.0</v>
      </c>
      <c r="M105" s="157" t="s">
        <v>17</v>
      </c>
      <c r="N105" s="157">
        <v>0.0</v>
      </c>
      <c r="O105" s="157" t="s">
        <v>17</v>
      </c>
      <c r="P105" s="157">
        <v>0.0</v>
      </c>
      <c r="Q105" s="157">
        <v>0.0</v>
      </c>
      <c r="R105" s="157" t="s">
        <v>17</v>
      </c>
      <c r="S105" s="157">
        <v>0.0</v>
      </c>
      <c r="T105" s="157" t="s">
        <v>17</v>
      </c>
      <c r="U105" s="157">
        <v>0.0</v>
      </c>
      <c r="V105" s="157" t="s">
        <v>17</v>
      </c>
      <c r="W105" s="316">
        <f t="shared" si="91"/>
        <v>1</v>
      </c>
      <c r="X105" s="265">
        <f t="shared" si="92"/>
        <v>0</v>
      </c>
      <c r="Y105" s="316">
        <f t="shared" si="93"/>
        <v>1</v>
      </c>
      <c r="Z105" s="265">
        <f t="shared" si="94"/>
        <v>0</v>
      </c>
      <c r="AA105" s="316">
        <f t="shared" si="95"/>
        <v>1</v>
      </c>
      <c r="AB105" s="265">
        <f t="shared" si="96"/>
        <v>0</v>
      </c>
      <c r="AC105" s="184">
        <v>0.0</v>
      </c>
      <c r="AD105" s="157" t="s">
        <v>17</v>
      </c>
      <c r="AE105" s="264" t="s">
        <v>17</v>
      </c>
      <c r="AF105" s="264" t="s">
        <v>17</v>
      </c>
      <c r="AG105" s="264" t="s">
        <v>17</v>
      </c>
      <c r="AH105" s="264" t="s">
        <v>17</v>
      </c>
      <c r="AI105" s="264" t="s">
        <v>17</v>
      </c>
      <c r="AJ105" s="264" t="s">
        <v>17</v>
      </c>
      <c r="AK105" s="264" t="s">
        <v>17</v>
      </c>
      <c r="AL105" s="264" t="s">
        <v>17</v>
      </c>
    </row>
    <row r="106" hidden="1">
      <c r="A106" s="264" t="s">
        <v>1018</v>
      </c>
      <c r="B106" s="264" t="s">
        <v>1019</v>
      </c>
      <c r="C106" s="47" t="s">
        <v>736</v>
      </c>
      <c r="D106" s="157" t="s">
        <v>1119</v>
      </c>
      <c r="E106" s="49" t="s">
        <v>8</v>
      </c>
      <c r="F106" s="178" t="s">
        <v>17</v>
      </c>
      <c r="G106" s="184">
        <v>0.0</v>
      </c>
      <c r="H106" s="184" t="s">
        <v>354</v>
      </c>
      <c r="I106" s="184" t="s">
        <v>371</v>
      </c>
      <c r="J106" s="264" t="s">
        <v>17</v>
      </c>
      <c r="K106" s="264" t="s">
        <v>17</v>
      </c>
      <c r="L106" s="157">
        <v>0.0</v>
      </c>
      <c r="M106" s="157" t="s">
        <v>17</v>
      </c>
      <c r="N106" s="157">
        <v>0.0</v>
      </c>
      <c r="O106" s="157" t="s">
        <v>17</v>
      </c>
      <c r="P106" s="157">
        <v>0.0</v>
      </c>
      <c r="Q106" s="157">
        <v>1.0</v>
      </c>
      <c r="R106" s="157" t="s">
        <v>389</v>
      </c>
      <c r="S106" s="157">
        <v>1.0</v>
      </c>
      <c r="T106" s="157" t="s">
        <v>389</v>
      </c>
      <c r="U106" s="157">
        <v>1.0</v>
      </c>
      <c r="V106" s="157" t="s">
        <v>1103</v>
      </c>
      <c r="W106" s="316">
        <f t="shared" si="91"/>
        <v>1</v>
      </c>
      <c r="X106" s="265">
        <f t="shared" si="92"/>
        <v>0</v>
      </c>
      <c r="Y106" s="265">
        <f t="shared" si="93"/>
        <v>0</v>
      </c>
      <c r="Z106" s="316">
        <f t="shared" si="94"/>
        <v>1</v>
      </c>
      <c r="AA106" s="265">
        <f t="shared" si="95"/>
        <v>0</v>
      </c>
      <c r="AB106" s="316">
        <f t="shared" si="96"/>
        <v>1</v>
      </c>
      <c r="AC106" s="316">
        <v>1.0</v>
      </c>
      <c r="AD106" s="157" t="s">
        <v>1312</v>
      </c>
      <c r="AE106" s="264" t="s">
        <v>17</v>
      </c>
      <c r="AF106" s="264" t="s">
        <v>17</v>
      </c>
      <c r="AG106" s="264" t="s">
        <v>17</v>
      </c>
      <c r="AH106" s="264" t="s">
        <v>17</v>
      </c>
      <c r="AI106" s="264" t="s">
        <v>17</v>
      </c>
      <c r="AJ106" s="264" t="s">
        <v>17</v>
      </c>
      <c r="AK106" s="264" t="s">
        <v>17</v>
      </c>
      <c r="AL106" s="264" t="s">
        <v>17</v>
      </c>
    </row>
    <row r="107" hidden="1">
      <c r="A107" s="264" t="s">
        <v>1027</v>
      </c>
      <c r="B107" s="264" t="s">
        <v>1024</v>
      </c>
      <c r="C107" s="47" t="s">
        <v>736</v>
      </c>
      <c r="D107" s="157" t="s">
        <v>1119</v>
      </c>
      <c r="E107" s="49" t="s">
        <v>67</v>
      </c>
      <c r="F107" s="178" t="s">
        <v>17</v>
      </c>
      <c r="G107" s="184">
        <v>0.0</v>
      </c>
      <c r="H107" s="184" t="s">
        <v>354</v>
      </c>
      <c r="I107" s="184" t="s">
        <v>371</v>
      </c>
      <c r="J107" s="264" t="s">
        <v>17</v>
      </c>
      <c r="K107" s="264" t="s">
        <v>17</v>
      </c>
      <c r="L107" s="157">
        <v>0.0</v>
      </c>
      <c r="M107" s="157" t="s">
        <v>17</v>
      </c>
      <c r="N107" s="157">
        <v>0.0</v>
      </c>
      <c r="O107" s="157" t="s">
        <v>17</v>
      </c>
      <c r="P107" s="157">
        <v>0.0</v>
      </c>
      <c r="Q107" s="157">
        <v>0.0</v>
      </c>
      <c r="R107" s="157" t="s">
        <v>17</v>
      </c>
      <c r="S107" s="157">
        <v>0.0</v>
      </c>
      <c r="T107" s="157" t="s">
        <v>17</v>
      </c>
      <c r="U107" s="157">
        <v>1.0</v>
      </c>
      <c r="V107" s="157" t="s">
        <v>413</v>
      </c>
      <c r="W107" s="316">
        <f t="shared" si="91"/>
        <v>1</v>
      </c>
      <c r="X107" s="265">
        <f t="shared" si="92"/>
        <v>0</v>
      </c>
      <c r="Y107" s="265">
        <f t="shared" si="93"/>
        <v>0</v>
      </c>
      <c r="Z107" s="316">
        <f t="shared" si="94"/>
        <v>1</v>
      </c>
      <c r="AA107" s="265">
        <f t="shared" si="95"/>
        <v>0</v>
      </c>
      <c r="AB107" s="316">
        <f t="shared" si="96"/>
        <v>1</v>
      </c>
      <c r="AC107" s="316">
        <v>1.0</v>
      </c>
      <c r="AD107" s="157" t="s">
        <v>1283</v>
      </c>
      <c r="AE107" s="264" t="s">
        <v>17</v>
      </c>
      <c r="AF107" s="264" t="s">
        <v>17</v>
      </c>
      <c r="AG107" s="264" t="s">
        <v>17</v>
      </c>
      <c r="AH107" s="264" t="s">
        <v>17</v>
      </c>
      <c r="AI107" s="264" t="s">
        <v>17</v>
      </c>
      <c r="AJ107" s="264" t="s">
        <v>17</v>
      </c>
      <c r="AK107" s="264" t="s">
        <v>17</v>
      </c>
      <c r="AL107" s="264" t="s">
        <v>17</v>
      </c>
    </row>
    <row r="108" hidden="1">
      <c r="A108" s="264" t="s">
        <v>1028</v>
      </c>
      <c r="B108" s="264" t="s">
        <v>1029</v>
      </c>
      <c r="C108" s="47" t="s">
        <v>736</v>
      </c>
      <c r="D108" s="157" t="s">
        <v>1119</v>
      </c>
      <c r="E108" s="49" t="s">
        <v>67</v>
      </c>
      <c r="F108" s="178" t="s">
        <v>17</v>
      </c>
      <c r="G108" s="184">
        <v>0.0</v>
      </c>
      <c r="H108" s="184" t="s">
        <v>354</v>
      </c>
      <c r="I108" s="184" t="s">
        <v>371</v>
      </c>
      <c r="J108" s="264" t="s">
        <v>17</v>
      </c>
      <c r="K108" s="264" t="s">
        <v>17</v>
      </c>
      <c r="L108" s="157">
        <v>0.0</v>
      </c>
      <c r="M108" s="157" t="s">
        <v>17</v>
      </c>
      <c r="N108" s="157">
        <v>0.0</v>
      </c>
      <c r="O108" s="157" t="s">
        <v>17</v>
      </c>
      <c r="P108" s="157">
        <v>0.0</v>
      </c>
      <c r="Q108" s="157">
        <v>0.0</v>
      </c>
      <c r="R108" s="157" t="s">
        <v>17</v>
      </c>
      <c r="S108" s="44" t="s">
        <v>373</v>
      </c>
      <c r="T108" s="44" t="s">
        <v>373</v>
      </c>
      <c r="U108" s="157">
        <v>1.0</v>
      </c>
      <c r="V108" s="157" t="s">
        <v>413</v>
      </c>
      <c r="W108" s="316">
        <f t="shared" si="91"/>
        <v>1</v>
      </c>
      <c r="X108" s="265">
        <f t="shared" si="92"/>
        <v>0</v>
      </c>
      <c r="Y108" s="265">
        <f t="shared" si="93"/>
        <v>0</v>
      </c>
      <c r="Z108" s="316">
        <f t="shared" si="94"/>
        <v>1</v>
      </c>
      <c r="AA108" s="265">
        <f t="shared" si="95"/>
        <v>0</v>
      </c>
      <c r="AB108" s="316">
        <f t="shared" si="96"/>
        <v>1</v>
      </c>
      <c r="AC108" s="316">
        <v>1.0</v>
      </c>
      <c r="AD108" s="157" t="s">
        <v>1283</v>
      </c>
      <c r="AE108" s="264" t="s">
        <v>17</v>
      </c>
      <c r="AF108" s="264" t="s">
        <v>17</v>
      </c>
      <c r="AG108" s="264" t="s">
        <v>17</v>
      </c>
      <c r="AH108" s="264" t="s">
        <v>17</v>
      </c>
      <c r="AI108" s="264" t="s">
        <v>17</v>
      </c>
      <c r="AJ108" s="264" t="s">
        <v>17</v>
      </c>
      <c r="AK108" s="264" t="s">
        <v>17</v>
      </c>
      <c r="AL108" s="264" t="s">
        <v>17</v>
      </c>
    </row>
    <row r="109">
      <c r="A109" s="264" t="s">
        <v>1032</v>
      </c>
      <c r="B109" s="264" t="s">
        <v>1033</v>
      </c>
      <c r="C109" s="47" t="s">
        <v>736</v>
      </c>
      <c r="D109" s="157" t="s">
        <v>1119</v>
      </c>
      <c r="E109" s="49" t="s">
        <v>8</v>
      </c>
      <c r="F109" s="178" t="s">
        <v>17</v>
      </c>
      <c r="G109" s="158">
        <v>1.0</v>
      </c>
      <c r="H109" s="158" t="s">
        <v>1035</v>
      </c>
      <c r="I109" s="158" t="s">
        <v>455</v>
      </c>
      <c r="J109" s="264" t="s">
        <v>17</v>
      </c>
      <c r="K109" s="264" t="s">
        <v>17</v>
      </c>
      <c r="L109" s="157">
        <v>0.0</v>
      </c>
      <c r="M109" s="157" t="s">
        <v>17</v>
      </c>
      <c r="N109" s="157">
        <v>1.0</v>
      </c>
      <c r="O109" s="157" t="s">
        <v>389</v>
      </c>
      <c r="P109" s="157">
        <v>0.0</v>
      </c>
      <c r="Q109" s="157">
        <v>0.0</v>
      </c>
      <c r="R109" s="157" t="s">
        <v>17</v>
      </c>
      <c r="S109" s="157">
        <v>0.0</v>
      </c>
      <c r="T109" s="157" t="s">
        <v>17</v>
      </c>
      <c r="U109" s="157">
        <v>0.0</v>
      </c>
      <c r="V109" s="157" t="s">
        <v>17</v>
      </c>
      <c r="W109" s="265">
        <f t="shared" si="91"/>
        <v>0</v>
      </c>
      <c r="X109" s="265">
        <f t="shared" si="92"/>
        <v>1</v>
      </c>
      <c r="Y109" s="265">
        <f t="shared" si="93"/>
        <v>1</v>
      </c>
      <c r="Z109" s="265">
        <f t="shared" si="94"/>
        <v>0</v>
      </c>
      <c r="AA109" s="265">
        <f t="shared" si="95"/>
        <v>0</v>
      </c>
      <c r="AB109" s="265">
        <f t="shared" si="96"/>
        <v>0</v>
      </c>
      <c r="AC109" s="158">
        <v>0.0</v>
      </c>
      <c r="AD109" s="157" t="s">
        <v>17</v>
      </c>
      <c r="AE109" s="264" t="s">
        <v>17</v>
      </c>
      <c r="AF109" s="264" t="s">
        <v>17</v>
      </c>
      <c r="AG109" s="264" t="s">
        <v>17</v>
      </c>
      <c r="AH109" s="264" t="s">
        <v>17</v>
      </c>
      <c r="AI109" s="264" t="s">
        <v>17</v>
      </c>
      <c r="AJ109" s="157">
        <v>1.0</v>
      </c>
      <c r="AK109" s="157" t="s">
        <v>357</v>
      </c>
      <c r="AL109" s="158" t="s">
        <v>1271</v>
      </c>
    </row>
    <row r="110" hidden="1">
      <c r="A110" s="264" t="s">
        <v>1037</v>
      </c>
      <c r="B110" s="264" t="s">
        <v>1038</v>
      </c>
      <c r="C110" s="47" t="s">
        <v>736</v>
      </c>
      <c r="D110" s="157" t="s">
        <v>1119</v>
      </c>
      <c r="E110" s="49" t="s">
        <v>8</v>
      </c>
      <c r="F110" s="178" t="s">
        <v>17</v>
      </c>
      <c r="G110" s="184">
        <v>0.0</v>
      </c>
      <c r="H110" s="184" t="s">
        <v>354</v>
      </c>
      <c r="I110" s="184" t="s">
        <v>371</v>
      </c>
      <c r="J110" s="264" t="s">
        <v>17</v>
      </c>
      <c r="K110" s="264" t="s">
        <v>17</v>
      </c>
      <c r="L110" s="157">
        <v>0.0</v>
      </c>
      <c r="M110" s="157" t="s">
        <v>17</v>
      </c>
      <c r="N110" s="157">
        <v>0.0</v>
      </c>
      <c r="O110" s="157" t="s">
        <v>17</v>
      </c>
      <c r="P110" s="157">
        <v>0.0</v>
      </c>
      <c r="Q110" s="157">
        <v>1.0</v>
      </c>
      <c r="R110" s="157" t="s">
        <v>1090</v>
      </c>
      <c r="S110" s="157">
        <v>1.0</v>
      </c>
      <c r="T110" s="157" t="s">
        <v>357</v>
      </c>
      <c r="U110" s="157">
        <v>1.0</v>
      </c>
      <c r="V110" s="157" t="s">
        <v>357</v>
      </c>
      <c r="W110" s="184">
        <f t="shared" si="91"/>
        <v>1</v>
      </c>
      <c r="X110" s="265">
        <f t="shared" si="92"/>
        <v>0</v>
      </c>
      <c r="Y110" s="265">
        <f t="shared" si="93"/>
        <v>0</v>
      </c>
      <c r="Z110" s="316">
        <f t="shared" si="94"/>
        <v>1</v>
      </c>
      <c r="AA110" s="265">
        <f t="shared" si="95"/>
        <v>0</v>
      </c>
      <c r="AB110" s="316">
        <f t="shared" si="96"/>
        <v>1</v>
      </c>
      <c r="AC110" s="316">
        <v>1.0</v>
      </c>
      <c r="AD110" s="157" t="s">
        <v>1315</v>
      </c>
      <c r="AE110" s="264" t="s">
        <v>17</v>
      </c>
      <c r="AF110" s="264" t="s">
        <v>17</v>
      </c>
      <c r="AG110" s="264" t="s">
        <v>17</v>
      </c>
      <c r="AH110" s="264" t="s">
        <v>17</v>
      </c>
      <c r="AI110" s="264" t="s">
        <v>17</v>
      </c>
      <c r="AJ110" s="264" t="s">
        <v>17</v>
      </c>
      <c r="AK110" s="264" t="s">
        <v>17</v>
      </c>
      <c r="AL110" s="264" t="s">
        <v>17</v>
      </c>
    </row>
    <row r="111" hidden="1">
      <c r="A111" s="264" t="s">
        <v>1041</v>
      </c>
      <c r="B111" s="264" t="s">
        <v>1042</v>
      </c>
      <c r="C111" s="47" t="s">
        <v>736</v>
      </c>
      <c r="D111" s="157" t="s">
        <v>1119</v>
      </c>
      <c r="E111" s="49" t="s">
        <v>67</v>
      </c>
      <c r="F111" s="178" t="s">
        <v>17</v>
      </c>
      <c r="G111" s="184">
        <v>0.0</v>
      </c>
      <c r="H111" s="184" t="s">
        <v>354</v>
      </c>
      <c r="I111" s="184" t="s">
        <v>371</v>
      </c>
      <c r="J111" s="264" t="s">
        <v>17</v>
      </c>
      <c r="K111" s="264" t="s">
        <v>17</v>
      </c>
      <c r="L111" s="157">
        <v>0.0</v>
      </c>
      <c r="M111" s="157" t="s">
        <v>17</v>
      </c>
      <c r="N111" s="157">
        <v>1.0</v>
      </c>
      <c r="O111" s="157" t="s">
        <v>358</v>
      </c>
      <c r="P111" s="157">
        <v>0.0</v>
      </c>
      <c r="Q111" s="157">
        <v>0.0</v>
      </c>
      <c r="R111" s="157" t="s">
        <v>17</v>
      </c>
      <c r="S111" s="157">
        <v>0.0</v>
      </c>
      <c r="T111" s="157" t="s">
        <v>17</v>
      </c>
      <c r="U111" s="157">
        <v>1.0</v>
      </c>
      <c r="V111" s="157" t="s">
        <v>358</v>
      </c>
      <c r="W111" s="265">
        <f t="shared" si="91"/>
        <v>0</v>
      </c>
      <c r="X111" s="265">
        <f t="shared" si="92"/>
        <v>1</v>
      </c>
      <c r="Y111" s="265">
        <f t="shared" si="93"/>
        <v>0</v>
      </c>
      <c r="Z111" s="265">
        <f t="shared" si="94"/>
        <v>1</v>
      </c>
      <c r="AA111" s="265">
        <f t="shared" si="95"/>
        <v>0</v>
      </c>
      <c r="AB111" s="265">
        <f t="shared" si="96"/>
        <v>0</v>
      </c>
      <c r="AC111" s="184">
        <v>0.0</v>
      </c>
      <c r="AD111" s="157" t="s">
        <v>17</v>
      </c>
      <c r="AE111" s="264" t="s">
        <v>17</v>
      </c>
      <c r="AF111" s="264" t="s">
        <v>17</v>
      </c>
      <c r="AG111" s="264" t="s">
        <v>17</v>
      </c>
      <c r="AH111" s="264" t="s">
        <v>17</v>
      </c>
      <c r="AI111" s="264" t="s">
        <v>17</v>
      </c>
      <c r="AJ111" s="264" t="s">
        <v>17</v>
      </c>
      <c r="AK111" s="264" t="s">
        <v>17</v>
      </c>
      <c r="AL111" s="264" t="s">
        <v>17</v>
      </c>
    </row>
    <row r="112" hidden="1">
      <c r="A112" s="264" t="s">
        <v>1049</v>
      </c>
      <c r="B112" s="264" t="s">
        <v>1046</v>
      </c>
      <c r="C112" s="47" t="s">
        <v>736</v>
      </c>
      <c r="D112" s="157" t="s">
        <v>1119</v>
      </c>
      <c r="E112" s="49" t="s">
        <v>8</v>
      </c>
      <c r="F112" s="178" t="s">
        <v>17</v>
      </c>
      <c r="G112" s="157" t="s">
        <v>17</v>
      </c>
      <c r="H112" s="157" t="s">
        <v>17</v>
      </c>
      <c r="I112" s="157" t="s">
        <v>17</v>
      </c>
      <c r="J112" s="157" t="s">
        <v>17</v>
      </c>
      <c r="K112" s="157" t="s">
        <v>17</v>
      </c>
      <c r="L112" s="157">
        <v>0.0</v>
      </c>
      <c r="M112" s="157" t="s">
        <v>17</v>
      </c>
      <c r="N112" s="44" t="s">
        <v>373</v>
      </c>
      <c r="O112" s="44" t="s">
        <v>373</v>
      </c>
      <c r="P112" s="157" t="s">
        <v>17</v>
      </c>
      <c r="Q112" s="61" t="s">
        <v>373</v>
      </c>
      <c r="R112" s="61" t="s">
        <v>373</v>
      </c>
      <c r="S112" s="157">
        <v>0.0</v>
      </c>
      <c r="T112" s="157" t="s">
        <v>17</v>
      </c>
      <c r="U112" s="157">
        <v>1.0</v>
      </c>
      <c r="V112" s="157" t="s">
        <v>413</v>
      </c>
      <c r="W112" s="264" t="s">
        <v>17</v>
      </c>
      <c r="X112" s="264" t="s">
        <v>17</v>
      </c>
      <c r="Y112" s="264" t="s">
        <v>17</v>
      </c>
      <c r="Z112" s="264" t="s">
        <v>17</v>
      </c>
      <c r="AA112" s="264" t="s">
        <v>17</v>
      </c>
      <c r="AB112" s="264" t="s">
        <v>17</v>
      </c>
      <c r="AC112" s="264" t="s">
        <v>17</v>
      </c>
      <c r="AD112" s="264" t="s">
        <v>17</v>
      </c>
      <c r="AE112" s="264" t="s">
        <v>17</v>
      </c>
      <c r="AF112" s="264" t="s">
        <v>17</v>
      </c>
      <c r="AG112" s="264" t="s">
        <v>17</v>
      </c>
      <c r="AH112" s="264" t="s">
        <v>17</v>
      </c>
      <c r="AI112" s="264" t="s">
        <v>17</v>
      </c>
      <c r="AJ112" s="264" t="s">
        <v>17</v>
      </c>
      <c r="AK112" s="264" t="s">
        <v>17</v>
      </c>
      <c r="AL112" s="264" t="s">
        <v>17</v>
      </c>
    </row>
    <row r="113">
      <c r="A113" s="264" t="s">
        <v>1050</v>
      </c>
      <c r="B113" s="264" t="s">
        <v>1051</v>
      </c>
      <c r="C113" s="47" t="s">
        <v>736</v>
      </c>
      <c r="D113" s="157" t="s">
        <v>1119</v>
      </c>
      <c r="E113" s="49" t="s">
        <v>67</v>
      </c>
      <c r="F113" s="178" t="s">
        <v>17</v>
      </c>
      <c r="G113" s="158">
        <v>1.0</v>
      </c>
      <c r="H113" s="158" t="s">
        <v>1053</v>
      </c>
      <c r="I113" s="158" t="s">
        <v>455</v>
      </c>
      <c r="J113" s="264" t="s">
        <v>17</v>
      </c>
      <c r="K113" s="264" t="s">
        <v>17</v>
      </c>
      <c r="L113" s="157">
        <v>0.0</v>
      </c>
      <c r="M113" s="157" t="s">
        <v>17</v>
      </c>
      <c r="N113" s="157">
        <v>0.0</v>
      </c>
      <c r="O113" s="157" t="s">
        <v>17</v>
      </c>
      <c r="P113" s="157">
        <v>0.0</v>
      </c>
      <c r="Q113" s="157">
        <v>1.0</v>
      </c>
      <c r="R113" s="157" t="s">
        <v>358</v>
      </c>
      <c r="S113" s="44" t="s">
        <v>373</v>
      </c>
      <c r="T113" s="44" t="s">
        <v>373</v>
      </c>
      <c r="U113" s="157">
        <v>0.0</v>
      </c>
      <c r="V113" s="157" t="s">
        <v>17</v>
      </c>
      <c r="W113" s="323">
        <f>if(sum(L113,N113)&gt;0,0,1)</f>
        <v>1</v>
      </c>
      <c r="X113" s="265">
        <f>1-W113</f>
        <v>0</v>
      </c>
      <c r="Y113" s="265">
        <f>if(sum(Q113,S113,U113)&gt;0,0,1)</f>
        <v>0</v>
      </c>
      <c r="Z113" s="323">
        <f>1-Y113</f>
        <v>1</v>
      </c>
      <c r="AA113" s="265">
        <f>if(sum(W113,Y113)=2,1,0)</f>
        <v>0</v>
      </c>
      <c r="AB113" s="323">
        <f>if(sum(W113,Z113)=2,1,0)</f>
        <v>1</v>
      </c>
      <c r="AC113" s="323">
        <v>1.0</v>
      </c>
      <c r="AD113" s="157" t="s">
        <v>1316</v>
      </c>
      <c r="AE113" s="264" t="s">
        <v>17</v>
      </c>
      <c r="AF113" s="264" t="s">
        <v>17</v>
      </c>
      <c r="AG113" s="264" t="s">
        <v>17</v>
      </c>
      <c r="AH113" s="264" t="s">
        <v>17</v>
      </c>
      <c r="AI113" s="264" t="s">
        <v>17</v>
      </c>
      <c r="AJ113" s="157">
        <v>1.0</v>
      </c>
      <c r="AK113" s="157" t="s">
        <v>1163</v>
      </c>
      <c r="AL113" s="158" t="s">
        <v>1271</v>
      </c>
    </row>
    <row r="114">
      <c r="A114" s="265"/>
      <c r="B114" s="265"/>
      <c r="C114" s="265"/>
      <c r="G114" s="265"/>
      <c r="H114" s="265"/>
      <c r="I114" s="265"/>
      <c r="J114" s="265"/>
      <c r="K114" s="265"/>
      <c r="L114" s="265"/>
      <c r="M114" s="265"/>
      <c r="N114" s="265"/>
      <c r="O114" s="265"/>
      <c r="P114" s="265"/>
      <c r="Q114" s="265"/>
      <c r="R114" s="265"/>
      <c r="T114" s="265"/>
      <c r="U114" s="265"/>
      <c r="AC114" s="265"/>
    </row>
    <row r="115">
      <c r="A115" s="265"/>
      <c r="B115" s="265"/>
      <c r="C115" s="265"/>
      <c r="G115" s="265"/>
      <c r="H115" s="265"/>
      <c r="I115" s="265"/>
      <c r="J115" s="265"/>
      <c r="K115" s="265"/>
      <c r="L115" s="265"/>
      <c r="M115" s="265"/>
      <c r="P115" s="265"/>
      <c r="U115" s="157" t="s">
        <v>1255</v>
      </c>
      <c r="V115" s="157" t="s">
        <v>1317</v>
      </c>
      <c r="W115" s="329" t="s">
        <v>1318</v>
      </c>
      <c r="X115" s="265">
        <f>count(G2,G4,G6,G9,G20,G21,G24,G32,G38,G39,G46,G58,G60,G74,G81,G83,G84,G85,G86,G94,G97,G98,G100,G103,G104,G105,G106,G107,G108,G110,G111,G37)</f>
        <v>32</v>
      </c>
      <c r="Z115" s="330" t="s">
        <v>1319</v>
      </c>
      <c r="AA115" s="157" t="s">
        <v>1320</v>
      </c>
      <c r="AB115" s="157" t="s">
        <v>1321</v>
      </c>
      <c r="AC115" s="265"/>
      <c r="AF115" s="331" t="s">
        <v>1319</v>
      </c>
      <c r="AG115" s="157" t="s">
        <v>1255</v>
      </c>
      <c r="AH115" s="157" t="s">
        <v>1322</v>
      </c>
      <c r="AI115" s="178" t="s">
        <v>1323</v>
      </c>
    </row>
    <row r="116">
      <c r="A116" s="265"/>
      <c r="B116" s="265"/>
      <c r="C116" s="265"/>
      <c r="G116" s="265"/>
      <c r="H116" s="265"/>
      <c r="I116" s="265"/>
      <c r="J116" s="265"/>
      <c r="K116" s="265"/>
      <c r="L116" s="265"/>
      <c r="M116" s="265"/>
      <c r="P116" s="265"/>
      <c r="U116" s="265"/>
      <c r="W116" s="332" t="s">
        <v>1324</v>
      </c>
      <c r="X116" s="265">
        <f>count(G5,G15,G25,G27,G29,G30,G34,G35,G36,G41,G44,G47,G48,G50,G52,G57,G59,G64,G66,G68,G69,G70,G73,G75,G76,G77,G79,G80,G82,G87,G88,G89,G90,G92,G96,G101,G102,G109,G113,G23)</f>
        <v>40</v>
      </c>
      <c r="Z116" s="333" t="s">
        <v>1325</v>
      </c>
      <c r="AA116" s="316">
        <f>count(W2,W9,W32,W38,W39,W58,W60,W81,W83,W86,W94,W97,W98,W100,W103,W104,W105,W106,W107,W108,W110,W8,W16,W95)</f>
        <v>24</v>
      </c>
      <c r="AB116" s="317">
        <f>count(W2,W4,W9,W32,W38,W39,W58,W60,W81,W83,W84,W86,W94,W97,W98,W100,W103,W104,W105,W106,W107,W108,W110,W8,W16,W63,W95)</f>
        <v>27</v>
      </c>
      <c r="AC116" s="178" t="s">
        <v>1326</v>
      </c>
      <c r="AE116" s="265"/>
      <c r="AF116" s="333" t="s">
        <v>1327</v>
      </c>
      <c r="AG116" s="316">
        <f>count(AC2,AC8,AC16,AC20,AC39,AC60,AC72,AC83,AC85,AC93,AC94,AC95,AC97,AC98,AC100,AC106,AC107,AC108,AC110)</f>
        <v>19</v>
      </c>
      <c r="AH116" s="316">
        <f>count(AC6,AC9,AC18,AC21,AC24,AC32,AC33,AC38,AC46,AC58,AC74,AC81,AC86,AC103,AC104,AC105,AC111)</f>
        <v>17</v>
      </c>
      <c r="AI116" s="178" t="s">
        <v>1328</v>
      </c>
    </row>
    <row r="117">
      <c r="A117" s="265"/>
      <c r="B117" s="265"/>
      <c r="C117" s="265"/>
      <c r="G117" s="265"/>
      <c r="H117" s="265"/>
      <c r="I117" s="265"/>
      <c r="J117" s="265"/>
      <c r="K117" s="265"/>
      <c r="L117" s="265"/>
      <c r="M117" s="265"/>
      <c r="P117" s="265"/>
      <c r="U117" s="265"/>
      <c r="W117" s="334" t="s">
        <v>1329</v>
      </c>
      <c r="X117" s="157">
        <f>count(G14,G45,G51,G56,G71)</f>
        <v>5</v>
      </c>
      <c r="Z117" s="333" t="s">
        <v>1330</v>
      </c>
      <c r="AA117" s="323">
        <f>count(W15,W19,W29,W30,W34,W35,W36,W52,W57,W66,W68,W71,W75,W77,W79,W87,W88,W90,W92,W96,W102,W113)</f>
        <v>22</v>
      </c>
      <c r="AB117" s="324">
        <f>count(W15,W19,W29,W30,W34,W35,W36,W41,W50,W52,W57,W64,W66,W68,W71,W73,W75,W77,W79,W87,W88,W90,W92,W96,W102,W113)</f>
        <v>26</v>
      </c>
      <c r="AC117" s="178" t="s">
        <v>1331</v>
      </c>
      <c r="AE117" s="265"/>
      <c r="AF117" s="333" t="s">
        <v>1332</v>
      </c>
      <c r="AG117" s="323">
        <f>count(AC14,AC25,AC27,AC29,AC34,AC35,AC36,AC44,AC45,AC47,AC48,AC52,AC59,AC68,AC69,AC70,AC71,AC76,AC79,AC80,AC82,AC87,AC89,AC90,AC96,AC101,AC102,AC113)</f>
        <v>28</v>
      </c>
      <c r="AH117" s="323">
        <f>count(AC5,AC15,AC19,AC30,AC51,AC56,AC57,AC66,AC75,AC77,AC88,AC92,AC109)</f>
        <v>13</v>
      </c>
    </row>
    <row r="118">
      <c r="A118" s="265"/>
      <c r="B118" s="265"/>
      <c r="C118" s="265"/>
      <c r="G118" s="265"/>
      <c r="H118" s="265"/>
      <c r="I118" s="265"/>
      <c r="J118" s="265"/>
      <c r="K118" s="265"/>
      <c r="L118" s="265"/>
      <c r="M118" s="265"/>
      <c r="P118" s="265"/>
      <c r="U118" s="265"/>
      <c r="W118" s="335" t="s">
        <v>1333</v>
      </c>
      <c r="X118" s="157">
        <f>count(G8,G16,G18,G19,G33,G63,G72,G93,G95)</f>
        <v>9</v>
      </c>
      <c r="Z118" s="333" t="s">
        <v>1334</v>
      </c>
      <c r="AA118" s="316">
        <f>count(Z2,Z20,Z39,Z60,Z83,Z85,Z94,Z97,Z98,Z100,Z106,Z107,Z108,Z110,Z8,Z16,Z95)</f>
        <v>17</v>
      </c>
      <c r="AB118" s="317">
        <f>count(Z2,Z8,Z16,Z20,Z39,Z60,Z83,Z85,Z94,Z95,Z97,Z98,Z100,Z106,Z107,Z108,Z110)</f>
        <v>17</v>
      </c>
      <c r="AC118" s="178" t="s">
        <v>1326</v>
      </c>
      <c r="AG118" s="265"/>
      <c r="AH118" s="265"/>
    </row>
    <row r="119">
      <c r="A119" s="265"/>
      <c r="B119" s="265"/>
      <c r="C119" s="265"/>
      <c r="G119" s="265"/>
      <c r="H119" s="265"/>
      <c r="I119" s="265"/>
      <c r="J119" s="265"/>
      <c r="K119" s="265"/>
      <c r="L119" s="265"/>
      <c r="M119" s="265"/>
      <c r="P119" s="265"/>
      <c r="U119" s="265"/>
      <c r="W119" s="265"/>
      <c r="X119" s="265">
        <f>sum(X115:X118)</f>
        <v>86</v>
      </c>
      <c r="Z119" s="333" t="s">
        <v>1335</v>
      </c>
      <c r="AA119" s="323">
        <f>count(Z14,Z29,Z34,Z35,Z36,Z52,Z68,Z71,Z79,Z87,Z90,Z96,Z102,Z113)</f>
        <v>14</v>
      </c>
      <c r="AB119" s="324">
        <f>count(Z14,Z29,Z34,Z35,Z36,Z52,Z64,Z68,Z71,Z79,Z87,Z90,Z96,Z102,Z113)</f>
        <v>15</v>
      </c>
      <c r="AC119" s="178" t="s">
        <v>1331</v>
      </c>
      <c r="AG119" s="157" t="s">
        <v>1255</v>
      </c>
      <c r="AH119" s="157" t="s">
        <v>1322</v>
      </c>
      <c r="AI119" s="178" t="s">
        <v>1323</v>
      </c>
    </row>
    <row r="120">
      <c r="A120" s="265"/>
      <c r="B120" s="265"/>
      <c r="C120" s="265"/>
      <c r="G120" s="265"/>
      <c r="H120" s="265"/>
      <c r="I120" s="265"/>
      <c r="J120" s="265"/>
      <c r="K120" s="265"/>
      <c r="L120" s="265"/>
      <c r="M120" s="265"/>
      <c r="P120" s="265"/>
      <c r="U120" s="265"/>
      <c r="W120" s="265"/>
      <c r="X120" s="157"/>
      <c r="AF120" s="333" t="s">
        <v>1327</v>
      </c>
      <c r="AG120" s="317">
        <f>count(AC2,AC8,AC16,AC20,AC39,AC60,AC72,AC83,AC85,AC93,AC94,AC95,AC97,AC98,AC100,AC106,AC107,AC108,AC110)</f>
        <v>19</v>
      </c>
      <c r="AH120" s="317">
        <f>count(AC4,AC6,AC9,AC18,AC21,AC24,AC32,AC33,AC38,AC46,AC58,AC63,AC74,AC81,AC84,AC86,AC103,AC104,AC105,AC111)</f>
        <v>20</v>
      </c>
      <c r="AI120" s="178" t="s">
        <v>1336</v>
      </c>
    </row>
    <row r="121">
      <c r="A121" s="265"/>
      <c r="B121" s="265"/>
      <c r="C121" s="265"/>
      <c r="G121" s="265"/>
      <c r="H121" s="265"/>
      <c r="I121" s="265"/>
      <c r="J121" s="265"/>
      <c r="K121" s="265"/>
      <c r="L121" s="265"/>
      <c r="M121" s="265"/>
      <c r="N121" s="265"/>
      <c r="O121" s="265"/>
      <c r="P121" s="265"/>
      <c r="U121" s="265"/>
      <c r="Z121" s="336"/>
      <c r="AA121" s="157" t="s">
        <v>1337</v>
      </c>
      <c r="AB121" s="157" t="s">
        <v>1338</v>
      </c>
      <c r="AC121" s="178" t="s">
        <v>1323</v>
      </c>
      <c r="AF121" s="333" t="s">
        <v>1332</v>
      </c>
      <c r="AG121" s="324">
        <f>count(AC14,AC25,AC27,AC29,AC34,AC35,AC36,AC44,AC45,AC47,AC48,AC52,AC59,AC64,AC68,AC69,AC70,AC71,AC76,AC79,AC80,AC82,AC87,AC89,AC90,AC96,AC101,AC102,AC113)</f>
        <v>29</v>
      </c>
      <c r="AH121" s="324">
        <f>count(AC5,AC15,AC19,AC30,AC41,AC50,AC51,AC56,AC57,AC66,AC73,AC75,AC77,AC88,AC92,AC109)</f>
        <v>16</v>
      </c>
    </row>
    <row r="122">
      <c r="A122" s="265"/>
      <c r="B122" s="265"/>
      <c r="C122" s="265"/>
      <c r="G122" s="265"/>
      <c r="H122" s="265"/>
      <c r="I122" s="265"/>
      <c r="J122" s="265"/>
      <c r="K122" s="265"/>
      <c r="L122" s="265"/>
      <c r="M122" s="265"/>
      <c r="N122" s="265"/>
      <c r="O122" s="265"/>
      <c r="P122" s="265"/>
      <c r="U122" s="265"/>
      <c r="Z122" s="333" t="s">
        <v>1327</v>
      </c>
      <c r="AA122" s="316">
        <f t="shared" ref="AA122:AA123" si="97">AA118</f>
        <v>17</v>
      </c>
      <c r="AB122" s="316">
        <f t="shared" ref="AB122:AB123" si="98">AA116-AA118</f>
        <v>7</v>
      </c>
      <c r="AC122" s="337" t="s">
        <v>1339</v>
      </c>
    </row>
    <row r="123">
      <c r="A123" s="265"/>
      <c r="B123" s="265"/>
      <c r="C123" s="265"/>
      <c r="G123" s="265"/>
      <c r="H123" s="265"/>
      <c r="I123" s="265"/>
      <c r="J123" s="265"/>
      <c r="K123" s="265"/>
      <c r="L123" s="265"/>
      <c r="M123" s="265"/>
      <c r="N123" s="265"/>
      <c r="O123" s="265"/>
      <c r="P123" s="265"/>
      <c r="U123" s="265"/>
      <c r="Z123" s="333" t="s">
        <v>1332</v>
      </c>
      <c r="AA123" s="323">
        <f t="shared" si="97"/>
        <v>14</v>
      </c>
      <c r="AB123" s="323">
        <f t="shared" si="98"/>
        <v>8</v>
      </c>
      <c r="AG123" s="157" t="s">
        <v>1317</v>
      </c>
      <c r="AH123" s="157" t="s">
        <v>1322</v>
      </c>
      <c r="AI123" s="178" t="s">
        <v>1340</v>
      </c>
    </row>
    <row r="124">
      <c r="A124" s="265"/>
      <c r="B124" s="265"/>
      <c r="C124" s="265"/>
      <c r="G124" s="265"/>
      <c r="H124" s="265"/>
      <c r="I124" s="265"/>
      <c r="J124" s="265"/>
      <c r="K124" s="265"/>
      <c r="L124" s="265"/>
      <c r="M124" s="265"/>
      <c r="N124" s="265"/>
      <c r="O124" s="265"/>
      <c r="P124" s="265"/>
      <c r="U124" s="265"/>
      <c r="Z124" s="336"/>
      <c r="AA124" s="265"/>
      <c r="AB124" s="265"/>
      <c r="AF124" s="333" t="s">
        <v>1332</v>
      </c>
      <c r="AG124" s="158">
        <v>13.0</v>
      </c>
      <c r="AH124" s="158">
        <v>13.0</v>
      </c>
      <c r="AI124" s="178" t="s">
        <v>1341</v>
      </c>
    </row>
    <row r="125">
      <c r="A125" s="265"/>
      <c r="B125" s="265"/>
      <c r="C125" s="265"/>
      <c r="G125" s="265"/>
      <c r="H125" s="265"/>
      <c r="I125" s="265"/>
      <c r="J125" s="265"/>
      <c r="K125" s="265"/>
      <c r="L125" s="265"/>
      <c r="M125" s="265"/>
      <c r="N125" s="265"/>
      <c r="O125" s="265"/>
      <c r="P125" s="265"/>
      <c r="U125" s="265"/>
      <c r="Z125" s="336"/>
      <c r="AA125" s="157" t="s">
        <v>1337</v>
      </c>
      <c r="AB125" s="157" t="s">
        <v>1338</v>
      </c>
      <c r="AC125" s="178" t="s">
        <v>1323</v>
      </c>
      <c r="AF125" s="333" t="s">
        <v>1332</v>
      </c>
      <c r="AG125" s="325">
        <v>13.0</v>
      </c>
      <c r="AH125" s="325">
        <v>14.0</v>
      </c>
      <c r="AI125" s="178" t="s">
        <v>1342</v>
      </c>
    </row>
    <row r="126">
      <c r="A126" s="265"/>
      <c r="B126" s="265"/>
      <c r="C126" s="265"/>
      <c r="G126" s="265"/>
      <c r="H126" s="265"/>
      <c r="I126" s="265"/>
      <c r="J126" s="265"/>
      <c r="K126" s="265"/>
      <c r="L126" s="265"/>
      <c r="M126" s="265"/>
      <c r="N126" s="265"/>
      <c r="O126" s="265"/>
      <c r="P126" s="265"/>
      <c r="U126" s="265"/>
      <c r="Z126" s="333" t="s">
        <v>1327</v>
      </c>
      <c r="AA126" s="317">
        <f t="shared" ref="AA126:AA127" si="99">AB118</f>
        <v>17</v>
      </c>
      <c r="AB126" s="317">
        <f t="shared" ref="AB126:AB127" si="100">AB116-AB118</f>
        <v>10</v>
      </c>
      <c r="AC126" s="337" t="s">
        <v>1343</v>
      </c>
      <c r="AD126" s="157"/>
    </row>
    <row r="127">
      <c r="A127" s="265"/>
      <c r="B127" s="265"/>
      <c r="C127" s="265"/>
      <c r="G127" s="265"/>
      <c r="H127" s="265"/>
      <c r="I127" s="265"/>
      <c r="J127" s="265"/>
      <c r="K127" s="265"/>
      <c r="L127" s="265"/>
      <c r="M127" s="265"/>
      <c r="N127" s="265"/>
      <c r="O127" s="265"/>
      <c r="P127" s="265"/>
      <c r="U127" s="265"/>
      <c r="Z127" s="333" t="s">
        <v>1332</v>
      </c>
      <c r="AA127" s="324">
        <f t="shared" si="99"/>
        <v>15</v>
      </c>
      <c r="AB127" s="324">
        <f t="shared" si="100"/>
        <v>11</v>
      </c>
    </row>
    <row r="128">
      <c r="A128" s="265"/>
      <c r="B128" s="265"/>
      <c r="C128" s="265"/>
      <c r="G128" s="265"/>
      <c r="H128" s="265"/>
      <c r="I128" s="265"/>
      <c r="J128" s="265"/>
      <c r="K128" s="265"/>
      <c r="L128" s="265"/>
      <c r="M128" s="265"/>
      <c r="N128" s="265"/>
      <c r="O128" s="265"/>
      <c r="P128" s="265"/>
      <c r="U128" s="265"/>
      <c r="AC128" s="265"/>
    </row>
    <row r="129">
      <c r="A129" s="265"/>
      <c r="B129" s="265"/>
      <c r="C129" s="265"/>
      <c r="G129" s="265"/>
      <c r="H129" s="265"/>
      <c r="I129" s="265"/>
      <c r="J129" s="265"/>
      <c r="K129" s="265"/>
      <c r="L129" s="265"/>
      <c r="M129" s="265"/>
      <c r="N129" s="265"/>
      <c r="O129" s="265"/>
      <c r="P129" s="265"/>
      <c r="U129" s="265"/>
      <c r="Z129" s="330" t="s">
        <v>1344</v>
      </c>
      <c r="AA129" s="157" t="s">
        <v>1320</v>
      </c>
      <c r="AB129" s="157" t="s">
        <v>1321</v>
      </c>
      <c r="AF129" s="331" t="s">
        <v>1344</v>
      </c>
      <c r="AG129" s="157" t="s">
        <v>1255</v>
      </c>
      <c r="AH129" s="157" t="s">
        <v>1322</v>
      </c>
      <c r="AI129" s="178" t="s">
        <v>1323</v>
      </c>
    </row>
    <row r="130">
      <c r="A130" s="265"/>
      <c r="B130" s="265"/>
      <c r="C130" s="265"/>
      <c r="G130" s="265"/>
      <c r="H130" s="265"/>
      <c r="I130" s="265"/>
      <c r="J130" s="265"/>
      <c r="K130" s="265"/>
      <c r="L130" s="265"/>
      <c r="M130" s="265"/>
      <c r="N130" s="265"/>
      <c r="O130" s="265"/>
      <c r="P130" s="265"/>
      <c r="U130" s="265"/>
      <c r="Z130" s="333" t="s">
        <v>1325</v>
      </c>
      <c r="AA130" s="316">
        <f>count(W2,W8,W9,W16,W32,W38,W39,W58,W81,W83,W86)</f>
        <v>11</v>
      </c>
      <c r="AB130" s="317">
        <f>count(W2,W4,W8,W9,W16,W32,W38,W39,W58,W63,W81,W83,W84,W86)</f>
        <v>14</v>
      </c>
      <c r="AC130" s="178" t="s">
        <v>1326</v>
      </c>
      <c r="AF130" s="333" t="s">
        <v>1327</v>
      </c>
      <c r="AG130" s="316">
        <f>count(AC2,AC8,AC16,AC39,AC72,AC83)</f>
        <v>6</v>
      </c>
      <c r="AH130" s="316">
        <f>count(AC6,AC9,AC18,AC21,AC24,AC32,AC33,AC38,AC46,AC58,AC81,AC86)</f>
        <v>12</v>
      </c>
      <c r="AI130" s="178" t="s">
        <v>1345</v>
      </c>
    </row>
    <row r="131">
      <c r="A131" s="265"/>
      <c r="B131" s="265"/>
      <c r="C131" s="265"/>
      <c r="G131" s="265"/>
      <c r="H131" s="265"/>
      <c r="I131" s="265"/>
      <c r="J131" s="265"/>
      <c r="K131" s="265"/>
      <c r="L131" s="265"/>
      <c r="M131" s="265"/>
      <c r="N131" s="265"/>
      <c r="O131" s="265"/>
      <c r="P131" s="265"/>
      <c r="U131" s="265"/>
      <c r="Z131" s="333" t="s">
        <v>1330</v>
      </c>
      <c r="AA131" s="323">
        <f>count(W15,W19,W29,W30,W34,W35,W36,W52,W57,W66,W68,W75,W77,W79,W87,W88,W90,W92)</f>
        <v>18</v>
      </c>
      <c r="AB131" s="324">
        <f>count(W15,W19,W29,W30,W34,W35,W36,W41,W50,W52,W57,W64,W66,W68,W73,W75,W77,W79,W87,W88,W90,W92)</f>
        <v>22</v>
      </c>
      <c r="AC131" s="178" t="s">
        <v>1331</v>
      </c>
      <c r="AF131" s="333" t="s">
        <v>1332</v>
      </c>
      <c r="AG131" s="323">
        <f>count(AC14,AC25,AC27,AC29,AC34,AC35,AC36,AC44,AC45,AC47,AC52,AC59,AC68,AC70,AC79,AC82,AC87,AC89,AC90)</f>
        <v>19</v>
      </c>
      <c r="AH131" s="323">
        <f>count(AC5,AC15,AC19,AC30,AC51,AC56,AC57,AC66,AC75,AC77,AC88,AC92)</f>
        <v>12</v>
      </c>
    </row>
    <row r="132">
      <c r="A132" s="265"/>
      <c r="B132" s="265"/>
      <c r="C132" s="265"/>
      <c r="G132" s="265"/>
      <c r="H132" s="265"/>
      <c r="I132" s="265"/>
      <c r="J132" s="265"/>
      <c r="K132" s="265"/>
      <c r="L132" s="265"/>
      <c r="M132" s="265"/>
      <c r="N132" s="265"/>
      <c r="O132" s="265"/>
      <c r="P132" s="265"/>
      <c r="U132" s="265"/>
      <c r="Z132" s="333" t="s">
        <v>1334</v>
      </c>
      <c r="AA132" s="316">
        <f>count(Z2,Z8,Z16,Z39,Z83)</f>
        <v>5</v>
      </c>
      <c r="AB132" s="317">
        <f>count(Z2,Z8,Z16,Z39,Z83)</f>
        <v>5</v>
      </c>
      <c r="AC132" s="178" t="s">
        <v>1326</v>
      </c>
      <c r="AG132" s="265"/>
      <c r="AH132" s="265"/>
    </row>
    <row r="133">
      <c r="A133" s="265"/>
      <c r="B133" s="265"/>
      <c r="C133" s="265"/>
      <c r="G133" s="265"/>
      <c r="H133" s="265"/>
      <c r="I133" s="265"/>
      <c r="J133" s="265"/>
      <c r="K133" s="265"/>
      <c r="L133" s="265"/>
      <c r="M133" s="265"/>
      <c r="N133" s="265"/>
      <c r="O133" s="265"/>
      <c r="P133" s="265"/>
      <c r="U133" s="265"/>
      <c r="Z133" s="333" t="s">
        <v>1335</v>
      </c>
      <c r="AA133" s="323">
        <f>count(Z14,Z29,Z34,Z35,Z36,Z52,Z68,Z79,Z87,Z90)</f>
        <v>10</v>
      </c>
      <c r="AB133" s="324">
        <f>count(Z14,Z29,Z34,Z35,Z36,Z52,Z64,Z68,Z79,Z87,Z90)</f>
        <v>11</v>
      </c>
      <c r="AC133" s="178" t="s">
        <v>1331</v>
      </c>
      <c r="AG133" s="157" t="s">
        <v>1255</v>
      </c>
      <c r="AH133" s="157" t="s">
        <v>1322</v>
      </c>
      <c r="AI133" s="178" t="s">
        <v>1323</v>
      </c>
    </row>
    <row r="134">
      <c r="A134" s="265"/>
      <c r="B134" s="265"/>
      <c r="C134" s="265"/>
      <c r="G134" s="265"/>
      <c r="H134" s="265"/>
      <c r="I134" s="265"/>
      <c r="J134" s="265"/>
      <c r="K134" s="265"/>
      <c r="L134" s="265"/>
      <c r="M134" s="265"/>
      <c r="N134" s="265"/>
      <c r="O134" s="265"/>
      <c r="P134" s="265"/>
      <c r="U134" s="265"/>
      <c r="AF134" s="333" t="s">
        <v>1327</v>
      </c>
      <c r="AG134" s="317">
        <f>count(AC2,AC8,AC16,AC39,AC72,AC83)</f>
        <v>6</v>
      </c>
      <c r="AH134" s="317">
        <f>count(AC4,AC6,AC9,AC18,AC21,AC24,AC32,AC33,AC38,AC46,AC58,AC63,AC81,AC84,AC86)</f>
        <v>15</v>
      </c>
      <c r="AI134" s="178" t="s">
        <v>1346</v>
      </c>
    </row>
    <row r="135">
      <c r="A135" s="265"/>
      <c r="B135" s="265"/>
      <c r="C135" s="265"/>
      <c r="G135" s="265"/>
      <c r="H135" s="265"/>
      <c r="I135" s="265"/>
      <c r="J135" s="265"/>
      <c r="K135" s="265"/>
      <c r="L135" s="265"/>
      <c r="M135" s="265"/>
      <c r="N135" s="265"/>
      <c r="O135" s="265"/>
      <c r="P135" s="265"/>
      <c r="U135" s="265"/>
      <c r="Z135" s="336"/>
      <c r="AA135" s="157" t="s">
        <v>1337</v>
      </c>
      <c r="AB135" s="157" t="s">
        <v>1338</v>
      </c>
      <c r="AC135" s="178" t="s">
        <v>1323</v>
      </c>
      <c r="AF135" s="333" t="s">
        <v>1332</v>
      </c>
      <c r="AG135" s="324">
        <f>count(AC14,AC25,AC27,AC29,AC34,AC35,AC36,AC44,AC45,AC47,AC52,AC59,AC64,AC68,AC70,AC79,AC82,AC87,AC89,AC90)</f>
        <v>20</v>
      </c>
      <c r="AH135" s="324">
        <f>count(AC5,AC15,AC19,AC30,AC41,AC50,AC51,AC56,AC57,AC66,AC73,AC75,AC77,AC88,AC92)</f>
        <v>15</v>
      </c>
    </row>
    <row r="136">
      <c r="A136" s="265"/>
      <c r="B136" s="265"/>
      <c r="C136" s="265"/>
      <c r="G136" s="265"/>
      <c r="H136" s="265"/>
      <c r="I136" s="265"/>
      <c r="J136" s="265"/>
      <c r="K136" s="265"/>
      <c r="L136" s="265"/>
      <c r="M136" s="265"/>
      <c r="N136" s="265"/>
      <c r="O136" s="265"/>
      <c r="P136" s="265"/>
      <c r="U136" s="265"/>
      <c r="Z136" s="333" t="s">
        <v>1327</v>
      </c>
      <c r="AA136" s="316">
        <f t="shared" ref="AA136:AA137" si="101">AA132</f>
        <v>5</v>
      </c>
      <c r="AB136" s="316">
        <f t="shared" ref="AB136:AB137" si="102">AA130-AA132</f>
        <v>6</v>
      </c>
      <c r="AC136" s="337" t="s">
        <v>1347</v>
      </c>
    </row>
    <row r="137">
      <c r="A137" s="265"/>
      <c r="B137" s="265"/>
      <c r="C137" s="265"/>
      <c r="G137" s="265"/>
      <c r="H137" s="265"/>
      <c r="I137" s="265"/>
      <c r="J137" s="265"/>
      <c r="K137" s="265"/>
      <c r="L137" s="265"/>
      <c r="M137" s="265"/>
      <c r="N137" s="265"/>
      <c r="O137" s="265"/>
      <c r="P137" s="265"/>
      <c r="U137" s="265"/>
      <c r="Z137" s="333" t="s">
        <v>1332</v>
      </c>
      <c r="AA137" s="323">
        <f t="shared" si="101"/>
        <v>10</v>
      </c>
      <c r="AB137" s="323">
        <f t="shared" si="102"/>
        <v>8</v>
      </c>
      <c r="AG137" s="157" t="s">
        <v>1317</v>
      </c>
      <c r="AH137" s="157" t="s">
        <v>1322</v>
      </c>
      <c r="AI137" s="178" t="s">
        <v>1340</v>
      </c>
    </row>
    <row r="138">
      <c r="A138" s="265"/>
      <c r="B138" s="265"/>
      <c r="C138" s="265"/>
      <c r="G138" s="265"/>
      <c r="H138" s="265"/>
      <c r="I138" s="265"/>
      <c r="J138" s="265"/>
      <c r="K138" s="265"/>
      <c r="L138" s="265"/>
      <c r="M138" s="265"/>
      <c r="N138" s="265"/>
      <c r="O138" s="265"/>
      <c r="P138" s="265"/>
      <c r="U138" s="265"/>
      <c r="Z138" s="336"/>
      <c r="AA138" s="265"/>
      <c r="AB138" s="265"/>
      <c r="AF138" s="333" t="s">
        <v>1332</v>
      </c>
      <c r="AG138" s="158">
        <v>5.0</v>
      </c>
      <c r="AH138" s="158">
        <v>7.0</v>
      </c>
      <c r="AI138" s="178" t="s">
        <v>1348</v>
      </c>
    </row>
    <row r="139">
      <c r="A139" s="265"/>
      <c r="B139" s="265"/>
      <c r="C139" s="265"/>
      <c r="G139" s="265"/>
      <c r="H139" s="265"/>
      <c r="I139" s="265"/>
      <c r="J139" s="265"/>
      <c r="K139" s="265"/>
      <c r="L139" s="265"/>
      <c r="M139" s="265"/>
      <c r="N139" s="265"/>
      <c r="O139" s="265"/>
      <c r="P139" s="265"/>
      <c r="U139" s="265"/>
      <c r="Z139" s="336"/>
      <c r="AA139" s="157" t="s">
        <v>1337</v>
      </c>
      <c r="AB139" s="157" t="s">
        <v>1338</v>
      </c>
      <c r="AC139" s="178" t="s">
        <v>1323</v>
      </c>
      <c r="AF139" s="333" t="s">
        <v>1332</v>
      </c>
      <c r="AG139" s="325">
        <v>5.0</v>
      </c>
      <c r="AH139" s="325">
        <v>8.0</v>
      </c>
      <c r="AI139" s="178" t="s">
        <v>1349</v>
      </c>
    </row>
    <row r="140">
      <c r="A140" s="265"/>
      <c r="B140" s="265"/>
      <c r="C140" s="265"/>
      <c r="G140" s="265"/>
      <c r="H140" s="265"/>
      <c r="I140" s="265"/>
      <c r="J140" s="265"/>
      <c r="K140" s="265"/>
      <c r="L140" s="265"/>
      <c r="M140" s="265"/>
      <c r="N140" s="265"/>
      <c r="O140" s="265"/>
      <c r="P140" s="265"/>
      <c r="U140" s="265"/>
      <c r="Z140" s="333" t="s">
        <v>1327</v>
      </c>
      <c r="AA140" s="317">
        <f t="shared" ref="AA140:AA141" si="103">AB132</f>
        <v>5</v>
      </c>
      <c r="AB140" s="317">
        <f t="shared" ref="AB140:AB141" si="104">AB130-AB132</f>
        <v>9</v>
      </c>
      <c r="AC140" s="337" t="s">
        <v>1350</v>
      </c>
    </row>
    <row r="141">
      <c r="A141" s="265"/>
      <c r="B141" s="265"/>
      <c r="C141" s="265"/>
      <c r="G141" s="265"/>
      <c r="H141" s="265"/>
      <c r="I141" s="265"/>
      <c r="J141" s="265"/>
      <c r="K141" s="265"/>
      <c r="L141" s="265"/>
      <c r="M141" s="265"/>
      <c r="N141" s="265"/>
      <c r="O141" s="265"/>
      <c r="P141" s="265"/>
      <c r="U141" s="265"/>
      <c r="Z141" s="333" t="s">
        <v>1332</v>
      </c>
      <c r="AA141" s="324">
        <f t="shared" si="103"/>
        <v>11</v>
      </c>
      <c r="AB141" s="324">
        <f t="shared" si="104"/>
        <v>11</v>
      </c>
    </row>
    <row r="142">
      <c r="A142" s="265"/>
      <c r="B142" s="265"/>
      <c r="C142" s="265"/>
      <c r="G142" s="265"/>
      <c r="H142" s="265"/>
      <c r="I142" s="265"/>
      <c r="J142" s="265"/>
      <c r="K142" s="265"/>
      <c r="L142" s="265"/>
      <c r="M142" s="265"/>
      <c r="N142" s="265"/>
      <c r="O142" s="265"/>
      <c r="P142" s="265"/>
      <c r="U142" s="265"/>
    </row>
    <row r="143">
      <c r="A143" s="265"/>
      <c r="B143" s="265"/>
      <c r="C143" s="265"/>
      <c r="G143" s="265"/>
      <c r="H143" s="265"/>
      <c r="I143" s="265"/>
      <c r="J143" s="265"/>
      <c r="K143" s="265"/>
      <c r="L143" s="265"/>
      <c r="M143" s="265"/>
      <c r="N143" s="265"/>
      <c r="O143" s="265"/>
      <c r="P143" s="265"/>
      <c r="U143" s="265"/>
      <c r="Z143" s="330" t="s">
        <v>1351</v>
      </c>
      <c r="AA143" s="157" t="s">
        <v>1320</v>
      </c>
      <c r="AB143" s="157" t="s">
        <v>1321</v>
      </c>
      <c r="AF143" s="331" t="s">
        <v>1351</v>
      </c>
      <c r="AG143" s="157" t="s">
        <v>1255</v>
      </c>
      <c r="AH143" s="157" t="s">
        <v>1322</v>
      </c>
      <c r="AI143" s="178" t="s">
        <v>1323</v>
      </c>
    </row>
    <row r="144">
      <c r="A144" s="265"/>
      <c r="B144" s="265"/>
      <c r="C144" s="265"/>
      <c r="G144" s="265"/>
      <c r="H144" s="265"/>
      <c r="I144" s="265"/>
      <c r="J144" s="265"/>
      <c r="K144" s="265"/>
      <c r="L144" s="265"/>
      <c r="M144" s="265"/>
      <c r="N144" s="265"/>
      <c r="O144" s="265"/>
      <c r="P144" s="265"/>
      <c r="U144" s="265"/>
      <c r="Z144" s="333" t="s">
        <v>1325</v>
      </c>
      <c r="AA144" s="316">
        <f t="shared" ref="AA144:AB144" si="105">AA116-AA130</f>
        <v>13</v>
      </c>
      <c r="AB144" s="317">
        <f t="shared" si="105"/>
        <v>13</v>
      </c>
      <c r="AC144" s="178" t="s">
        <v>1326</v>
      </c>
      <c r="AF144" s="333" t="s">
        <v>1327</v>
      </c>
      <c r="AG144" s="316">
        <f t="shared" ref="AG144:AH144" si="106">AG116-AG130</f>
        <v>13</v>
      </c>
      <c r="AH144" s="316">
        <f t="shared" si="106"/>
        <v>5</v>
      </c>
      <c r="AI144" s="178" t="s">
        <v>1352</v>
      </c>
    </row>
    <row r="145">
      <c r="A145" s="265"/>
      <c r="B145" s="265"/>
      <c r="C145" s="265"/>
      <c r="G145" s="265"/>
      <c r="H145" s="265"/>
      <c r="I145" s="265"/>
      <c r="J145" s="265"/>
      <c r="K145" s="265"/>
      <c r="L145" s="265"/>
      <c r="M145" s="265"/>
      <c r="N145" s="265"/>
      <c r="O145" s="265"/>
      <c r="P145" s="265"/>
      <c r="U145" s="265"/>
      <c r="Z145" s="333" t="s">
        <v>1330</v>
      </c>
      <c r="AA145" s="323">
        <f t="shared" ref="AA145:AB145" si="107">AA117-AA131</f>
        <v>4</v>
      </c>
      <c r="AB145" s="324">
        <f t="shared" si="107"/>
        <v>4</v>
      </c>
      <c r="AC145" s="178" t="s">
        <v>1331</v>
      </c>
      <c r="AF145" s="333" t="s">
        <v>1332</v>
      </c>
      <c r="AG145" s="323">
        <f t="shared" ref="AG145:AH145" si="108">AG117-AG131</f>
        <v>9</v>
      </c>
      <c r="AH145" s="323">
        <f t="shared" si="108"/>
        <v>1</v>
      </c>
    </row>
    <row r="146">
      <c r="A146" s="265"/>
      <c r="B146" s="265"/>
      <c r="C146" s="265"/>
      <c r="G146" s="265"/>
      <c r="H146" s="265"/>
      <c r="I146" s="265"/>
      <c r="J146" s="265"/>
      <c r="K146" s="265"/>
      <c r="L146" s="265"/>
      <c r="M146" s="265"/>
      <c r="N146" s="265"/>
      <c r="O146" s="265"/>
      <c r="P146" s="265"/>
      <c r="U146" s="265"/>
      <c r="Z146" s="333" t="s">
        <v>1334</v>
      </c>
      <c r="AA146" s="316">
        <f t="shared" ref="AA146:AB146" si="109">AA118-AA132</f>
        <v>12</v>
      </c>
      <c r="AB146" s="317">
        <f t="shared" si="109"/>
        <v>12</v>
      </c>
      <c r="AC146" s="178" t="s">
        <v>1326</v>
      </c>
      <c r="AG146" s="265"/>
      <c r="AH146" s="265"/>
    </row>
    <row r="147">
      <c r="A147" s="265"/>
      <c r="B147" s="265"/>
      <c r="C147" s="265"/>
      <c r="G147" s="265"/>
      <c r="H147" s="265"/>
      <c r="I147" s="265"/>
      <c r="J147" s="265"/>
      <c r="K147" s="265"/>
      <c r="L147" s="265"/>
      <c r="M147" s="265"/>
      <c r="N147" s="265"/>
      <c r="O147" s="265"/>
      <c r="P147" s="265"/>
      <c r="U147" s="265"/>
      <c r="Z147" s="333" t="s">
        <v>1335</v>
      </c>
      <c r="AA147" s="323">
        <f t="shared" ref="AA147:AB147" si="110">AA119-AA133</f>
        <v>4</v>
      </c>
      <c r="AB147" s="324">
        <f t="shared" si="110"/>
        <v>4</v>
      </c>
      <c r="AC147" s="178" t="s">
        <v>1331</v>
      </c>
      <c r="AG147" s="157" t="s">
        <v>1255</v>
      </c>
      <c r="AH147" s="157" t="s">
        <v>1322</v>
      </c>
      <c r="AI147" s="178" t="s">
        <v>1323</v>
      </c>
    </row>
    <row r="148">
      <c r="A148" s="265"/>
      <c r="B148" s="265"/>
      <c r="C148" s="265"/>
      <c r="G148" s="265"/>
      <c r="H148" s="265"/>
      <c r="I148" s="265"/>
      <c r="J148" s="265"/>
      <c r="K148" s="265"/>
      <c r="L148" s="265"/>
      <c r="M148" s="265"/>
      <c r="N148" s="265"/>
      <c r="O148" s="265"/>
      <c r="P148" s="265"/>
      <c r="U148" s="265"/>
      <c r="AF148" s="333" t="s">
        <v>1327</v>
      </c>
      <c r="AG148" s="317">
        <f t="shared" ref="AG148:AH148" si="111">AG120-AG134</f>
        <v>13</v>
      </c>
      <c r="AH148" s="317">
        <f t="shared" si="111"/>
        <v>5</v>
      </c>
      <c r="AI148" s="178" t="s">
        <v>1352</v>
      </c>
    </row>
    <row r="149">
      <c r="A149" s="265"/>
      <c r="B149" s="265"/>
      <c r="C149" s="265"/>
      <c r="G149" s="265"/>
      <c r="H149" s="265"/>
      <c r="I149" s="265"/>
      <c r="J149" s="265"/>
      <c r="K149" s="265"/>
      <c r="L149" s="265"/>
      <c r="M149" s="265"/>
      <c r="N149" s="265"/>
      <c r="O149" s="265"/>
      <c r="P149" s="265"/>
      <c r="U149" s="265"/>
      <c r="Z149" s="336"/>
      <c r="AA149" s="157" t="s">
        <v>1337</v>
      </c>
      <c r="AB149" s="157" t="s">
        <v>1338</v>
      </c>
      <c r="AC149" s="178" t="s">
        <v>1323</v>
      </c>
      <c r="AF149" s="333" t="s">
        <v>1332</v>
      </c>
      <c r="AG149" s="324">
        <f t="shared" ref="AG149:AH149" si="112">AG121-AG135</f>
        <v>9</v>
      </c>
      <c r="AH149" s="324">
        <f t="shared" si="112"/>
        <v>1</v>
      </c>
    </row>
    <row r="150">
      <c r="A150" s="265"/>
      <c r="B150" s="265"/>
      <c r="C150" s="265"/>
      <c r="G150" s="265"/>
      <c r="H150" s="265"/>
      <c r="I150" s="265"/>
      <c r="J150" s="265"/>
      <c r="K150" s="265"/>
      <c r="L150" s="265"/>
      <c r="M150" s="265"/>
      <c r="N150" s="265"/>
      <c r="O150" s="265"/>
      <c r="P150" s="265"/>
      <c r="U150" s="265"/>
      <c r="Z150" s="333" t="s">
        <v>1327</v>
      </c>
      <c r="AA150" s="316">
        <f t="shared" ref="AA150:AA151" si="113">AA146</f>
        <v>12</v>
      </c>
      <c r="AB150" s="316">
        <f t="shared" ref="AB150:AB151" si="114">AA144-AA146</f>
        <v>1</v>
      </c>
      <c r="AC150" s="337" t="s">
        <v>1353</v>
      </c>
    </row>
    <row r="151">
      <c r="A151" s="265"/>
      <c r="B151" s="265"/>
      <c r="C151" s="265"/>
      <c r="G151" s="265"/>
      <c r="H151" s="265"/>
      <c r="I151" s="265"/>
      <c r="J151" s="265"/>
      <c r="K151" s="265"/>
      <c r="L151" s="265"/>
      <c r="M151" s="265"/>
      <c r="N151" s="265"/>
      <c r="O151" s="265"/>
      <c r="P151" s="265"/>
      <c r="U151" s="265"/>
      <c r="Z151" s="333" t="s">
        <v>1332</v>
      </c>
      <c r="AA151" s="323">
        <f t="shared" si="113"/>
        <v>4</v>
      </c>
      <c r="AB151" s="323">
        <f t="shared" si="114"/>
        <v>0</v>
      </c>
      <c r="AG151" s="157" t="s">
        <v>1317</v>
      </c>
      <c r="AH151" s="157" t="s">
        <v>1322</v>
      </c>
      <c r="AI151" s="178" t="s">
        <v>1340</v>
      </c>
    </row>
    <row r="152">
      <c r="A152" s="265"/>
      <c r="B152" s="265"/>
      <c r="C152" s="265"/>
      <c r="G152" s="265"/>
      <c r="H152" s="265"/>
      <c r="I152" s="265"/>
      <c r="J152" s="265"/>
      <c r="K152" s="265"/>
      <c r="L152" s="265"/>
      <c r="M152" s="265"/>
      <c r="N152" s="265"/>
      <c r="O152" s="265"/>
      <c r="P152" s="265"/>
      <c r="U152" s="265"/>
      <c r="Z152" s="336"/>
      <c r="AA152" s="265"/>
      <c r="AB152" s="265"/>
      <c r="AF152" s="333" t="s">
        <v>1332</v>
      </c>
      <c r="AG152" s="158">
        <f t="shared" ref="AG152:AH152" si="115">AG124-AG138</f>
        <v>8</v>
      </c>
      <c r="AH152" s="158">
        <f t="shared" si="115"/>
        <v>6</v>
      </c>
      <c r="AI152" s="178" t="s">
        <v>1354</v>
      </c>
    </row>
    <row r="153">
      <c r="A153" s="265"/>
      <c r="B153" s="265"/>
      <c r="C153" s="265"/>
      <c r="G153" s="265"/>
      <c r="H153" s="265"/>
      <c r="I153" s="265"/>
      <c r="J153" s="265"/>
      <c r="K153" s="265"/>
      <c r="L153" s="265"/>
      <c r="M153" s="265"/>
      <c r="N153" s="265"/>
      <c r="O153" s="265"/>
      <c r="P153" s="265"/>
      <c r="U153" s="265"/>
      <c r="Z153" s="336"/>
      <c r="AA153" s="157" t="s">
        <v>1337</v>
      </c>
      <c r="AB153" s="157" t="s">
        <v>1338</v>
      </c>
      <c r="AC153" s="178" t="s">
        <v>1323</v>
      </c>
      <c r="AF153" s="333" t="s">
        <v>1332</v>
      </c>
      <c r="AG153" s="325">
        <f t="shared" ref="AG153:AH153" si="116">AG125-AG139</f>
        <v>8</v>
      </c>
      <c r="AH153" s="325">
        <f t="shared" si="116"/>
        <v>6</v>
      </c>
      <c r="AI153" s="178" t="s">
        <v>1354</v>
      </c>
    </row>
    <row r="154">
      <c r="A154" s="265"/>
      <c r="B154" s="265"/>
      <c r="C154" s="265"/>
      <c r="G154" s="265"/>
      <c r="H154" s="265"/>
      <c r="I154" s="265"/>
      <c r="J154" s="265"/>
      <c r="K154" s="265"/>
      <c r="L154" s="265"/>
      <c r="M154" s="265"/>
      <c r="N154" s="265"/>
      <c r="O154" s="265"/>
      <c r="P154" s="265"/>
      <c r="U154" s="265"/>
      <c r="Z154" s="333" t="s">
        <v>1327</v>
      </c>
      <c r="AA154" s="317">
        <f t="shared" ref="AA154:AA155" si="117">AB146</f>
        <v>12</v>
      </c>
      <c r="AB154" s="317">
        <f t="shared" ref="AB154:AB155" si="118">AB144-AB146</f>
        <v>1</v>
      </c>
      <c r="AC154" s="337" t="s">
        <v>1353</v>
      </c>
    </row>
    <row r="155">
      <c r="A155" s="265"/>
      <c r="B155" s="265"/>
      <c r="C155" s="265"/>
      <c r="G155" s="265"/>
      <c r="H155" s="265"/>
      <c r="I155" s="265"/>
      <c r="J155" s="265"/>
      <c r="K155" s="265"/>
      <c r="L155" s="265"/>
      <c r="M155" s="265"/>
      <c r="N155" s="265"/>
      <c r="O155" s="265"/>
      <c r="P155" s="265"/>
      <c r="U155" s="265"/>
      <c r="Z155" s="333" t="s">
        <v>1332</v>
      </c>
      <c r="AA155" s="324">
        <f t="shared" si="117"/>
        <v>4</v>
      </c>
      <c r="AB155" s="324">
        <f t="shared" si="118"/>
        <v>0</v>
      </c>
    </row>
    <row r="156">
      <c r="A156" s="265"/>
      <c r="B156" s="265"/>
      <c r="C156" s="265"/>
      <c r="G156" s="265"/>
      <c r="H156" s="265"/>
      <c r="I156" s="265"/>
      <c r="J156" s="265"/>
      <c r="K156" s="265"/>
      <c r="L156" s="265"/>
      <c r="M156" s="265"/>
      <c r="N156" s="265"/>
      <c r="O156" s="265"/>
      <c r="P156" s="265"/>
      <c r="U156" s="265"/>
      <c r="Z156" s="333"/>
      <c r="AA156" s="265"/>
      <c r="AB156" s="265"/>
    </row>
  </sheetData>
  <autoFilter ref="$A$1:$AL$113">
    <filterColumn colId="8">
      <filters>
        <filter val="Rec'd 2 flies"/>
        <filter val="Rec'd 3 flies"/>
        <filter val="Rec'd 4 flies"/>
        <filter val="Rec'd nymphs"/>
        <filter val="Already had 2 flies; rec'd 1 fly"/>
        <filter val="Rec'd 1 fly and 1 nymph"/>
        <filter val="Rec'd 1 fly"/>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7.29" defaultRowHeight="15.0"/>
  <cols>
    <col customWidth="1" min="1" max="1" width="5.57"/>
    <col customWidth="1" min="2" max="2" width="9.29"/>
    <col customWidth="1" min="3" max="3" width="8.43"/>
    <col customWidth="1" min="4" max="4" width="9.71"/>
    <col customWidth="1" min="5" max="5" width="14.0"/>
    <col customWidth="1" min="6" max="6" width="7.0"/>
    <col customWidth="1" min="7" max="7" width="4.14"/>
    <col customWidth="1" min="8" max="8" width="15.29"/>
    <col customWidth="1" min="9" max="9" width="5.14"/>
    <col customWidth="1" min="10" max="10" width="10.0"/>
    <col customWidth="1" min="11" max="11" width="5.0"/>
    <col customWidth="1" min="12" max="12" width="6.43"/>
    <col customWidth="1" min="13" max="13" width="8.29"/>
    <col customWidth="1" min="14" max="14" width="6.71"/>
    <col customWidth="1" min="15" max="15" width="10.57"/>
    <col customWidth="1" min="16" max="16" width="19.57"/>
    <col customWidth="1" min="17" max="17" width="16.14"/>
    <col customWidth="1" min="18" max="18" width="22.86"/>
    <col customWidth="1" min="19" max="19" width="14.57"/>
    <col customWidth="1" min="20" max="22" width="20.86"/>
    <col customWidth="1" min="23" max="23" width="14.71"/>
    <col customWidth="1" min="24" max="24" width="9.71"/>
    <col customWidth="1" min="25" max="25" width="15.0"/>
    <col customWidth="1" min="26" max="26" width="42.86"/>
    <col customWidth="1" min="27" max="27" width="12.14"/>
    <col customWidth="1" min="28" max="28" width="9.71"/>
    <col customWidth="1" min="29" max="29" width="8.86"/>
    <col customWidth="1" min="30" max="31" width="9.57"/>
    <col customWidth="1" min="32" max="32" width="13.0"/>
    <col customWidth="1" min="33" max="33" width="10.29"/>
    <col customWidth="1" min="34" max="34" width="7.57"/>
    <col customWidth="1" min="35" max="35" width="14.14"/>
    <col customWidth="1" min="36" max="42" width="7.57"/>
    <col customWidth="1" min="43" max="43" width="6.43"/>
  </cols>
  <sheetData>
    <row r="1">
      <c r="A1" s="310" t="s">
        <v>1355</v>
      </c>
      <c r="B1" s="310" t="s">
        <v>1356</v>
      </c>
      <c r="C1" s="309" t="s">
        <v>1246</v>
      </c>
      <c r="D1" s="310" t="s">
        <v>331</v>
      </c>
      <c r="E1" s="338" t="s">
        <v>1357</v>
      </c>
      <c r="F1" s="310" t="s">
        <v>1</v>
      </c>
      <c r="G1" s="310" t="s">
        <v>4</v>
      </c>
      <c r="H1" s="310" t="s">
        <v>1358</v>
      </c>
      <c r="I1" s="310" t="s">
        <v>1359</v>
      </c>
      <c r="J1" s="310" t="s">
        <v>336</v>
      </c>
      <c r="K1" s="310" t="s">
        <v>337</v>
      </c>
      <c r="L1" s="311" t="s">
        <v>338</v>
      </c>
      <c r="M1" s="311" t="s">
        <v>332</v>
      </c>
      <c r="N1" s="311" t="s">
        <v>1360</v>
      </c>
      <c r="O1" s="310" t="s">
        <v>339</v>
      </c>
      <c r="P1" s="339" t="s">
        <v>1361</v>
      </c>
      <c r="Q1" s="339" t="s">
        <v>1362</v>
      </c>
      <c r="R1" s="339" t="s">
        <v>1363</v>
      </c>
      <c r="S1" s="339" t="s">
        <v>1364</v>
      </c>
      <c r="T1" s="340" t="s">
        <v>1365</v>
      </c>
      <c r="U1" s="340" t="s">
        <v>1366</v>
      </c>
      <c r="V1" s="340" t="s">
        <v>1367</v>
      </c>
      <c r="W1" s="341" t="s">
        <v>1368</v>
      </c>
      <c r="X1" s="341" t="s">
        <v>1369</v>
      </c>
      <c r="Y1" s="342" t="s">
        <v>1370</v>
      </c>
      <c r="Z1" s="342" t="s">
        <v>1371</v>
      </c>
      <c r="AA1" s="343" t="s">
        <v>1372</v>
      </c>
      <c r="AB1" s="344" t="s">
        <v>1373</v>
      </c>
      <c r="AC1" s="313" t="s">
        <v>1374</v>
      </c>
      <c r="AD1" s="265"/>
      <c r="AE1" s="265"/>
      <c r="AF1" s="265"/>
      <c r="AG1" s="182"/>
      <c r="AH1" s="345" t="s">
        <v>389</v>
      </c>
      <c r="AI1" s="346" t="s">
        <v>420</v>
      </c>
      <c r="AJ1" s="347" t="s">
        <v>358</v>
      </c>
      <c r="AK1" s="348" t="s">
        <v>363</v>
      </c>
      <c r="AL1" s="349" t="s">
        <v>413</v>
      </c>
      <c r="AM1" s="350" t="s">
        <v>357</v>
      </c>
      <c r="AN1" s="351" t="s">
        <v>380</v>
      </c>
      <c r="AO1" s="352" t="s">
        <v>387</v>
      </c>
      <c r="AP1" s="353" t="s">
        <v>1375</v>
      </c>
      <c r="AQ1" s="353" t="s">
        <v>1376</v>
      </c>
    </row>
    <row r="2">
      <c r="A2" s="157">
        <v>1.0</v>
      </c>
      <c r="B2" s="157" t="s">
        <v>1377</v>
      </c>
      <c r="C2" s="157" t="s">
        <v>354</v>
      </c>
      <c r="D2" s="157" t="s">
        <v>354</v>
      </c>
      <c r="E2" s="354">
        <v>40925.0</v>
      </c>
      <c r="F2" s="157" t="s">
        <v>354</v>
      </c>
      <c r="G2" s="157" t="s">
        <v>354</v>
      </c>
      <c r="H2" s="157" t="s">
        <v>354</v>
      </c>
      <c r="I2" s="157" t="s">
        <v>354</v>
      </c>
      <c r="J2" s="157" t="s">
        <v>354</v>
      </c>
      <c r="K2" s="157" t="s">
        <v>354</v>
      </c>
      <c r="L2" s="157" t="s">
        <v>354</v>
      </c>
      <c r="M2" s="157" t="s">
        <v>354</v>
      </c>
      <c r="N2" s="157" t="s">
        <v>354</v>
      </c>
      <c r="O2" s="157" t="s">
        <v>354</v>
      </c>
      <c r="P2" s="140">
        <v>33.61</v>
      </c>
      <c r="Q2" s="157">
        <v>0.0</v>
      </c>
      <c r="R2" s="157" t="s">
        <v>354</v>
      </c>
      <c r="S2" s="157">
        <v>0.0</v>
      </c>
      <c r="T2" s="157">
        <v>0.0</v>
      </c>
      <c r="U2" s="157" t="s">
        <v>354</v>
      </c>
      <c r="V2" s="157" t="s">
        <v>354</v>
      </c>
      <c r="W2" s="355" t="s">
        <v>365</v>
      </c>
      <c r="X2" s="315" t="s">
        <v>420</v>
      </c>
      <c r="Y2" s="356" t="s">
        <v>365</v>
      </c>
      <c r="Z2" s="162" t="s">
        <v>363</v>
      </c>
      <c r="AA2" s="144" t="s">
        <v>365</v>
      </c>
      <c r="AB2" s="162" t="s">
        <v>363</v>
      </c>
      <c r="AC2" s="357">
        <f t="shared" ref="AC2:AC50" si="1">sum(COUNTIF(W2:AB2,"POS"),countif(P2,"&gt;0"))</f>
        <v>4</v>
      </c>
      <c r="AH2" s="235">
        <v>0.0</v>
      </c>
      <c r="AI2" s="235">
        <v>1.0</v>
      </c>
      <c r="AJ2" s="235">
        <v>0.0</v>
      </c>
      <c r="AK2" s="235">
        <v>2.0</v>
      </c>
      <c r="AL2" s="235">
        <v>0.0</v>
      </c>
      <c r="AM2" s="235">
        <v>0.0</v>
      </c>
      <c r="AN2" s="235">
        <v>0.0</v>
      </c>
      <c r="AO2" s="235">
        <v>0.0</v>
      </c>
      <c r="AP2" s="358">
        <f t="shared" ref="AP2:AP48" si="2">sum(AH2:AO2)</f>
        <v>3</v>
      </c>
      <c r="AQ2" s="182">
        <f t="shared" ref="AQ2:AQ48" si="3">countif(AH2:AO2,"&gt;0")</f>
        <v>2</v>
      </c>
    </row>
    <row r="3">
      <c r="A3" s="157">
        <v>2.0</v>
      </c>
      <c r="B3" s="157" t="s">
        <v>1378</v>
      </c>
      <c r="C3" s="157" t="s">
        <v>354</v>
      </c>
      <c r="D3" s="157" t="s">
        <v>354</v>
      </c>
      <c r="E3" s="354">
        <v>40925.0</v>
      </c>
      <c r="F3" s="157" t="s">
        <v>354</v>
      </c>
      <c r="G3" s="157" t="s">
        <v>354</v>
      </c>
      <c r="H3" s="157" t="s">
        <v>354</v>
      </c>
      <c r="I3" s="157" t="s">
        <v>354</v>
      </c>
      <c r="J3" s="157" t="s">
        <v>354</v>
      </c>
      <c r="K3" s="157" t="s">
        <v>354</v>
      </c>
      <c r="L3" s="157" t="s">
        <v>354</v>
      </c>
      <c r="M3" s="157" t="s">
        <v>354</v>
      </c>
      <c r="N3" s="157" t="s">
        <v>354</v>
      </c>
      <c r="O3" s="157" t="s">
        <v>354</v>
      </c>
      <c r="P3" s="140">
        <v>35.89</v>
      </c>
      <c r="Q3" s="140">
        <v>4.32</v>
      </c>
      <c r="R3" s="157" t="s">
        <v>354</v>
      </c>
      <c r="S3" s="157">
        <v>0.0</v>
      </c>
      <c r="T3" s="157">
        <v>0.0</v>
      </c>
      <c r="U3" s="157" t="s">
        <v>354</v>
      </c>
      <c r="V3" s="157" t="s">
        <v>354</v>
      </c>
      <c r="W3" s="355" t="s">
        <v>365</v>
      </c>
      <c r="X3" s="40" t="s">
        <v>357</v>
      </c>
      <c r="Y3" s="356" t="s">
        <v>365</v>
      </c>
      <c r="Z3" s="40" t="s">
        <v>357</v>
      </c>
      <c r="AA3" s="144" t="s">
        <v>365</v>
      </c>
      <c r="AB3" s="40" t="s">
        <v>357</v>
      </c>
      <c r="AC3" s="357">
        <f t="shared" si="1"/>
        <v>4</v>
      </c>
      <c r="AH3" s="235">
        <v>0.0</v>
      </c>
      <c r="AI3" s="235">
        <v>0.0</v>
      </c>
      <c r="AJ3" s="235">
        <v>0.0</v>
      </c>
      <c r="AK3" s="235">
        <v>0.0</v>
      </c>
      <c r="AL3" s="235">
        <v>0.0</v>
      </c>
      <c r="AM3" s="235">
        <v>3.0</v>
      </c>
      <c r="AN3" s="235">
        <v>0.0</v>
      </c>
      <c r="AO3" s="235">
        <v>0.0</v>
      </c>
      <c r="AP3" s="358">
        <f t="shared" si="2"/>
        <v>3</v>
      </c>
      <c r="AQ3" s="182">
        <f t="shared" si="3"/>
        <v>1</v>
      </c>
    </row>
    <row r="4">
      <c r="A4" s="157">
        <v>3.0</v>
      </c>
      <c r="B4" s="157" t="s">
        <v>1379</v>
      </c>
      <c r="C4" s="157" t="s">
        <v>354</v>
      </c>
      <c r="D4" s="157" t="s">
        <v>354</v>
      </c>
      <c r="E4" s="354">
        <v>40925.0</v>
      </c>
      <c r="F4" s="157" t="s">
        <v>354</v>
      </c>
      <c r="G4" s="157" t="s">
        <v>354</v>
      </c>
      <c r="H4" s="157" t="s">
        <v>354</v>
      </c>
      <c r="I4" s="157" t="s">
        <v>354</v>
      </c>
      <c r="J4" s="157" t="s">
        <v>354</v>
      </c>
      <c r="K4" s="157" t="s">
        <v>354</v>
      </c>
      <c r="L4" s="157" t="s">
        <v>354</v>
      </c>
      <c r="M4" s="157" t="s">
        <v>354</v>
      </c>
      <c r="N4" s="157" t="s">
        <v>354</v>
      </c>
      <c r="O4" s="157" t="s">
        <v>354</v>
      </c>
      <c r="P4" s="157">
        <v>0.0</v>
      </c>
      <c r="Q4" s="140">
        <v>22.3</v>
      </c>
      <c r="R4" s="157" t="s">
        <v>354</v>
      </c>
      <c r="S4" s="157">
        <v>0.0</v>
      </c>
      <c r="T4" s="157">
        <v>0.0</v>
      </c>
      <c r="U4" s="157" t="s">
        <v>354</v>
      </c>
      <c r="V4" s="157" t="s">
        <v>354</v>
      </c>
      <c r="W4" s="359" t="s">
        <v>354</v>
      </c>
      <c r="X4" s="359" t="s">
        <v>354</v>
      </c>
      <c r="Y4" s="360" t="s">
        <v>354</v>
      </c>
      <c r="Z4" s="360" t="s">
        <v>354</v>
      </c>
      <c r="AA4" s="139" t="s">
        <v>356</v>
      </c>
      <c r="AB4" s="139" t="s">
        <v>354</v>
      </c>
      <c r="AC4" s="46">
        <f t="shared" si="1"/>
        <v>0</v>
      </c>
      <c r="AH4" s="235">
        <v>0.0</v>
      </c>
      <c r="AI4" s="235">
        <v>0.0</v>
      </c>
      <c r="AJ4" s="235">
        <v>0.0</v>
      </c>
      <c r="AK4" s="235">
        <v>0.0</v>
      </c>
      <c r="AL4" s="235">
        <v>0.0</v>
      </c>
      <c r="AM4" s="235">
        <v>0.0</v>
      </c>
      <c r="AN4" s="235">
        <v>0.0</v>
      </c>
      <c r="AO4" s="235">
        <v>0.0</v>
      </c>
      <c r="AP4" s="182">
        <f t="shared" si="2"/>
        <v>0</v>
      </c>
      <c r="AQ4" s="182">
        <f t="shared" si="3"/>
        <v>0</v>
      </c>
    </row>
    <row r="5">
      <c r="A5" s="157">
        <v>4.0</v>
      </c>
      <c r="B5" s="157" t="s">
        <v>1380</v>
      </c>
      <c r="C5" s="157" t="s">
        <v>354</v>
      </c>
      <c r="D5" s="157" t="s">
        <v>354</v>
      </c>
      <c r="E5" s="354">
        <v>40925.0</v>
      </c>
      <c r="F5" s="157" t="s">
        <v>354</v>
      </c>
      <c r="G5" s="157" t="s">
        <v>354</v>
      </c>
      <c r="H5" s="157" t="s">
        <v>354</v>
      </c>
      <c r="I5" s="157" t="s">
        <v>354</v>
      </c>
      <c r="J5" s="157" t="s">
        <v>354</v>
      </c>
      <c r="K5" s="157" t="s">
        <v>354</v>
      </c>
      <c r="L5" s="157" t="s">
        <v>354</v>
      </c>
      <c r="M5" s="157" t="s">
        <v>354</v>
      </c>
      <c r="N5" s="157" t="s">
        <v>354</v>
      </c>
      <c r="O5" s="157" t="s">
        <v>354</v>
      </c>
      <c r="P5" s="140">
        <v>29.6</v>
      </c>
      <c r="Q5" s="140">
        <v>17.79</v>
      </c>
      <c r="R5" s="157" t="s">
        <v>354</v>
      </c>
      <c r="S5" s="157">
        <v>0.0</v>
      </c>
      <c r="T5" s="157">
        <v>0.0</v>
      </c>
      <c r="U5" s="157" t="s">
        <v>354</v>
      </c>
      <c r="V5" s="157" t="s">
        <v>354</v>
      </c>
      <c r="W5" s="355" t="s">
        <v>365</v>
      </c>
      <c r="X5" s="90" t="s">
        <v>413</v>
      </c>
      <c r="Y5" s="356" t="s">
        <v>365</v>
      </c>
      <c r="Z5" s="90" t="s">
        <v>413</v>
      </c>
      <c r="AA5" s="144" t="s">
        <v>365</v>
      </c>
      <c r="AB5" s="90" t="s">
        <v>413</v>
      </c>
      <c r="AC5" s="357">
        <f t="shared" si="1"/>
        <v>4</v>
      </c>
      <c r="AH5" s="235">
        <v>0.0</v>
      </c>
      <c r="AI5" s="235">
        <v>0.0</v>
      </c>
      <c r="AJ5" s="235">
        <v>0.0</v>
      </c>
      <c r="AK5" s="235">
        <v>0.0</v>
      </c>
      <c r="AL5" s="235">
        <v>3.0</v>
      </c>
      <c r="AM5" s="235">
        <v>0.0</v>
      </c>
      <c r="AN5" s="235">
        <v>0.0</v>
      </c>
      <c r="AO5" s="235">
        <v>0.0</v>
      </c>
      <c r="AP5" s="358">
        <f t="shared" si="2"/>
        <v>3</v>
      </c>
      <c r="AQ5" s="182">
        <f t="shared" si="3"/>
        <v>1</v>
      </c>
    </row>
    <row r="6">
      <c r="A6" s="157">
        <v>5.0</v>
      </c>
      <c r="B6" s="157" t="s">
        <v>1381</v>
      </c>
      <c r="C6" s="157" t="s">
        <v>354</v>
      </c>
      <c r="D6" s="157" t="s">
        <v>354</v>
      </c>
      <c r="E6" s="354">
        <v>40925.0</v>
      </c>
      <c r="F6" s="157" t="s">
        <v>354</v>
      </c>
      <c r="G6" s="157" t="s">
        <v>354</v>
      </c>
      <c r="H6" s="157" t="s">
        <v>354</v>
      </c>
      <c r="I6" s="157" t="s">
        <v>354</v>
      </c>
      <c r="J6" s="157" t="s">
        <v>354</v>
      </c>
      <c r="K6" s="157" t="s">
        <v>354</v>
      </c>
      <c r="L6" s="157" t="s">
        <v>354</v>
      </c>
      <c r="M6" s="157" t="s">
        <v>354</v>
      </c>
      <c r="N6" s="157" t="s">
        <v>354</v>
      </c>
      <c r="O6" s="157" t="s">
        <v>354</v>
      </c>
      <c r="P6" s="157">
        <v>0.0</v>
      </c>
      <c r="Q6" s="140">
        <v>26.98</v>
      </c>
      <c r="R6" s="157" t="s">
        <v>354</v>
      </c>
      <c r="S6" s="157">
        <v>0.0</v>
      </c>
      <c r="T6" s="157">
        <v>0.0</v>
      </c>
      <c r="U6" s="157" t="s">
        <v>354</v>
      </c>
      <c r="V6" s="157" t="s">
        <v>354</v>
      </c>
      <c r="W6" s="359" t="s">
        <v>354</v>
      </c>
      <c r="X6" s="359" t="s">
        <v>354</v>
      </c>
      <c r="Y6" s="361" t="s">
        <v>1382</v>
      </c>
      <c r="Z6" s="362" t="s">
        <v>1383</v>
      </c>
      <c r="AA6" s="144" t="s">
        <v>365</v>
      </c>
      <c r="AB6" s="162" t="s">
        <v>363</v>
      </c>
      <c r="AC6" s="357">
        <f t="shared" si="1"/>
        <v>1</v>
      </c>
      <c r="AH6" s="235">
        <v>0.0</v>
      </c>
      <c r="AI6" s="235">
        <v>0.0</v>
      </c>
      <c r="AJ6" s="235">
        <v>0.0</v>
      </c>
      <c r="AK6" s="235">
        <v>1.0</v>
      </c>
      <c r="AL6" s="235">
        <v>0.0</v>
      </c>
      <c r="AM6" s="235">
        <v>0.0</v>
      </c>
      <c r="AN6" s="235">
        <v>0.0</v>
      </c>
      <c r="AO6" s="235">
        <v>0.0</v>
      </c>
      <c r="AP6" s="363">
        <f t="shared" si="2"/>
        <v>1</v>
      </c>
      <c r="AQ6" s="182">
        <f t="shared" si="3"/>
        <v>1</v>
      </c>
    </row>
    <row r="7">
      <c r="A7" s="157">
        <v>6.0</v>
      </c>
      <c r="B7" s="157" t="s">
        <v>1384</v>
      </c>
      <c r="C7" s="157" t="s">
        <v>354</v>
      </c>
      <c r="D7" s="157" t="s">
        <v>354</v>
      </c>
      <c r="E7" s="354">
        <v>40925.0</v>
      </c>
      <c r="F7" s="157" t="s">
        <v>354</v>
      </c>
      <c r="G7" s="157" t="s">
        <v>354</v>
      </c>
      <c r="H7" s="157" t="s">
        <v>354</v>
      </c>
      <c r="I7" s="157" t="s">
        <v>354</v>
      </c>
      <c r="J7" s="157" t="s">
        <v>354</v>
      </c>
      <c r="K7" s="157" t="s">
        <v>354</v>
      </c>
      <c r="L7" s="157" t="s">
        <v>354</v>
      </c>
      <c r="M7" s="157" t="s">
        <v>354</v>
      </c>
      <c r="N7" s="157" t="s">
        <v>354</v>
      </c>
      <c r="O7" s="157" t="s">
        <v>354</v>
      </c>
      <c r="P7" s="157">
        <v>0.0</v>
      </c>
      <c r="Q7" s="157">
        <v>0.0</v>
      </c>
      <c r="R7" s="157" t="s">
        <v>354</v>
      </c>
      <c r="S7" s="157">
        <v>0.0</v>
      </c>
      <c r="T7" s="157">
        <v>0.0</v>
      </c>
      <c r="U7" s="157" t="s">
        <v>354</v>
      </c>
      <c r="V7" s="157" t="s">
        <v>354</v>
      </c>
      <c r="W7" s="359" t="s">
        <v>354</v>
      </c>
      <c r="X7" s="359" t="s">
        <v>354</v>
      </c>
      <c r="Y7" s="361" t="s">
        <v>1382</v>
      </c>
      <c r="Z7" s="362" t="s">
        <v>1383</v>
      </c>
      <c r="AA7" s="144" t="s">
        <v>365</v>
      </c>
      <c r="AB7" s="40" t="s">
        <v>357</v>
      </c>
      <c r="AC7" s="357">
        <f t="shared" si="1"/>
        <v>1</v>
      </c>
      <c r="AH7" s="235">
        <v>0.0</v>
      </c>
      <c r="AI7" s="235">
        <v>0.0</v>
      </c>
      <c r="AJ7" s="235">
        <v>0.0</v>
      </c>
      <c r="AK7" s="235">
        <v>0.0</v>
      </c>
      <c r="AL7" s="235">
        <v>0.0</v>
      </c>
      <c r="AM7" s="235">
        <v>1.0</v>
      </c>
      <c r="AN7" s="235">
        <v>0.0</v>
      </c>
      <c r="AO7" s="235">
        <v>0.0</v>
      </c>
      <c r="AP7" s="363">
        <f t="shared" si="2"/>
        <v>1</v>
      </c>
      <c r="AQ7" s="182">
        <f t="shared" si="3"/>
        <v>1</v>
      </c>
    </row>
    <row r="8">
      <c r="A8" s="157">
        <v>7.0</v>
      </c>
      <c r="B8" s="157" t="s">
        <v>1385</v>
      </c>
      <c r="C8" s="157" t="s">
        <v>354</v>
      </c>
      <c r="D8" s="157" t="s">
        <v>354</v>
      </c>
      <c r="E8" s="354">
        <v>40925.0</v>
      </c>
      <c r="F8" s="157" t="s">
        <v>354</v>
      </c>
      <c r="G8" s="157" t="s">
        <v>354</v>
      </c>
      <c r="H8" s="157" t="s">
        <v>354</v>
      </c>
      <c r="I8" s="157" t="s">
        <v>354</v>
      </c>
      <c r="J8" s="157" t="s">
        <v>354</v>
      </c>
      <c r="K8" s="157" t="s">
        <v>354</v>
      </c>
      <c r="L8" s="157" t="s">
        <v>354</v>
      </c>
      <c r="M8" s="157" t="s">
        <v>354</v>
      </c>
      <c r="N8" s="157" t="s">
        <v>354</v>
      </c>
      <c r="O8" s="157" t="s">
        <v>354</v>
      </c>
      <c r="P8" s="140">
        <v>33.55</v>
      </c>
      <c r="Q8" s="157">
        <v>0.0</v>
      </c>
      <c r="R8" s="157" t="s">
        <v>354</v>
      </c>
      <c r="S8" s="157">
        <v>0.0</v>
      </c>
      <c r="T8" s="157">
        <v>0.0</v>
      </c>
      <c r="U8" s="157" t="s">
        <v>354</v>
      </c>
      <c r="V8" s="157" t="s">
        <v>354</v>
      </c>
      <c r="W8" s="355" t="s">
        <v>365</v>
      </c>
      <c r="X8" s="90" t="s">
        <v>413</v>
      </c>
      <c r="Y8" s="356" t="s">
        <v>365</v>
      </c>
      <c r="Z8" s="90" t="s">
        <v>413</v>
      </c>
      <c r="AA8" s="144" t="s">
        <v>365</v>
      </c>
      <c r="AB8" s="90" t="s">
        <v>413</v>
      </c>
      <c r="AC8" s="357">
        <f t="shared" si="1"/>
        <v>4</v>
      </c>
      <c r="AH8" s="235">
        <v>0.0</v>
      </c>
      <c r="AI8" s="235">
        <v>0.0</v>
      </c>
      <c r="AJ8" s="235">
        <v>0.0</v>
      </c>
      <c r="AK8" s="235">
        <v>0.0</v>
      </c>
      <c r="AL8" s="235">
        <v>3.0</v>
      </c>
      <c r="AM8" s="235">
        <v>0.0</v>
      </c>
      <c r="AN8" s="235">
        <v>0.0</v>
      </c>
      <c r="AO8" s="235">
        <v>0.0</v>
      </c>
      <c r="AP8" s="358">
        <f t="shared" si="2"/>
        <v>3</v>
      </c>
      <c r="AQ8" s="182">
        <f t="shared" si="3"/>
        <v>1</v>
      </c>
    </row>
    <row r="9">
      <c r="A9" s="157">
        <v>8.0</v>
      </c>
      <c r="B9" s="157" t="s">
        <v>1386</v>
      </c>
      <c r="C9" s="157" t="s">
        <v>354</v>
      </c>
      <c r="D9" s="157" t="s">
        <v>354</v>
      </c>
      <c r="E9" s="354">
        <v>40925.0</v>
      </c>
      <c r="F9" s="157" t="s">
        <v>354</v>
      </c>
      <c r="G9" s="157" t="s">
        <v>354</v>
      </c>
      <c r="H9" s="157" t="s">
        <v>354</v>
      </c>
      <c r="I9" s="157" t="s">
        <v>354</v>
      </c>
      <c r="J9" s="157" t="s">
        <v>354</v>
      </c>
      <c r="K9" s="157" t="s">
        <v>354</v>
      </c>
      <c r="L9" s="157" t="s">
        <v>354</v>
      </c>
      <c r="M9" s="157" t="s">
        <v>354</v>
      </c>
      <c r="N9" s="157" t="s">
        <v>354</v>
      </c>
      <c r="O9" s="157" t="s">
        <v>354</v>
      </c>
      <c r="P9" s="157">
        <v>0.0</v>
      </c>
      <c r="Q9" s="157">
        <v>0.0</v>
      </c>
      <c r="R9" s="157" t="s">
        <v>354</v>
      </c>
      <c r="S9" s="157">
        <v>0.0</v>
      </c>
      <c r="T9" s="157">
        <v>0.0</v>
      </c>
      <c r="U9" s="157" t="s">
        <v>354</v>
      </c>
      <c r="V9" s="157" t="s">
        <v>354</v>
      </c>
      <c r="W9" s="359" t="s">
        <v>354</v>
      </c>
      <c r="X9" s="359" t="s">
        <v>354</v>
      </c>
      <c r="Y9" s="361" t="s">
        <v>1382</v>
      </c>
      <c r="Z9" s="362" t="s">
        <v>1383</v>
      </c>
      <c r="AA9" s="139" t="s">
        <v>356</v>
      </c>
      <c r="AB9" s="139" t="s">
        <v>354</v>
      </c>
      <c r="AC9" s="46">
        <f t="shared" si="1"/>
        <v>0</v>
      </c>
      <c r="AH9" s="235">
        <v>0.0</v>
      </c>
      <c r="AI9" s="235">
        <v>0.0</v>
      </c>
      <c r="AJ9" s="235">
        <v>0.0</v>
      </c>
      <c r="AK9" s="235">
        <v>0.0</v>
      </c>
      <c r="AL9" s="235">
        <v>0.0</v>
      </c>
      <c r="AM9" s="235">
        <v>0.0</v>
      </c>
      <c r="AN9" s="235">
        <v>0.0</v>
      </c>
      <c r="AO9" s="235">
        <v>0.0</v>
      </c>
      <c r="AP9" s="182">
        <f t="shared" si="2"/>
        <v>0</v>
      </c>
      <c r="AQ9" s="182">
        <f t="shared" si="3"/>
        <v>0</v>
      </c>
    </row>
    <row r="10">
      <c r="A10" s="157">
        <v>9.0</v>
      </c>
      <c r="B10" s="157" t="s">
        <v>841</v>
      </c>
      <c r="C10" s="157" t="s">
        <v>354</v>
      </c>
      <c r="D10" s="157" t="s">
        <v>354</v>
      </c>
      <c r="E10" s="354">
        <v>40925.0</v>
      </c>
      <c r="F10" s="157" t="s">
        <v>354</v>
      </c>
      <c r="G10" s="157" t="s">
        <v>354</v>
      </c>
      <c r="H10" s="157" t="s">
        <v>354</v>
      </c>
      <c r="I10" s="157" t="s">
        <v>354</v>
      </c>
      <c r="J10" s="157" t="s">
        <v>354</v>
      </c>
      <c r="K10" s="157" t="s">
        <v>354</v>
      </c>
      <c r="L10" s="157" t="s">
        <v>354</v>
      </c>
      <c r="M10" s="157" t="s">
        <v>354</v>
      </c>
      <c r="N10" s="157" t="s">
        <v>354</v>
      </c>
      <c r="O10" s="157" t="s">
        <v>354</v>
      </c>
      <c r="P10" s="140">
        <v>31.22</v>
      </c>
      <c r="Q10" s="140">
        <v>13.77</v>
      </c>
      <c r="R10" s="157" t="s">
        <v>354</v>
      </c>
      <c r="S10" s="157">
        <v>0.0</v>
      </c>
      <c r="T10" s="157">
        <v>0.0</v>
      </c>
      <c r="U10" s="157" t="s">
        <v>354</v>
      </c>
      <c r="V10" s="157" t="s">
        <v>354</v>
      </c>
      <c r="W10" s="355" t="s">
        <v>365</v>
      </c>
      <c r="X10" s="40" t="s">
        <v>357</v>
      </c>
      <c r="Y10" s="356" t="s">
        <v>365</v>
      </c>
      <c r="Z10" s="40" t="s">
        <v>357</v>
      </c>
      <c r="AA10" s="144" t="s">
        <v>365</v>
      </c>
      <c r="AB10" s="40" t="s">
        <v>357</v>
      </c>
      <c r="AC10" s="357">
        <f t="shared" si="1"/>
        <v>4</v>
      </c>
      <c r="AH10" s="235">
        <v>0.0</v>
      </c>
      <c r="AI10" s="235">
        <v>0.0</v>
      </c>
      <c r="AJ10" s="235">
        <v>0.0</v>
      </c>
      <c r="AK10" s="235">
        <v>0.0</v>
      </c>
      <c r="AL10" s="235">
        <v>0.0</v>
      </c>
      <c r="AM10" s="235">
        <v>3.0</v>
      </c>
      <c r="AN10" s="235">
        <v>0.0</v>
      </c>
      <c r="AO10" s="235">
        <v>0.0</v>
      </c>
      <c r="AP10" s="358">
        <f t="shared" si="2"/>
        <v>3</v>
      </c>
      <c r="AQ10" s="182">
        <f t="shared" si="3"/>
        <v>1</v>
      </c>
    </row>
    <row r="11">
      <c r="A11" s="157">
        <v>10.0</v>
      </c>
      <c r="B11" s="157" t="s">
        <v>1387</v>
      </c>
      <c r="C11" s="157" t="s">
        <v>354</v>
      </c>
      <c r="D11" s="157" t="s">
        <v>354</v>
      </c>
      <c r="E11" s="354">
        <v>40925.0</v>
      </c>
      <c r="F11" s="157" t="s">
        <v>354</v>
      </c>
      <c r="G11" s="157" t="s">
        <v>354</v>
      </c>
      <c r="H11" s="157" t="s">
        <v>354</v>
      </c>
      <c r="I11" s="157" t="s">
        <v>354</v>
      </c>
      <c r="J11" s="157" t="s">
        <v>354</v>
      </c>
      <c r="K11" s="157" t="s">
        <v>354</v>
      </c>
      <c r="L11" s="157" t="s">
        <v>354</v>
      </c>
      <c r="M11" s="157" t="s">
        <v>354</v>
      </c>
      <c r="N11" s="157" t="s">
        <v>354</v>
      </c>
      <c r="O11" s="157" t="s">
        <v>354</v>
      </c>
      <c r="P11" s="140">
        <v>26.89</v>
      </c>
      <c r="Q11" s="140">
        <v>26.95</v>
      </c>
      <c r="R11" s="157" t="s">
        <v>354</v>
      </c>
      <c r="S11" s="157">
        <v>0.0</v>
      </c>
      <c r="T11" s="157">
        <v>0.0</v>
      </c>
      <c r="U11" s="157" t="s">
        <v>354</v>
      </c>
      <c r="V11" s="157" t="s">
        <v>354</v>
      </c>
      <c r="W11" s="355" t="s">
        <v>365</v>
      </c>
      <c r="X11" s="90" t="s">
        <v>413</v>
      </c>
      <c r="Y11" s="356" t="s">
        <v>365</v>
      </c>
      <c r="Z11" s="90" t="s">
        <v>413</v>
      </c>
      <c r="AA11" s="144" t="s">
        <v>365</v>
      </c>
      <c r="AB11" s="143" t="s">
        <v>358</v>
      </c>
      <c r="AC11" s="357">
        <f t="shared" si="1"/>
        <v>4</v>
      </c>
      <c r="AH11" s="235">
        <v>0.0</v>
      </c>
      <c r="AI11" s="235">
        <v>0.0</v>
      </c>
      <c r="AJ11" s="235">
        <v>1.0</v>
      </c>
      <c r="AK11" s="235">
        <v>0.0</v>
      </c>
      <c r="AL11" s="235">
        <v>2.0</v>
      </c>
      <c r="AM11" s="235">
        <v>0.0</v>
      </c>
      <c r="AN11" s="235">
        <v>0.0</v>
      </c>
      <c r="AO11" s="235">
        <v>0.0</v>
      </c>
      <c r="AP11" s="358">
        <f t="shared" si="2"/>
        <v>3</v>
      </c>
      <c r="AQ11" s="182">
        <f t="shared" si="3"/>
        <v>2</v>
      </c>
    </row>
    <row r="12">
      <c r="A12" s="157">
        <v>11.0</v>
      </c>
      <c r="B12" s="157" t="s">
        <v>1388</v>
      </c>
      <c r="C12" s="157" t="s">
        <v>354</v>
      </c>
      <c r="D12" s="157" t="s">
        <v>354</v>
      </c>
      <c r="E12" s="354">
        <v>40925.0</v>
      </c>
      <c r="F12" s="157" t="s">
        <v>354</v>
      </c>
      <c r="G12" s="157" t="s">
        <v>354</v>
      </c>
      <c r="H12" s="157" t="s">
        <v>354</v>
      </c>
      <c r="I12" s="157" t="s">
        <v>354</v>
      </c>
      <c r="J12" s="157" t="s">
        <v>354</v>
      </c>
      <c r="K12" s="157" t="s">
        <v>354</v>
      </c>
      <c r="L12" s="157" t="s">
        <v>354</v>
      </c>
      <c r="M12" s="157" t="s">
        <v>354</v>
      </c>
      <c r="N12" s="157" t="s">
        <v>354</v>
      </c>
      <c r="O12" s="157" t="s">
        <v>354</v>
      </c>
      <c r="P12" s="140">
        <v>38.22</v>
      </c>
      <c r="Q12" s="140">
        <v>22.67</v>
      </c>
      <c r="R12" s="157" t="s">
        <v>354</v>
      </c>
      <c r="S12" s="157">
        <v>0.0</v>
      </c>
      <c r="T12" s="157">
        <v>0.0</v>
      </c>
      <c r="U12" s="157" t="s">
        <v>354</v>
      </c>
      <c r="V12" s="157" t="s">
        <v>354</v>
      </c>
      <c r="W12" s="359" t="s">
        <v>354</v>
      </c>
      <c r="X12" s="359" t="s">
        <v>354</v>
      </c>
      <c r="Y12" s="361" t="s">
        <v>1382</v>
      </c>
      <c r="Z12" s="362" t="s">
        <v>1383</v>
      </c>
      <c r="AA12" s="144" t="s">
        <v>365</v>
      </c>
      <c r="AB12" s="143" t="s">
        <v>358</v>
      </c>
      <c r="AC12" s="357">
        <f t="shared" si="1"/>
        <v>2</v>
      </c>
      <c r="AH12" s="235">
        <v>0.0</v>
      </c>
      <c r="AI12" s="235">
        <v>0.0</v>
      </c>
      <c r="AJ12" s="235">
        <v>1.0</v>
      </c>
      <c r="AK12" s="235">
        <v>0.0</v>
      </c>
      <c r="AL12" s="235">
        <v>0.0</v>
      </c>
      <c r="AM12" s="235">
        <v>0.0</v>
      </c>
      <c r="AN12" s="235">
        <v>0.0</v>
      </c>
      <c r="AO12" s="235">
        <v>0.0</v>
      </c>
      <c r="AP12" s="363">
        <f t="shared" si="2"/>
        <v>1</v>
      </c>
      <c r="AQ12" s="182">
        <f t="shared" si="3"/>
        <v>1</v>
      </c>
    </row>
    <row r="13">
      <c r="A13" s="157">
        <v>12.0</v>
      </c>
      <c r="B13" s="157" t="s">
        <v>1389</v>
      </c>
      <c r="C13" s="157" t="s">
        <v>354</v>
      </c>
      <c r="D13" s="157" t="s">
        <v>354</v>
      </c>
      <c r="E13" s="354">
        <v>40925.0</v>
      </c>
      <c r="F13" s="157" t="s">
        <v>354</v>
      </c>
      <c r="G13" s="157" t="s">
        <v>354</v>
      </c>
      <c r="H13" s="157" t="s">
        <v>354</v>
      </c>
      <c r="I13" s="157" t="s">
        <v>354</v>
      </c>
      <c r="J13" s="157" t="s">
        <v>354</v>
      </c>
      <c r="K13" s="157" t="s">
        <v>354</v>
      </c>
      <c r="L13" s="157" t="s">
        <v>354</v>
      </c>
      <c r="M13" s="157" t="s">
        <v>354</v>
      </c>
      <c r="N13" s="157" t="s">
        <v>354</v>
      </c>
      <c r="O13" s="157" t="s">
        <v>354</v>
      </c>
      <c r="P13" s="140">
        <v>36.97</v>
      </c>
      <c r="Q13" s="157">
        <v>0.0</v>
      </c>
      <c r="R13" s="157" t="s">
        <v>354</v>
      </c>
      <c r="S13" s="157">
        <v>0.0</v>
      </c>
      <c r="T13" s="157">
        <v>0.0</v>
      </c>
      <c r="U13" s="157" t="s">
        <v>354</v>
      </c>
      <c r="V13" s="157" t="s">
        <v>354</v>
      </c>
      <c r="W13" s="355" t="s">
        <v>365</v>
      </c>
      <c r="X13" s="90" t="s">
        <v>413</v>
      </c>
      <c r="Y13" s="356" t="s">
        <v>365</v>
      </c>
      <c r="Z13" s="90" t="s">
        <v>413</v>
      </c>
      <c r="AA13" s="144" t="s">
        <v>365</v>
      </c>
      <c r="AB13" s="90" t="s">
        <v>413</v>
      </c>
      <c r="AC13" s="357">
        <f t="shared" si="1"/>
        <v>4</v>
      </c>
      <c r="AH13" s="235">
        <v>0.0</v>
      </c>
      <c r="AI13" s="235">
        <v>0.0</v>
      </c>
      <c r="AJ13" s="235">
        <v>0.0</v>
      </c>
      <c r="AK13" s="235">
        <v>0.0</v>
      </c>
      <c r="AL13" s="235">
        <v>3.0</v>
      </c>
      <c r="AM13" s="235">
        <v>0.0</v>
      </c>
      <c r="AN13" s="235">
        <v>0.0</v>
      </c>
      <c r="AO13" s="235">
        <v>0.0</v>
      </c>
      <c r="AP13" s="358">
        <f t="shared" si="2"/>
        <v>3</v>
      </c>
      <c r="AQ13" s="182">
        <f t="shared" si="3"/>
        <v>1</v>
      </c>
    </row>
    <row r="14">
      <c r="A14" s="157">
        <v>13.0</v>
      </c>
      <c r="B14" s="157" t="s">
        <v>1390</v>
      </c>
      <c r="C14" s="157" t="s">
        <v>354</v>
      </c>
      <c r="D14" s="157" t="s">
        <v>354</v>
      </c>
      <c r="E14" s="354">
        <v>40925.0</v>
      </c>
      <c r="F14" s="157" t="s">
        <v>354</v>
      </c>
      <c r="G14" s="157" t="s">
        <v>354</v>
      </c>
      <c r="H14" s="157" t="s">
        <v>354</v>
      </c>
      <c r="I14" s="157" t="s">
        <v>354</v>
      </c>
      <c r="J14" s="157" t="s">
        <v>354</v>
      </c>
      <c r="K14" s="157" t="s">
        <v>354</v>
      </c>
      <c r="L14" s="157" t="s">
        <v>354</v>
      </c>
      <c r="M14" s="157" t="s">
        <v>354</v>
      </c>
      <c r="N14" s="157" t="s">
        <v>354</v>
      </c>
      <c r="O14" s="157" t="s">
        <v>354</v>
      </c>
      <c r="P14" s="157">
        <v>0.0</v>
      </c>
      <c r="Q14" s="157">
        <v>0.0</v>
      </c>
      <c r="R14" s="157" t="s">
        <v>354</v>
      </c>
      <c r="S14" s="157">
        <v>0.0</v>
      </c>
      <c r="T14" s="157">
        <v>0.0</v>
      </c>
      <c r="U14" s="157" t="s">
        <v>354</v>
      </c>
      <c r="V14" s="157" t="s">
        <v>354</v>
      </c>
      <c r="W14" s="359" t="s">
        <v>354</v>
      </c>
      <c r="X14" s="359" t="s">
        <v>354</v>
      </c>
      <c r="Y14" s="360" t="s">
        <v>354</v>
      </c>
      <c r="Z14" s="360" t="s">
        <v>354</v>
      </c>
      <c r="AA14" s="139" t="s">
        <v>356</v>
      </c>
      <c r="AB14" s="139" t="s">
        <v>354</v>
      </c>
      <c r="AC14" s="46">
        <f t="shared" si="1"/>
        <v>0</v>
      </c>
      <c r="AH14" s="235">
        <v>0.0</v>
      </c>
      <c r="AI14" s="235">
        <v>0.0</v>
      </c>
      <c r="AJ14" s="235">
        <v>0.0</v>
      </c>
      <c r="AK14" s="235">
        <v>0.0</v>
      </c>
      <c r="AL14" s="235">
        <v>0.0</v>
      </c>
      <c r="AM14" s="235">
        <v>0.0</v>
      </c>
      <c r="AN14" s="235">
        <v>0.0</v>
      </c>
      <c r="AO14" s="235">
        <v>0.0</v>
      </c>
      <c r="AP14" s="182">
        <f t="shared" si="2"/>
        <v>0</v>
      </c>
      <c r="AQ14" s="182">
        <f t="shared" si="3"/>
        <v>0</v>
      </c>
    </row>
    <row r="15">
      <c r="A15" s="157">
        <v>14.0</v>
      </c>
      <c r="B15" s="157" t="s">
        <v>1391</v>
      </c>
      <c r="C15" s="157" t="s">
        <v>354</v>
      </c>
      <c r="D15" s="157" t="s">
        <v>354</v>
      </c>
      <c r="E15" s="354">
        <v>40925.0</v>
      </c>
      <c r="F15" s="157" t="s">
        <v>354</v>
      </c>
      <c r="G15" s="157" t="s">
        <v>354</v>
      </c>
      <c r="H15" s="157" t="s">
        <v>354</v>
      </c>
      <c r="I15" s="157" t="s">
        <v>354</v>
      </c>
      <c r="J15" s="157" t="s">
        <v>354</v>
      </c>
      <c r="K15" s="157" t="s">
        <v>354</v>
      </c>
      <c r="L15" s="157" t="s">
        <v>354</v>
      </c>
      <c r="M15" s="157" t="s">
        <v>354</v>
      </c>
      <c r="N15" s="157" t="s">
        <v>354</v>
      </c>
      <c r="O15" s="157" t="s">
        <v>354</v>
      </c>
      <c r="P15" s="140">
        <v>32.53</v>
      </c>
      <c r="Q15" s="157">
        <v>0.0</v>
      </c>
      <c r="R15" s="157" t="s">
        <v>354</v>
      </c>
      <c r="S15" s="157">
        <v>0.0</v>
      </c>
      <c r="T15" s="157">
        <v>0.0</v>
      </c>
      <c r="U15" s="157" t="s">
        <v>354</v>
      </c>
      <c r="V15" s="157" t="s">
        <v>354</v>
      </c>
      <c r="W15" s="355" t="s">
        <v>365</v>
      </c>
      <c r="X15" s="40" t="s">
        <v>357</v>
      </c>
      <c r="Y15" s="356" t="s">
        <v>365</v>
      </c>
      <c r="Z15" s="40" t="s">
        <v>357</v>
      </c>
      <c r="AA15" s="144" t="s">
        <v>365</v>
      </c>
      <c r="AB15" s="143" t="s">
        <v>358</v>
      </c>
      <c r="AC15" s="357">
        <f t="shared" si="1"/>
        <v>4</v>
      </c>
      <c r="AH15" s="235">
        <v>0.0</v>
      </c>
      <c r="AI15" s="235">
        <v>0.0</v>
      </c>
      <c r="AJ15" s="235">
        <v>1.0</v>
      </c>
      <c r="AK15" s="235">
        <v>0.0</v>
      </c>
      <c r="AL15" s="235">
        <v>0.0</v>
      </c>
      <c r="AM15" s="235">
        <v>2.0</v>
      </c>
      <c r="AN15" s="235">
        <v>0.0</v>
      </c>
      <c r="AO15" s="235">
        <v>0.0</v>
      </c>
      <c r="AP15" s="358">
        <f t="shared" si="2"/>
        <v>3</v>
      </c>
      <c r="AQ15" s="182">
        <f t="shared" si="3"/>
        <v>2</v>
      </c>
    </row>
    <row r="16">
      <c r="A16" s="157">
        <v>15.0</v>
      </c>
      <c r="B16" s="157" t="s">
        <v>1392</v>
      </c>
      <c r="C16" s="157" t="s">
        <v>354</v>
      </c>
      <c r="D16" s="157" t="s">
        <v>354</v>
      </c>
      <c r="E16" s="354">
        <v>40925.0</v>
      </c>
      <c r="F16" s="157" t="s">
        <v>354</v>
      </c>
      <c r="G16" s="157" t="s">
        <v>354</v>
      </c>
      <c r="H16" s="157" t="s">
        <v>354</v>
      </c>
      <c r="I16" s="157" t="s">
        <v>354</v>
      </c>
      <c r="J16" s="157" t="s">
        <v>354</v>
      </c>
      <c r="K16" s="157" t="s">
        <v>354</v>
      </c>
      <c r="L16" s="157" t="s">
        <v>354</v>
      </c>
      <c r="M16" s="157" t="s">
        <v>354</v>
      </c>
      <c r="N16" s="157" t="s">
        <v>354</v>
      </c>
      <c r="O16" s="157" t="s">
        <v>354</v>
      </c>
      <c r="P16" s="157">
        <v>0.0</v>
      </c>
      <c r="Q16" s="157">
        <v>0.0</v>
      </c>
      <c r="R16" s="157" t="s">
        <v>354</v>
      </c>
      <c r="S16" s="157">
        <v>0.0</v>
      </c>
      <c r="T16" s="157">
        <v>0.0</v>
      </c>
      <c r="U16" s="157" t="s">
        <v>354</v>
      </c>
      <c r="V16" s="157" t="s">
        <v>354</v>
      </c>
      <c r="W16" s="359" t="s">
        <v>354</v>
      </c>
      <c r="X16" s="359" t="s">
        <v>354</v>
      </c>
      <c r="Y16" s="361" t="s">
        <v>1382</v>
      </c>
      <c r="Z16" s="362" t="s">
        <v>1383</v>
      </c>
      <c r="AA16" s="139" t="s">
        <v>356</v>
      </c>
      <c r="AB16" s="139" t="s">
        <v>354</v>
      </c>
      <c r="AC16" s="46">
        <f t="shared" si="1"/>
        <v>0</v>
      </c>
      <c r="AH16" s="235">
        <v>0.0</v>
      </c>
      <c r="AI16" s="235">
        <v>0.0</v>
      </c>
      <c r="AJ16" s="235">
        <v>0.0</v>
      </c>
      <c r="AK16" s="235">
        <v>0.0</v>
      </c>
      <c r="AL16" s="235">
        <v>0.0</v>
      </c>
      <c r="AM16" s="235">
        <v>0.0</v>
      </c>
      <c r="AN16" s="235">
        <v>0.0</v>
      </c>
      <c r="AO16" s="235">
        <v>0.0</v>
      </c>
      <c r="AP16" s="182">
        <f t="shared" si="2"/>
        <v>0</v>
      </c>
      <c r="AQ16" s="182">
        <f t="shared" si="3"/>
        <v>0</v>
      </c>
    </row>
    <row r="17">
      <c r="A17" s="157">
        <v>16.0</v>
      </c>
      <c r="B17" s="157" t="s">
        <v>1393</v>
      </c>
      <c r="C17" s="157" t="s">
        <v>354</v>
      </c>
      <c r="D17" s="157" t="s">
        <v>354</v>
      </c>
      <c r="E17" s="354">
        <v>40925.0</v>
      </c>
      <c r="F17" s="157" t="s">
        <v>354</v>
      </c>
      <c r="G17" s="157" t="s">
        <v>354</v>
      </c>
      <c r="H17" s="157" t="s">
        <v>354</v>
      </c>
      <c r="I17" s="157" t="s">
        <v>354</v>
      </c>
      <c r="J17" s="157" t="s">
        <v>354</v>
      </c>
      <c r="K17" s="157" t="s">
        <v>354</v>
      </c>
      <c r="L17" s="157" t="s">
        <v>354</v>
      </c>
      <c r="M17" s="157" t="s">
        <v>354</v>
      </c>
      <c r="N17" s="157" t="s">
        <v>354</v>
      </c>
      <c r="O17" s="157" t="s">
        <v>354</v>
      </c>
      <c r="P17" s="140">
        <v>30.75</v>
      </c>
      <c r="Q17" s="157">
        <v>0.0</v>
      </c>
      <c r="R17" s="157" t="s">
        <v>354</v>
      </c>
      <c r="S17" s="157">
        <v>0.0</v>
      </c>
      <c r="T17" s="157">
        <v>0.0</v>
      </c>
      <c r="U17" s="157" t="s">
        <v>354</v>
      </c>
      <c r="V17" s="157" t="s">
        <v>354</v>
      </c>
      <c r="W17" s="355" t="s">
        <v>365</v>
      </c>
      <c r="X17" s="90" t="s">
        <v>413</v>
      </c>
      <c r="Y17" s="356" t="s">
        <v>365</v>
      </c>
      <c r="Z17" s="90" t="s">
        <v>413</v>
      </c>
      <c r="AA17" s="144" t="s">
        <v>365</v>
      </c>
      <c r="AB17" s="143" t="s">
        <v>358</v>
      </c>
      <c r="AC17" s="357">
        <f t="shared" si="1"/>
        <v>4</v>
      </c>
      <c r="AH17" s="235">
        <v>0.0</v>
      </c>
      <c r="AI17" s="235">
        <v>0.0</v>
      </c>
      <c r="AJ17" s="235">
        <v>1.0</v>
      </c>
      <c r="AK17" s="235">
        <v>0.0</v>
      </c>
      <c r="AL17" s="235">
        <v>2.0</v>
      </c>
      <c r="AM17" s="235">
        <v>0.0</v>
      </c>
      <c r="AN17" s="235">
        <v>0.0</v>
      </c>
      <c r="AO17" s="235">
        <v>0.0</v>
      </c>
      <c r="AP17" s="358">
        <f t="shared" si="2"/>
        <v>3</v>
      </c>
      <c r="AQ17" s="182">
        <f t="shared" si="3"/>
        <v>2</v>
      </c>
    </row>
    <row r="18">
      <c r="A18" s="157">
        <v>17.0</v>
      </c>
      <c r="B18" s="157" t="s">
        <v>1394</v>
      </c>
      <c r="C18" s="157" t="s">
        <v>354</v>
      </c>
      <c r="D18" s="157" t="s">
        <v>354</v>
      </c>
      <c r="E18" s="354">
        <v>40925.0</v>
      </c>
      <c r="F18" s="157" t="s">
        <v>354</v>
      </c>
      <c r="G18" s="157" t="s">
        <v>354</v>
      </c>
      <c r="H18" s="157" t="s">
        <v>354</v>
      </c>
      <c r="I18" s="157" t="s">
        <v>354</v>
      </c>
      <c r="J18" s="157" t="s">
        <v>354</v>
      </c>
      <c r="K18" s="157" t="s">
        <v>354</v>
      </c>
      <c r="L18" s="157" t="s">
        <v>354</v>
      </c>
      <c r="M18" s="157" t="s">
        <v>354</v>
      </c>
      <c r="N18" s="157" t="s">
        <v>354</v>
      </c>
      <c r="O18" s="157" t="s">
        <v>354</v>
      </c>
      <c r="P18" s="140">
        <v>34.25</v>
      </c>
      <c r="Q18" s="140">
        <v>10.49</v>
      </c>
      <c r="R18" s="157" t="s">
        <v>354</v>
      </c>
      <c r="S18" s="157">
        <v>0.0</v>
      </c>
      <c r="T18" s="157">
        <v>0.0</v>
      </c>
      <c r="U18" s="157" t="s">
        <v>354</v>
      </c>
      <c r="V18" s="157" t="s">
        <v>354</v>
      </c>
      <c r="W18" s="355" t="s">
        <v>365</v>
      </c>
      <c r="X18" s="40" t="s">
        <v>357</v>
      </c>
      <c r="Y18" s="356" t="s">
        <v>365</v>
      </c>
      <c r="Z18" s="40" t="s">
        <v>357</v>
      </c>
      <c r="AA18" s="144" t="s">
        <v>365</v>
      </c>
      <c r="AB18" s="40" t="s">
        <v>357</v>
      </c>
      <c r="AC18" s="357">
        <f t="shared" si="1"/>
        <v>4</v>
      </c>
      <c r="AH18" s="235">
        <v>0.0</v>
      </c>
      <c r="AI18" s="235">
        <v>0.0</v>
      </c>
      <c r="AJ18" s="235">
        <v>0.0</v>
      </c>
      <c r="AK18" s="235">
        <v>0.0</v>
      </c>
      <c r="AL18" s="235">
        <v>0.0</v>
      </c>
      <c r="AM18" s="235">
        <v>3.0</v>
      </c>
      <c r="AN18" s="235">
        <v>0.0</v>
      </c>
      <c r="AO18" s="235">
        <v>0.0</v>
      </c>
      <c r="AP18" s="358">
        <f t="shared" si="2"/>
        <v>3</v>
      </c>
      <c r="AQ18" s="182">
        <f t="shared" si="3"/>
        <v>1</v>
      </c>
    </row>
    <row r="19">
      <c r="A19" s="157">
        <v>18.0</v>
      </c>
      <c r="B19" s="157" t="s">
        <v>1395</v>
      </c>
      <c r="C19" s="157" t="s">
        <v>354</v>
      </c>
      <c r="D19" s="157" t="s">
        <v>354</v>
      </c>
      <c r="E19" s="354">
        <v>40925.0</v>
      </c>
      <c r="F19" s="157" t="s">
        <v>354</v>
      </c>
      <c r="G19" s="157" t="s">
        <v>354</v>
      </c>
      <c r="H19" s="157" t="s">
        <v>354</v>
      </c>
      <c r="I19" s="157" t="s">
        <v>354</v>
      </c>
      <c r="J19" s="157" t="s">
        <v>354</v>
      </c>
      <c r="K19" s="157" t="s">
        <v>354</v>
      </c>
      <c r="L19" s="157" t="s">
        <v>354</v>
      </c>
      <c r="M19" s="157" t="s">
        <v>354</v>
      </c>
      <c r="N19" s="157" t="s">
        <v>354</v>
      </c>
      <c r="O19" s="157" t="s">
        <v>354</v>
      </c>
      <c r="P19" s="140">
        <v>29.08</v>
      </c>
      <c r="Q19" s="140">
        <v>18.91</v>
      </c>
      <c r="R19" s="157" t="s">
        <v>354</v>
      </c>
      <c r="S19" s="157">
        <v>0.0</v>
      </c>
      <c r="T19" s="157">
        <v>0.0</v>
      </c>
      <c r="U19" s="157" t="s">
        <v>354</v>
      </c>
      <c r="V19" s="157" t="s">
        <v>354</v>
      </c>
      <c r="W19" s="355" t="s">
        <v>365</v>
      </c>
      <c r="X19" s="143" t="s">
        <v>358</v>
      </c>
      <c r="Y19" s="356" t="s">
        <v>365</v>
      </c>
      <c r="Z19" s="40" t="s">
        <v>357</v>
      </c>
      <c r="AA19" s="144" t="s">
        <v>365</v>
      </c>
      <c r="AB19" s="40" t="s">
        <v>357</v>
      </c>
      <c r="AC19" s="357">
        <f t="shared" si="1"/>
        <v>4</v>
      </c>
      <c r="AH19" s="235">
        <v>0.0</v>
      </c>
      <c r="AI19" s="235">
        <v>0.0</v>
      </c>
      <c r="AJ19" s="235">
        <v>1.0</v>
      </c>
      <c r="AK19" s="235">
        <v>0.0</v>
      </c>
      <c r="AL19" s="235">
        <v>0.0</v>
      </c>
      <c r="AM19" s="235">
        <v>2.0</v>
      </c>
      <c r="AN19" s="235">
        <v>0.0</v>
      </c>
      <c r="AO19" s="235">
        <v>0.0</v>
      </c>
      <c r="AP19" s="358">
        <f t="shared" si="2"/>
        <v>3</v>
      </c>
      <c r="AQ19" s="182">
        <f t="shared" si="3"/>
        <v>2</v>
      </c>
    </row>
    <row r="20">
      <c r="A20" s="157">
        <v>19.0</v>
      </c>
      <c r="B20" s="157" t="s">
        <v>273</v>
      </c>
      <c r="C20" s="265"/>
      <c r="D20" s="265"/>
      <c r="E20" s="354">
        <v>40243.0</v>
      </c>
      <c r="F20" s="157" t="s">
        <v>354</v>
      </c>
      <c r="G20" s="157" t="s">
        <v>354</v>
      </c>
      <c r="H20" s="157" t="s">
        <v>354</v>
      </c>
      <c r="I20" s="157" t="s">
        <v>354</v>
      </c>
      <c r="J20" s="157" t="s">
        <v>354</v>
      </c>
      <c r="K20" s="157" t="s">
        <v>354</v>
      </c>
      <c r="L20" s="157" t="s">
        <v>354</v>
      </c>
      <c r="M20" s="157" t="s">
        <v>354</v>
      </c>
      <c r="N20" s="157" t="s">
        <v>354</v>
      </c>
      <c r="O20" s="157" t="s">
        <v>354</v>
      </c>
      <c r="P20" s="140">
        <v>31.83</v>
      </c>
      <c r="Q20" s="157">
        <v>0.0</v>
      </c>
      <c r="R20" s="157" t="s">
        <v>354</v>
      </c>
      <c r="S20" s="157">
        <v>0.0</v>
      </c>
      <c r="T20" s="157">
        <v>0.0</v>
      </c>
      <c r="U20" s="157" t="s">
        <v>354</v>
      </c>
      <c r="V20" s="157" t="s">
        <v>354</v>
      </c>
      <c r="W20" s="355" t="s">
        <v>365</v>
      </c>
      <c r="X20" s="90" t="s">
        <v>413</v>
      </c>
      <c r="Y20" s="356" t="s">
        <v>365</v>
      </c>
      <c r="Z20" s="90" t="s">
        <v>413</v>
      </c>
      <c r="AA20" s="144" t="s">
        <v>365</v>
      </c>
      <c r="AB20" s="90" t="s">
        <v>413</v>
      </c>
      <c r="AC20" s="357">
        <f t="shared" si="1"/>
        <v>4</v>
      </c>
      <c r="AH20" s="235">
        <v>0.0</v>
      </c>
      <c r="AI20" s="235">
        <v>0.0</v>
      </c>
      <c r="AJ20" s="235">
        <v>0.0</v>
      </c>
      <c r="AK20" s="235">
        <v>0.0</v>
      </c>
      <c r="AL20" s="235">
        <v>3.0</v>
      </c>
      <c r="AM20" s="235">
        <v>0.0</v>
      </c>
      <c r="AN20" s="235">
        <v>0.0</v>
      </c>
      <c r="AO20" s="235">
        <v>0.0</v>
      </c>
      <c r="AP20" s="358">
        <f t="shared" si="2"/>
        <v>3</v>
      </c>
      <c r="AQ20" s="182">
        <f t="shared" si="3"/>
        <v>1</v>
      </c>
    </row>
    <row r="21">
      <c r="A21" s="157">
        <v>20.0</v>
      </c>
      <c r="B21" s="157" t="s">
        <v>66</v>
      </c>
      <c r="C21" s="265"/>
      <c r="D21" s="265"/>
      <c r="E21" s="354">
        <v>40243.0</v>
      </c>
      <c r="F21" s="157" t="s">
        <v>354</v>
      </c>
      <c r="G21" s="157" t="s">
        <v>354</v>
      </c>
      <c r="H21" s="157" t="s">
        <v>354</v>
      </c>
      <c r="I21" s="157" t="s">
        <v>354</v>
      </c>
      <c r="J21" s="157" t="s">
        <v>354</v>
      </c>
      <c r="K21" s="157" t="s">
        <v>354</v>
      </c>
      <c r="L21" s="157" t="s">
        <v>354</v>
      </c>
      <c r="M21" s="157" t="s">
        <v>354</v>
      </c>
      <c r="N21" s="157" t="s">
        <v>354</v>
      </c>
      <c r="O21" s="157" t="s">
        <v>354</v>
      </c>
      <c r="P21" s="140">
        <v>29.24</v>
      </c>
      <c r="Q21" s="157">
        <v>0.0</v>
      </c>
      <c r="R21" s="157" t="s">
        <v>354</v>
      </c>
      <c r="S21" s="157">
        <v>0.0</v>
      </c>
      <c r="T21" s="157">
        <v>0.0</v>
      </c>
      <c r="U21" s="157" t="s">
        <v>354</v>
      </c>
      <c r="V21" s="157" t="s">
        <v>354</v>
      </c>
      <c r="W21" s="355" t="s">
        <v>365</v>
      </c>
      <c r="X21" s="90" t="s">
        <v>413</v>
      </c>
      <c r="Y21" s="356" t="s">
        <v>365</v>
      </c>
      <c r="Z21" s="90" t="s">
        <v>413</v>
      </c>
      <c r="AA21" s="144" t="s">
        <v>365</v>
      </c>
      <c r="AB21" s="90" t="s">
        <v>413</v>
      </c>
      <c r="AC21" s="357">
        <f t="shared" si="1"/>
        <v>4</v>
      </c>
      <c r="AH21" s="235">
        <v>0.0</v>
      </c>
      <c r="AI21" s="235">
        <v>0.0</v>
      </c>
      <c r="AJ21" s="235">
        <v>0.0</v>
      </c>
      <c r="AK21" s="235">
        <v>0.0</v>
      </c>
      <c r="AL21" s="235">
        <v>3.0</v>
      </c>
      <c r="AM21" s="235">
        <v>0.0</v>
      </c>
      <c r="AN21" s="235">
        <v>0.0</v>
      </c>
      <c r="AO21" s="235">
        <v>0.0</v>
      </c>
      <c r="AP21" s="358">
        <f t="shared" si="2"/>
        <v>3</v>
      </c>
      <c r="AQ21" s="182">
        <f t="shared" si="3"/>
        <v>1</v>
      </c>
    </row>
    <row r="22">
      <c r="A22" s="157">
        <v>21.0</v>
      </c>
      <c r="B22" s="157" t="s">
        <v>74</v>
      </c>
      <c r="C22" s="265"/>
      <c r="D22" s="265"/>
      <c r="E22" s="354">
        <v>40243.0</v>
      </c>
      <c r="F22" s="157" t="s">
        <v>354</v>
      </c>
      <c r="G22" s="157" t="s">
        <v>354</v>
      </c>
      <c r="H22" s="157" t="s">
        <v>354</v>
      </c>
      <c r="I22" s="157" t="s">
        <v>354</v>
      </c>
      <c r="J22" s="157" t="s">
        <v>354</v>
      </c>
      <c r="K22" s="157" t="s">
        <v>354</v>
      </c>
      <c r="L22" s="157" t="s">
        <v>354</v>
      </c>
      <c r="M22" s="157" t="s">
        <v>354</v>
      </c>
      <c r="N22" s="157" t="s">
        <v>354</v>
      </c>
      <c r="O22" s="157" t="s">
        <v>354</v>
      </c>
      <c r="P22" s="140">
        <v>31.97</v>
      </c>
      <c r="Q22" s="157">
        <v>0.0</v>
      </c>
      <c r="R22" s="157" t="s">
        <v>354</v>
      </c>
      <c r="S22" s="157">
        <v>0.0</v>
      </c>
      <c r="T22" s="157">
        <v>0.0</v>
      </c>
      <c r="U22" s="157" t="s">
        <v>354</v>
      </c>
      <c r="V22" s="157" t="s">
        <v>354</v>
      </c>
      <c r="W22" s="355" t="s">
        <v>365</v>
      </c>
      <c r="X22" s="40" t="s">
        <v>357</v>
      </c>
      <c r="Y22" s="356" t="s">
        <v>365</v>
      </c>
      <c r="Z22" s="40" t="s">
        <v>357</v>
      </c>
      <c r="AA22" s="144" t="s">
        <v>365</v>
      </c>
      <c r="AB22" s="40" t="s">
        <v>357</v>
      </c>
      <c r="AC22" s="357">
        <f t="shared" si="1"/>
        <v>4</v>
      </c>
      <c r="AH22" s="235">
        <v>0.0</v>
      </c>
      <c r="AI22" s="235">
        <v>0.0</v>
      </c>
      <c r="AJ22" s="235">
        <v>0.0</v>
      </c>
      <c r="AK22" s="235">
        <v>0.0</v>
      </c>
      <c r="AL22" s="235">
        <v>0.0</v>
      </c>
      <c r="AM22" s="235">
        <v>3.0</v>
      </c>
      <c r="AN22" s="235">
        <v>0.0</v>
      </c>
      <c r="AO22" s="235">
        <v>0.0</v>
      </c>
      <c r="AP22" s="358">
        <f t="shared" si="2"/>
        <v>3</v>
      </c>
      <c r="AQ22" s="182">
        <f t="shared" si="3"/>
        <v>1</v>
      </c>
    </row>
    <row r="23">
      <c r="A23" s="157">
        <v>22.0</v>
      </c>
      <c r="B23" s="157" t="s">
        <v>80</v>
      </c>
      <c r="C23" s="265"/>
      <c r="D23" s="265"/>
      <c r="E23" s="354">
        <v>40243.0</v>
      </c>
      <c r="F23" s="157" t="s">
        <v>354</v>
      </c>
      <c r="G23" s="157" t="s">
        <v>354</v>
      </c>
      <c r="H23" s="157" t="s">
        <v>354</v>
      </c>
      <c r="I23" s="157" t="s">
        <v>354</v>
      </c>
      <c r="J23" s="157" t="s">
        <v>354</v>
      </c>
      <c r="K23" s="157" t="s">
        <v>354</v>
      </c>
      <c r="L23" s="157" t="s">
        <v>354</v>
      </c>
      <c r="M23" s="157" t="s">
        <v>354</v>
      </c>
      <c r="N23" s="157" t="s">
        <v>354</v>
      </c>
      <c r="O23" s="157" t="s">
        <v>354</v>
      </c>
      <c r="P23" s="140">
        <v>38.21</v>
      </c>
      <c r="Q23" s="157">
        <v>0.0</v>
      </c>
      <c r="R23" s="157" t="s">
        <v>354</v>
      </c>
      <c r="S23" s="157">
        <v>0.0</v>
      </c>
      <c r="T23" s="140">
        <v>37.29</v>
      </c>
      <c r="U23" s="140" t="s">
        <v>365</v>
      </c>
      <c r="V23" s="157" t="s">
        <v>1396</v>
      </c>
      <c r="W23" s="359" t="s">
        <v>354</v>
      </c>
      <c r="X23" s="359" t="s">
        <v>354</v>
      </c>
      <c r="Y23" s="360" t="s">
        <v>354</v>
      </c>
      <c r="Z23" s="360" t="s">
        <v>354</v>
      </c>
      <c r="AA23" s="144" t="s">
        <v>365</v>
      </c>
      <c r="AB23" s="40" t="s">
        <v>357</v>
      </c>
      <c r="AC23" s="357">
        <f t="shared" si="1"/>
        <v>2</v>
      </c>
      <c r="AH23" s="235">
        <v>0.0</v>
      </c>
      <c r="AI23" s="235">
        <v>0.0</v>
      </c>
      <c r="AJ23" s="235">
        <v>0.0</v>
      </c>
      <c r="AK23" s="235">
        <v>0.0</v>
      </c>
      <c r="AL23" s="235">
        <v>0.0</v>
      </c>
      <c r="AM23" s="235">
        <v>1.0</v>
      </c>
      <c r="AN23" s="235">
        <v>0.0</v>
      </c>
      <c r="AO23" s="235">
        <v>0.0</v>
      </c>
      <c r="AP23" s="363">
        <f t="shared" si="2"/>
        <v>1</v>
      </c>
      <c r="AQ23" s="182">
        <f t="shared" si="3"/>
        <v>1</v>
      </c>
    </row>
    <row r="24">
      <c r="A24" s="157">
        <v>23.0</v>
      </c>
      <c r="B24" s="157" t="s">
        <v>84</v>
      </c>
      <c r="C24" s="265"/>
      <c r="D24" s="265"/>
      <c r="E24" s="354">
        <v>40243.0</v>
      </c>
      <c r="F24" s="157" t="s">
        <v>354</v>
      </c>
      <c r="G24" s="157" t="s">
        <v>354</v>
      </c>
      <c r="H24" s="157" t="s">
        <v>354</v>
      </c>
      <c r="I24" s="157" t="s">
        <v>354</v>
      </c>
      <c r="J24" s="157" t="s">
        <v>354</v>
      </c>
      <c r="K24" s="157" t="s">
        <v>354</v>
      </c>
      <c r="L24" s="157" t="s">
        <v>354</v>
      </c>
      <c r="M24" s="157" t="s">
        <v>354</v>
      </c>
      <c r="N24" s="157" t="s">
        <v>354</v>
      </c>
      <c r="O24" s="157" t="s">
        <v>354</v>
      </c>
      <c r="P24" s="140">
        <v>33.17</v>
      </c>
      <c r="Q24" s="157">
        <v>0.0</v>
      </c>
      <c r="R24" s="157" t="s">
        <v>354</v>
      </c>
      <c r="S24" s="157">
        <v>0.0</v>
      </c>
      <c r="T24" s="140">
        <v>35.24</v>
      </c>
      <c r="U24" s="157" t="s">
        <v>356</v>
      </c>
      <c r="V24" s="157" t="s">
        <v>354</v>
      </c>
      <c r="W24" s="355" t="s">
        <v>365</v>
      </c>
      <c r="X24" s="40" t="s">
        <v>357</v>
      </c>
      <c r="Y24" s="356" t="s">
        <v>365</v>
      </c>
      <c r="Z24" s="40" t="s">
        <v>357</v>
      </c>
      <c r="AA24" s="144" t="s">
        <v>365</v>
      </c>
      <c r="AB24" s="40" t="s">
        <v>357</v>
      </c>
      <c r="AC24" s="357">
        <f t="shared" si="1"/>
        <v>4</v>
      </c>
      <c r="AH24" s="235">
        <v>0.0</v>
      </c>
      <c r="AI24" s="235">
        <v>0.0</v>
      </c>
      <c r="AJ24" s="235">
        <v>0.0</v>
      </c>
      <c r="AK24" s="235">
        <v>0.0</v>
      </c>
      <c r="AL24" s="235">
        <v>0.0</v>
      </c>
      <c r="AM24" s="235">
        <v>3.0</v>
      </c>
      <c r="AN24" s="235">
        <v>0.0</v>
      </c>
      <c r="AO24" s="235">
        <v>0.0</v>
      </c>
      <c r="AP24" s="358">
        <f t="shared" si="2"/>
        <v>3</v>
      </c>
      <c r="AQ24" s="182">
        <f t="shared" si="3"/>
        <v>1</v>
      </c>
    </row>
    <row r="25">
      <c r="A25" s="157">
        <v>24.0</v>
      </c>
      <c r="B25" s="157" t="s">
        <v>91</v>
      </c>
      <c r="C25" s="265"/>
      <c r="D25" s="265"/>
      <c r="E25" s="354">
        <v>40243.0</v>
      </c>
      <c r="F25" s="157" t="s">
        <v>354</v>
      </c>
      <c r="G25" s="157" t="s">
        <v>354</v>
      </c>
      <c r="H25" s="157" t="s">
        <v>354</v>
      </c>
      <c r="I25" s="157" t="s">
        <v>354</v>
      </c>
      <c r="J25" s="157" t="s">
        <v>354</v>
      </c>
      <c r="K25" s="157" t="s">
        <v>354</v>
      </c>
      <c r="L25" s="157" t="s">
        <v>354</v>
      </c>
      <c r="M25" s="157" t="s">
        <v>354</v>
      </c>
      <c r="N25" s="157" t="s">
        <v>354</v>
      </c>
      <c r="O25" s="157" t="s">
        <v>354</v>
      </c>
      <c r="P25" s="140">
        <v>29.78</v>
      </c>
      <c r="Q25" s="157">
        <v>0.0</v>
      </c>
      <c r="R25" s="157" t="s">
        <v>354</v>
      </c>
      <c r="S25" s="157">
        <v>0.0</v>
      </c>
      <c r="T25" s="157">
        <v>0.0</v>
      </c>
      <c r="U25" s="157" t="s">
        <v>354</v>
      </c>
      <c r="V25" s="157" t="s">
        <v>354</v>
      </c>
      <c r="W25" s="355" t="s">
        <v>365</v>
      </c>
      <c r="X25" s="143" t="s">
        <v>358</v>
      </c>
      <c r="Y25" s="356" t="s">
        <v>365</v>
      </c>
      <c r="Z25" s="143" t="s">
        <v>358</v>
      </c>
      <c r="AA25" s="144" t="s">
        <v>365</v>
      </c>
      <c r="AB25" s="143" t="s">
        <v>358</v>
      </c>
      <c r="AC25" s="357">
        <f t="shared" si="1"/>
        <v>4</v>
      </c>
      <c r="AH25" s="235">
        <v>0.0</v>
      </c>
      <c r="AI25" s="235">
        <v>0.0</v>
      </c>
      <c r="AJ25" s="235">
        <v>3.0</v>
      </c>
      <c r="AK25" s="235">
        <v>0.0</v>
      </c>
      <c r="AL25" s="235">
        <v>0.0</v>
      </c>
      <c r="AM25" s="235">
        <v>0.0</v>
      </c>
      <c r="AN25" s="235">
        <v>0.0</v>
      </c>
      <c r="AO25" s="235">
        <v>0.0</v>
      </c>
      <c r="AP25" s="358">
        <f t="shared" si="2"/>
        <v>3</v>
      </c>
      <c r="AQ25" s="182">
        <f t="shared" si="3"/>
        <v>1</v>
      </c>
    </row>
    <row r="26">
      <c r="A26" s="157">
        <v>25.0</v>
      </c>
      <c r="B26" s="157" t="s">
        <v>101</v>
      </c>
      <c r="C26" s="265"/>
      <c r="D26" s="265"/>
      <c r="E26" s="354">
        <v>40243.0</v>
      </c>
      <c r="F26" s="157" t="s">
        <v>354</v>
      </c>
      <c r="G26" s="157" t="s">
        <v>354</v>
      </c>
      <c r="H26" s="157" t="s">
        <v>354</v>
      </c>
      <c r="I26" s="157" t="s">
        <v>354</v>
      </c>
      <c r="J26" s="157" t="s">
        <v>354</v>
      </c>
      <c r="K26" s="157" t="s">
        <v>354</v>
      </c>
      <c r="L26" s="157" t="s">
        <v>354</v>
      </c>
      <c r="M26" s="157" t="s">
        <v>354</v>
      </c>
      <c r="N26" s="157" t="s">
        <v>354</v>
      </c>
      <c r="O26" s="157" t="s">
        <v>354</v>
      </c>
      <c r="P26" s="140">
        <v>16.82</v>
      </c>
      <c r="Q26" s="140">
        <v>17.74</v>
      </c>
      <c r="R26" s="157" t="s">
        <v>354</v>
      </c>
      <c r="S26" s="157">
        <v>0.0</v>
      </c>
      <c r="T26" s="157">
        <v>0.0</v>
      </c>
      <c r="U26" s="157" t="s">
        <v>354</v>
      </c>
      <c r="V26" s="157" t="s">
        <v>354</v>
      </c>
      <c r="W26" s="359" t="s">
        <v>354</v>
      </c>
      <c r="X26" s="359" t="s">
        <v>354</v>
      </c>
      <c r="Y26" s="361" t="s">
        <v>1382</v>
      </c>
      <c r="Z26" s="362" t="s">
        <v>1383</v>
      </c>
      <c r="AA26" s="144" t="s">
        <v>365</v>
      </c>
      <c r="AB26" s="143" t="s">
        <v>358</v>
      </c>
      <c r="AC26" s="357">
        <f t="shared" si="1"/>
        <v>2</v>
      </c>
      <c r="AH26" s="235">
        <v>0.0</v>
      </c>
      <c r="AI26" s="235">
        <v>0.0</v>
      </c>
      <c r="AJ26" s="235">
        <v>1.0</v>
      </c>
      <c r="AK26" s="235">
        <v>0.0</v>
      </c>
      <c r="AL26" s="235">
        <v>0.0</v>
      </c>
      <c r="AM26" s="235">
        <v>0.0</v>
      </c>
      <c r="AN26" s="235">
        <v>0.0</v>
      </c>
      <c r="AO26" s="235">
        <v>0.0</v>
      </c>
      <c r="AP26" s="363">
        <f t="shared" si="2"/>
        <v>1</v>
      </c>
      <c r="AQ26" s="182">
        <f t="shared" si="3"/>
        <v>1</v>
      </c>
    </row>
    <row r="27">
      <c r="A27" s="157">
        <v>26.0</v>
      </c>
      <c r="B27" s="157" t="s">
        <v>109</v>
      </c>
      <c r="C27" s="265"/>
      <c r="D27" s="265"/>
      <c r="E27" s="354">
        <v>40243.0</v>
      </c>
      <c r="F27" s="157" t="s">
        <v>354</v>
      </c>
      <c r="G27" s="157" t="s">
        <v>354</v>
      </c>
      <c r="H27" s="157" t="s">
        <v>354</v>
      </c>
      <c r="I27" s="157" t="s">
        <v>354</v>
      </c>
      <c r="J27" s="157" t="s">
        <v>354</v>
      </c>
      <c r="K27" s="157" t="s">
        <v>354</v>
      </c>
      <c r="L27" s="157" t="s">
        <v>354</v>
      </c>
      <c r="M27" s="157" t="s">
        <v>354</v>
      </c>
      <c r="N27" s="157" t="s">
        <v>354</v>
      </c>
      <c r="O27" s="157" t="s">
        <v>354</v>
      </c>
      <c r="P27" s="140">
        <v>33.93</v>
      </c>
      <c r="Q27" s="157">
        <v>0.0</v>
      </c>
      <c r="R27" s="157" t="s">
        <v>354</v>
      </c>
      <c r="S27" s="157">
        <v>0.0</v>
      </c>
      <c r="T27" s="157">
        <v>0.0</v>
      </c>
      <c r="U27" s="157" t="s">
        <v>354</v>
      </c>
      <c r="V27" s="157" t="s">
        <v>354</v>
      </c>
      <c r="W27" s="355" t="s">
        <v>365</v>
      </c>
      <c r="X27" s="90" t="s">
        <v>413</v>
      </c>
      <c r="Y27" s="356" t="s">
        <v>365</v>
      </c>
      <c r="Z27" s="90" t="s">
        <v>413</v>
      </c>
      <c r="AA27" s="144" t="s">
        <v>365</v>
      </c>
      <c r="AB27" s="40" t="s">
        <v>357</v>
      </c>
      <c r="AC27" s="357">
        <f t="shared" si="1"/>
        <v>4</v>
      </c>
      <c r="AH27" s="235">
        <v>0.0</v>
      </c>
      <c r="AI27" s="235">
        <v>0.0</v>
      </c>
      <c r="AJ27" s="235">
        <v>0.0</v>
      </c>
      <c r="AK27" s="235">
        <v>0.0</v>
      </c>
      <c r="AL27" s="235">
        <v>2.0</v>
      </c>
      <c r="AM27" s="235">
        <v>1.0</v>
      </c>
      <c r="AN27" s="235">
        <v>0.0</v>
      </c>
      <c r="AO27" s="235">
        <v>0.0</v>
      </c>
      <c r="AP27" s="358">
        <f t="shared" si="2"/>
        <v>3</v>
      </c>
      <c r="AQ27" s="182">
        <f t="shared" si="3"/>
        <v>2</v>
      </c>
    </row>
    <row r="28">
      <c r="A28" s="157">
        <v>27.0</v>
      </c>
      <c r="B28" s="157" t="s">
        <v>120</v>
      </c>
      <c r="C28" s="265"/>
      <c r="D28" s="265"/>
      <c r="E28" s="354">
        <v>40243.0</v>
      </c>
      <c r="F28" s="157" t="s">
        <v>354</v>
      </c>
      <c r="G28" s="157" t="s">
        <v>354</v>
      </c>
      <c r="H28" s="157" t="s">
        <v>354</v>
      </c>
      <c r="I28" s="157" t="s">
        <v>354</v>
      </c>
      <c r="J28" s="157" t="s">
        <v>354</v>
      </c>
      <c r="K28" s="157" t="s">
        <v>354</v>
      </c>
      <c r="L28" s="157" t="s">
        <v>354</v>
      </c>
      <c r="M28" s="157" t="s">
        <v>354</v>
      </c>
      <c r="N28" s="157" t="s">
        <v>354</v>
      </c>
      <c r="O28" s="157" t="s">
        <v>354</v>
      </c>
      <c r="P28" s="140">
        <v>35.25</v>
      </c>
      <c r="Q28" s="157">
        <v>0.0</v>
      </c>
      <c r="R28" s="157" t="s">
        <v>354</v>
      </c>
      <c r="S28" s="157">
        <v>0.0</v>
      </c>
      <c r="T28" s="157">
        <v>0.0</v>
      </c>
      <c r="U28" s="157" t="s">
        <v>354</v>
      </c>
      <c r="V28" s="157" t="s">
        <v>354</v>
      </c>
      <c r="W28" s="355" t="s">
        <v>365</v>
      </c>
      <c r="X28" s="40" t="s">
        <v>357</v>
      </c>
      <c r="Y28" s="356" t="s">
        <v>365</v>
      </c>
      <c r="Z28" s="40" t="s">
        <v>357</v>
      </c>
      <c r="AA28" s="144" t="s">
        <v>365</v>
      </c>
      <c r="AB28" s="40" t="s">
        <v>357</v>
      </c>
      <c r="AC28" s="357">
        <f t="shared" si="1"/>
        <v>4</v>
      </c>
      <c r="AH28" s="235">
        <v>0.0</v>
      </c>
      <c r="AI28" s="235">
        <v>0.0</v>
      </c>
      <c r="AJ28" s="235">
        <v>0.0</v>
      </c>
      <c r="AK28" s="235">
        <v>0.0</v>
      </c>
      <c r="AL28" s="235">
        <v>0.0</v>
      </c>
      <c r="AM28" s="235">
        <v>3.0</v>
      </c>
      <c r="AN28" s="235">
        <v>0.0</v>
      </c>
      <c r="AO28" s="235">
        <v>0.0</v>
      </c>
      <c r="AP28" s="358">
        <f t="shared" si="2"/>
        <v>3</v>
      </c>
      <c r="AQ28" s="182">
        <f t="shared" si="3"/>
        <v>1</v>
      </c>
    </row>
    <row r="29">
      <c r="A29" s="157">
        <v>28.0</v>
      </c>
      <c r="B29" s="157" t="s">
        <v>123</v>
      </c>
      <c r="C29" s="265"/>
      <c r="D29" s="265"/>
      <c r="E29" s="354">
        <v>40243.0</v>
      </c>
      <c r="F29" s="157" t="s">
        <v>354</v>
      </c>
      <c r="G29" s="157" t="s">
        <v>354</v>
      </c>
      <c r="H29" s="157" t="s">
        <v>354</v>
      </c>
      <c r="I29" s="157" t="s">
        <v>354</v>
      </c>
      <c r="J29" s="157" t="s">
        <v>354</v>
      </c>
      <c r="K29" s="157" t="s">
        <v>354</v>
      </c>
      <c r="L29" s="157" t="s">
        <v>354</v>
      </c>
      <c r="M29" s="157" t="s">
        <v>354</v>
      </c>
      <c r="N29" s="157" t="s">
        <v>354</v>
      </c>
      <c r="O29" s="157" t="s">
        <v>354</v>
      </c>
      <c r="P29" s="140">
        <v>37.26</v>
      </c>
      <c r="Q29" s="157">
        <v>0.0</v>
      </c>
      <c r="R29" s="157" t="s">
        <v>354</v>
      </c>
      <c r="S29" s="157">
        <v>0.0</v>
      </c>
      <c r="T29" s="157">
        <v>0.0</v>
      </c>
      <c r="U29" s="157" t="s">
        <v>354</v>
      </c>
      <c r="V29" s="157" t="s">
        <v>354</v>
      </c>
      <c r="W29" s="359" t="s">
        <v>354</v>
      </c>
      <c r="X29" s="359" t="s">
        <v>354</v>
      </c>
      <c r="Y29" s="360" t="s">
        <v>354</v>
      </c>
      <c r="Z29" s="360" t="s">
        <v>354</v>
      </c>
      <c r="AA29" s="144" t="s">
        <v>365</v>
      </c>
      <c r="AB29" s="40" t="s">
        <v>357</v>
      </c>
      <c r="AC29" s="357">
        <f t="shared" si="1"/>
        <v>2</v>
      </c>
      <c r="AH29" s="235">
        <v>0.0</v>
      </c>
      <c r="AI29" s="235">
        <v>0.0</v>
      </c>
      <c r="AJ29" s="235">
        <v>0.0</v>
      </c>
      <c r="AK29" s="235">
        <v>0.0</v>
      </c>
      <c r="AL29" s="235">
        <v>0.0</v>
      </c>
      <c r="AM29" s="235">
        <v>1.0</v>
      </c>
      <c r="AN29" s="235">
        <v>0.0</v>
      </c>
      <c r="AO29" s="235">
        <v>0.0</v>
      </c>
      <c r="AP29" s="363">
        <f t="shared" si="2"/>
        <v>1</v>
      </c>
      <c r="AQ29" s="182">
        <f t="shared" si="3"/>
        <v>1</v>
      </c>
    </row>
    <row r="30">
      <c r="A30" s="157">
        <v>29.0</v>
      </c>
      <c r="B30" s="157" t="s">
        <v>132</v>
      </c>
      <c r="C30" s="265"/>
      <c r="D30" s="265"/>
      <c r="E30" s="354">
        <v>40243.0</v>
      </c>
      <c r="F30" s="157" t="s">
        <v>354</v>
      </c>
      <c r="G30" s="157" t="s">
        <v>354</v>
      </c>
      <c r="H30" s="157" t="s">
        <v>354</v>
      </c>
      <c r="I30" s="157" t="s">
        <v>354</v>
      </c>
      <c r="J30" s="157" t="s">
        <v>354</v>
      </c>
      <c r="K30" s="157" t="s">
        <v>354</v>
      </c>
      <c r="L30" s="157" t="s">
        <v>354</v>
      </c>
      <c r="M30" s="157" t="s">
        <v>354</v>
      </c>
      <c r="N30" s="157" t="s">
        <v>354</v>
      </c>
      <c r="O30" s="157" t="s">
        <v>354</v>
      </c>
      <c r="P30" s="140">
        <v>33.7</v>
      </c>
      <c r="Q30" s="157">
        <v>0.0</v>
      </c>
      <c r="R30" s="157" t="s">
        <v>354</v>
      </c>
      <c r="S30" s="157">
        <v>0.0</v>
      </c>
      <c r="T30" s="157">
        <v>0.0</v>
      </c>
      <c r="U30" s="157" t="s">
        <v>354</v>
      </c>
      <c r="V30" s="157" t="s">
        <v>354</v>
      </c>
      <c r="W30" s="355" t="s">
        <v>365</v>
      </c>
      <c r="X30" s="40" t="s">
        <v>357</v>
      </c>
      <c r="Y30" s="356" t="s">
        <v>365</v>
      </c>
      <c r="Z30" s="40" t="s">
        <v>357</v>
      </c>
      <c r="AA30" s="144" t="s">
        <v>365</v>
      </c>
      <c r="AB30" s="40" t="s">
        <v>357</v>
      </c>
      <c r="AC30" s="357">
        <f t="shared" si="1"/>
        <v>4</v>
      </c>
      <c r="AH30" s="235">
        <v>0.0</v>
      </c>
      <c r="AI30" s="235">
        <v>0.0</v>
      </c>
      <c r="AJ30" s="235">
        <v>0.0</v>
      </c>
      <c r="AK30" s="235">
        <v>0.0</v>
      </c>
      <c r="AL30" s="235">
        <v>0.0</v>
      </c>
      <c r="AM30" s="235">
        <v>3.0</v>
      </c>
      <c r="AN30" s="235">
        <v>0.0</v>
      </c>
      <c r="AO30" s="235">
        <v>0.0</v>
      </c>
      <c r="AP30" s="358">
        <f t="shared" si="2"/>
        <v>3</v>
      </c>
      <c r="AQ30" s="182">
        <f t="shared" si="3"/>
        <v>1</v>
      </c>
    </row>
    <row r="31">
      <c r="A31" s="157">
        <v>30.0</v>
      </c>
      <c r="B31" s="157" t="s">
        <v>135</v>
      </c>
      <c r="C31" s="265"/>
      <c r="D31" s="265"/>
      <c r="E31" s="354">
        <v>40243.0</v>
      </c>
      <c r="F31" s="157" t="s">
        <v>354</v>
      </c>
      <c r="G31" s="157" t="s">
        <v>354</v>
      </c>
      <c r="H31" s="157" t="s">
        <v>354</v>
      </c>
      <c r="I31" s="157" t="s">
        <v>354</v>
      </c>
      <c r="J31" s="157" t="s">
        <v>354</v>
      </c>
      <c r="K31" s="157" t="s">
        <v>354</v>
      </c>
      <c r="L31" s="157" t="s">
        <v>354</v>
      </c>
      <c r="M31" s="157" t="s">
        <v>354</v>
      </c>
      <c r="N31" s="157" t="s">
        <v>354</v>
      </c>
      <c r="O31" s="157" t="s">
        <v>354</v>
      </c>
      <c r="P31" s="157">
        <v>0.0</v>
      </c>
      <c r="Q31" s="157">
        <v>0.0</v>
      </c>
      <c r="R31" s="157" t="s">
        <v>354</v>
      </c>
      <c r="S31" s="157">
        <v>0.0</v>
      </c>
      <c r="T31" s="157">
        <v>0.0</v>
      </c>
      <c r="U31" s="157" t="s">
        <v>354</v>
      </c>
      <c r="V31" s="157" t="s">
        <v>354</v>
      </c>
      <c r="W31" s="359" t="s">
        <v>354</v>
      </c>
      <c r="X31" s="359" t="s">
        <v>354</v>
      </c>
      <c r="Y31" s="356" t="s">
        <v>365</v>
      </c>
      <c r="Z31" s="40" t="s">
        <v>357</v>
      </c>
      <c r="AA31" s="144" t="s">
        <v>365</v>
      </c>
      <c r="AB31" s="40" t="s">
        <v>357</v>
      </c>
      <c r="AC31" s="357">
        <f t="shared" si="1"/>
        <v>2</v>
      </c>
      <c r="AH31" s="235">
        <v>0.0</v>
      </c>
      <c r="AI31" s="235">
        <v>0.0</v>
      </c>
      <c r="AJ31" s="235">
        <v>0.0</v>
      </c>
      <c r="AK31" s="235">
        <v>0.0</v>
      </c>
      <c r="AL31" s="235">
        <v>0.0</v>
      </c>
      <c r="AM31" s="235">
        <v>2.0</v>
      </c>
      <c r="AN31" s="235">
        <v>0.0</v>
      </c>
      <c r="AO31" s="235">
        <v>0.0</v>
      </c>
      <c r="AP31" s="358">
        <f t="shared" si="2"/>
        <v>2</v>
      </c>
      <c r="AQ31" s="182">
        <f t="shared" si="3"/>
        <v>1</v>
      </c>
    </row>
    <row r="32">
      <c r="A32" s="157">
        <v>31.0</v>
      </c>
      <c r="B32" s="157" t="s">
        <v>138</v>
      </c>
      <c r="C32" s="265"/>
      <c r="D32" s="265"/>
      <c r="E32" s="354">
        <v>40243.0</v>
      </c>
      <c r="F32" s="157" t="s">
        <v>354</v>
      </c>
      <c r="G32" s="157" t="s">
        <v>354</v>
      </c>
      <c r="H32" s="157" t="s">
        <v>354</v>
      </c>
      <c r="I32" s="157" t="s">
        <v>354</v>
      </c>
      <c r="J32" s="157" t="s">
        <v>354</v>
      </c>
      <c r="K32" s="157" t="s">
        <v>354</v>
      </c>
      <c r="L32" s="157" t="s">
        <v>354</v>
      </c>
      <c r="M32" s="157" t="s">
        <v>354</v>
      </c>
      <c r="N32" s="157" t="s">
        <v>354</v>
      </c>
      <c r="O32" s="157" t="s">
        <v>354</v>
      </c>
      <c r="P32" s="157">
        <v>0.0</v>
      </c>
      <c r="Q32" s="157">
        <v>0.0</v>
      </c>
      <c r="R32" s="157" t="s">
        <v>354</v>
      </c>
      <c r="S32" s="157">
        <v>0.0</v>
      </c>
      <c r="T32" s="157">
        <v>0.0</v>
      </c>
      <c r="U32" s="157" t="s">
        <v>354</v>
      </c>
      <c r="V32" s="157" t="s">
        <v>354</v>
      </c>
      <c r="W32" s="359" t="s">
        <v>354</v>
      </c>
      <c r="X32" s="359" t="s">
        <v>354</v>
      </c>
      <c r="Y32" s="361" t="s">
        <v>1382</v>
      </c>
      <c r="Z32" s="362" t="s">
        <v>1383</v>
      </c>
      <c r="AA32" s="139" t="s">
        <v>356</v>
      </c>
      <c r="AB32" s="139" t="s">
        <v>354</v>
      </c>
      <c r="AC32" s="46">
        <f t="shared" si="1"/>
        <v>0</v>
      </c>
      <c r="AH32" s="235">
        <v>0.0</v>
      </c>
      <c r="AI32" s="235">
        <v>0.0</v>
      </c>
      <c r="AJ32" s="235">
        <v>0.0</v>
      </c>
      <c r="AK32" s="235">
        <v>0.0</v>
      </c>
      <c r="AL32" s="235">
        <v>0.0</v>
      </c>
      <c r="AM32" s="235">
        <v>0.0</v>
      </c>
      <c r="AN32" s="235">
        <v>0.0</v>
      </c>
      <c r="AO32" s="235">
        <v>0.0</v>
      </c>
      <c r="AP32" s="182">
        <f t="shared" si="2"/>
        <v>0</v>
      </c>
      <c r="AQ32" s="182">
        <f t="shared" si="3"/>
        <v>0</v>
      </c>
    </row>
    <row r="33">
      <c r="A33" s="157">
        <v>32.0</v>
      </c>
      <c r="B33" s="157" t="s">
        <v>141</v>
      </c>
      <c r="C33" s="265"/>
      <c r="D33" s="265"/>
      <c r="E33" s="354">
        <v>40243.0</v>
      </c>
      <c r="F33" s="157" t="s">
        <v>354</v>
      </c>
      <c r="G33" s="157" t="s">
        <v>354</v>
      </c>
      <c r="H33" s="157" t="s">
        <v>354</v>
      </c>
      <c r="I33" s="157" t="s">
        <v>354</v>
      </c>
      <c r="J33" s="157" t="s">
        <v>354</v>
      </c>
      <c r="K33" s="157" t="s">
        <v>354</v>
      </c>
      <c r="L33" s="157" t="s">
        <v>354</v>
      </c>
      <c r="M33" s="157" t="s">
        <v>354</v>
      </c>
      <c r="N33" s="157" t="s">
        <v>354</v>
      </c>
      <c r="O33" s="157" t="s">
        <v>354</v>
      </c>
      <c r="P33" s="140">
        <v>35.16</v>
      </c>
      <c r="Q33" s="157">
        <v>0.0</v>
      </c>
      <c r="R33" s="157" t="s">
        <v>354</v>
      </c>
      <c r="S33" s="157">
        <v>0.0</v>
      </c>
      <c r="T33" s="157">
        <v>0.0</v>
      </c>
      <c r="U33" s="157" t="s">
        <v>354</v>
      </c>
      <c r="V33" s="157" t="s">
        <v>354</v>
      </c>
      <c r="W33" s="355" t="s">
        <v>365</v>
      </c>
      <c r="X33" s="40" t="s">
        <v>357</v>
      </c>
      <c r="Y33" s="356" t="s">
        <v>365</v>
      </c>
      <c r="Z33" s="40" t="s">
        <v>357</v>
      </c>
      <c r="AA33" s="144" t="s">
        <v>365</v>
      </c>
      <c r="AB33" s="40" t="s">
        <v>357</v>
      </c>
      <c r="AC33" s="357">
        <f t="shared" si="1"/>
        <v>4</v>
      </c>
      <c r="AH33" s="235">
        <v>0.0</v>
      </c>
      <c r="AI33" s="235">
        <v>0.0</v>
      </c>
      <c r="AJ33" s="235">
        <v>0.0</v>
      </c>
      <c r="AK33" s="235">
        <v>0.0</v>
      </c>
      <c r="AL33" s="235">
        <v>0.0</v>
      </c>
      <c r="AM33" s="235">
        <v>3.0</v>
      </c>
      <c r="AN33" s="235">
        <v>0.0</v>
      </c>
      <c r="AO33" s="235">
        <v>0.0</v>
      </c>
      <c r="AP33" s="358">
        <f t="shared" si="2"/>
        <v>3</v>
      </c>
      <c r="AQ33" s="182">
        <f t="shared" si="3"/>
        <v>1</v>
      </c>
    </row>
    <row r="34">
      <c r="A34" s="157">
        <v>33.0</v>
      </c>
      <c r="B34" s="157" t="s">
        <v>168</v>
      </c>
      <c r="C34" s="265"/>
      <c r="D34" s="265"/>
      <c r="E34" s="354">
        <v>40243.0</v>
      </c>
      <c r="F34" s="157" t="s">
        <v>354</v>
      </c>
      <c r="G34" s="157" t="s">
        <v>354</v>
      </c>
      <c r="H34" s="157" t="s">
        <v>354</v>
      </c>
      <c r="I34" s="157" t="s">
        <v>354</v>
      </c>
      <c r="J34" s="157" t="s">
        <v>354</v>
      </c>
      <c r="K34" s="157" t="s">
        <v>354</v>
      </c>
      <c r="L34" s="157" t="s">
        <v>354</v>
      </c>
      <c r="M34" s="157" t="s">
        <v>354</v>
      </c>
      <c r="N34" s="157" t="s">
        <v>354</v>
      </c>
      <c r="O34" s="157" t="s">
        <v>354</v>
      </c>
      <c r="P34" s="140">
        <v>38.06</v>
      </c>
      <c r="Q34" s="157">
        <v>0.0</v>
      </c>
      <c r="R34" s="157" t="s">
        <v>354</v>
      </c>
      <c r="S34" s="157">
        <v>0.0</v>
      </c>
      <c r="T34" s="157">
        <v>0.0</v>
      </c>
      <c r="U34" s="157" t="s">
        <v>354</v>
      </c>
      <c r="V34" s="157" t="s">
        <v>354</v>
      </c>
      <c r="W34" s="364" t="s">
        <v>361</v>
      </c>
      <c r="X34" s="364" t="s">
        <v>361</v>
      </c>
      <c r="Y34" s="365" t="s">
        <v>365</v>
      </c>
      <c r="Z34" s="366" t="s">
        <v>387</v>
      </c>
      <c r="AA34" s="139" t="s">
        <v>356</v>
      </c>
      <c r="AB34" s="139" t="s">
        <v>354</v>
      </c>
      <c r="AC34" s="357">
        <f t="shared" si="1"/>
        <v>2</v>
      </c>
      <c r="AH34" s="235">
        <v>0.0</v>
      </c>
      <c r="AI34" s="235">
        <v>0.0</v>
      </c>
      <c r="AJ34" s="235">
        <v>0.0</v>
      </c>
      <c r="AK34" s="235">
        <v>0.0</v>
      </c>
      <c r="AL34" s="235">
        <v>0.0</v>
      </c>
      <c r="AM34" s="235">
        <v>0.0</v>
      </c>
      <c r="AN34" s="235">
        <v>0.0</v>
      </c>
      <c r="AO34" s="235">
        <v>1.0</v>
      </c>
      <c r="AP34" s="363">
        <f t="shared" si="2"/>
        <v>1</v>
      </c>
      <c r="AQ34" s="182">
        <f t="shared" si="3"/>
        <v>1</v>
      </c>
    </row>
    <row r="35">
      <c r="A35" s="157">
        <v>34.0</v>
      </c>
      <c r="B35" s="157" t="s">
        <v>174</v>
      </c>
      <c r="C35" s="265"/>
      <c r="D35" s="265"/>
      <c r="E35" s="354">
        <v>40243.0</v>
      </c>
      <c r="F35" s="157" t="s">
        <v>354</v>
      </c>
      <c r="G35" s="157" t="s">
        <v>354</v>
      </c>
      <c r="H35" s="157" t="s">
        <v>354</v>
      </c>
      <c r="I35" s="157" t="s">
        <v>354</v>
      </c>
      <c r="J35" s="157" t="s">
        <v>354</v>
      </c>
      <c r="K35" s="157" t="s">
        <v>354</v>
      </c>
      <c r="L35" s="157" t="s">
        <v>354</v>
      </c>
      <c r="M35" s="157" t="s">
        <v>354</v>
      </c>
      <c r="N35" s="157" t="s">
        <v>354</v>
      </c>
      <c r="O35" s="157" t="s">
        <v>354</v>
      </c>
      <c r="P35" s="157">
        <v>0.0</v>
      </c>
      <c r="Q35" s="157">
        <v>0.0</v>
      </c>
      <c r="R35" s="157" t="s">
        <v>354</v>
      </c>
      <c r="S35" s="157">
        <v>0.0</v>
      </c>
      <c r="T35" s="157">
        <v>0.0</v>
      </c>
      <c r="U35" s="157" t="s">
        <v>354</v>
      </c>
      <c r="V35" s="157" t="s">
        <v>354</v>
      </c>
      <c r="W35" s="355" t="s">
        <v>365</v>
      </c>
      <c r="X35" s="40" t="s">
        <v>357</v>
      </c>
      <c r="Y35" s="356" t="s">
        <v>365</v>
      </c>
      <c r="Z35" s="40" t="s">
        <v>357</v>
      </c>
      <c r="AA35" s="144" t="s">
        <v>365</v>
      </c>
      <c r="AB35" s="40" t="s">
        <v>357</v>
      </c>
      <c r="AC35" s="357">
        <f t="shared" si="1"/>
        <v>3</v>
      </c>
      <c r="AH35" s="235">
        <v>0.0</v>
      </c>
      <c r="AI35" s="235">
        <v>0.0</v>
      </c>
      <c r="AJ35" s="235">
        <v>0.0</v>
      </c>
      <c r="AK35" s="235">
        <v>0.0</v>
      </c>
      <c r="AL35" s="235">
        <v>0.0</v>
      </c>
      <c r="AM35" s="235">
        <v>3.0</v>
      </c>
      <c r="AN35" s="235">
        <v>0.0</v>
      </c>
      <c r="AO35" s="235">
        <v>0.0</v>
      </c>
      <c r="AP35" s="358">
        <f t="shared" si="2"/>
        <v>3</v>
      </c>
      <c r="AQ35" s="182">
        <f t="shared" si="3"/>
        <v>1</v>
      </c>
    </row>
    <row r="36">
      <c r="A36" s="157">
        <v>35.0</v>
      </c>
      <c r="B36" s="157" t="s">
        <v>210</v>
      </c>
      <c r="C36" s="265"/>
      <c r="D36" s="265"/>
      <c r="E36" s="354">
        <v>40243.0</v>
      </c>
      <c r="F36" s="157" t="s">
        <v>354</v>
      </c>
      <c r="G36" s="157" t="s">
        <v>354</v>
      </c>
      <c r="H36" s="157" t="s">
        <v>354</v>
      </c>
      <c r="I36" s="157" t="s">
        <v>354</v>
      </c>
      <c r="J36" s="157" t="s">
        <v>354</v>
      </c>
      <c r="K36" s="157" t="s">
        <v>354</v>
      </c>
      <c r="L36" s="157" t="s">
        <v>354</v>
      </c>
      <c r="M36" s="157" t="s">
        <v>354</v>
      </c>
      <c r="N36" s="157" t="s">
        <v>354</v>
      </c>
      <c r="O36" s="157" t="s">
        <v>354</v>
      </c>
      <c r="P36" s="157">
        <v>0.0</v>
      </c>
      <c r="Q36" s="157">
        <v>0.0</v>
      </c>
      <c r="R36" s="157" t="s">
        <v>354</v>
      </c>
      <c r="S36" s="157">
        <v>0.0</v>
      </c>
      <c r="T36" s="157">
        <v>0.0</v>
      </c>
      <c r="U36" s="157" t="s">
        <v>354</v>
      </c>
      <c r="V36" s="157" t="s">
        <v>354</v>
      </c>
      <c r="W36" s="359" t="s">
        <v>354</v>
      </c>
      <c r="X36" s="359" t="s">
        <v>354</v>
      </c>
      <c r="Y36" s="360" t="s">
        <v>354</v>
      </c>
      <c r="Z36" s="360" t="s">
        <v>354</v>
      </c>
      <c r="AA36" s="144" t="s">
        <v>365</v>
      </c>
      <c r="AB36" s="40" t="s">
        <v>357</v>
      </c>
      <c r="AC36" s="367">
        <f t="shared" si="1"/>
        <v>1</v>
      </c>
      <c r="AH36" s="235">
        <v>0.0</v>
      </c>
      <c r="AI36" s="235">
        <v>0.0</v>
      </c>
      <c r="AJ36" s="235">
        <v>0.0</v>
      </c>
      <c r="AK36" s="235">
        <v>0.0</v>
      </c>
      <c r="AL36" s="235">
        <v>0.0</v>
      </c>
      <c r="AM36" s="235">
        <v>1.0</v>
      </c>
      <c r="AN36" s="235">
        <v>0.0</v>
      </c>
      <c r="AO36" s="235">
        <v>0.0</v>
      </c>
      <c r="AP36" s="363">
        <f t="shared" si="2"/>
        <v>1</v>
      </c>
      <c r="AQ36" s="182">
        <f t="shared" si="3"/>
        <v>1</v>
      </c>
    </row>
    <row r="37">
      <c r="A37" s="157">
        <v>36.0</v>
      </c>
      <c r="B37" s="157" t="s">
        <v>213</v>
      </c>
      <c r="C37" s="265"/>
      <c r="D37" s="265"/>
      <c r="E37" s="354">
        <v>40243.0</v>
      </c>
      <c r="F37" s="157" t="s">
        <v>354</v>
      </c>
      <c r="G37" s="157" t="s">
        <v>354</v>
      </c>
      <c r="H37" s="157" t="s">
        <v>354</v>
      </c>
      <c r="I37" s="157" t="s">
        <v>354</v>
      </c>
      <c r="J37" s="157" t="s">
        <v>354</v>
      </c>
      <c r="K37" s="157" t="s">
        <v>354</v>
      </c>
      <c r="L37" s="157" t="s">
        <v>354</v>
      </c>
      <c r="M37" s="157" t="s">
        <v>354</v>
      </c>
      <c r="N37" s="157" t="s">
        <v>354</v>
      </c>
      <c r="O37" s="157" t="s">
        <v>354</v>
      </c>
      <c r="P37" s="157">
        <v>0.0</v>
      </c>
      <c r="Q37" s="157">
        <v>0.0</v>
      </c>
      <c r="R37" s="157" t="s">
        <v>354</v>
      </c>
      <c r="S37" s="157">
        <v>0.0</v>
      </c>
      <c r="T37" s="157">
        <v>0.0</v>
      </c>
      <c r="U37" s="157" t="s">
        <v>354</v>
      </c>
      <c r="V37" s="157" t="s">
        <v>354</v>
      </c>
      <c r="W37" s="359" t="s">
        <v>354</v>
      </c>
      <c r="X37" s="359" t="s">
        <v>354</v>
      </c>
      <c r="Y37" s="360" t="s">
        <v>354</v>
      </c>
      <c r="Z37" s="360" t="s">
        <v>354</v>
      </c>
      <c r="AA37" s="139" t="s">
        <v>356</v>
      </c>
      <c r="AB37" s="139" t="s">
        <v>354</v>
      </c>
      <c r="AC37" s="46">
        <f t="shared" si="1"/>
        <v>0</v>
      </c>
      <c r="AH37" s="235">
        <v>0.0</v>
      </c>
      <c r="AI37" s="235">
        <v>0.0</v>
      </c>
      <c r="AJ37" s="235">
        <v>0.0</v>
      </c>
      <c r="AK37" s="235">
        <v>0.0</v>
      </c>
      <c r="AL37" s="235">
        <v>0.0</v>
      </c>
      <c r="AM37" s="235">
        <v>0.0</v>
      </c>
      <c r="AN37" s="235">
        <v>0.0</v>
      </c>
      <c r="AO37" s="235">
        <v>0.0</v>
      </c>
      <c r="AP37" s="182">
        <f t="shared" si="2"/>
        <v>0</v>
      </c>
      <c r="AQ37" s="182">
        <f t="shared" si="3"/>
        <v>0</v>
      </c>
    </row>
    <row r="38">
      <c r="A38" s="157">
        <v>37.0</v>
      </c>
      <c r="B38" s="157" t="s">
        <v>225</v>
      </c>
      <c r="C38" s="265"/>
      <c r="D38" s="265"/>
      <c r="E38" s="354">
        <v>40243.0</v>
      </c>
      <c r="F38" s="157" t="s">
        <v>354</v>
      </c>
      <c r="G38" s="157" t="s">
        <v>354</v>
      </c>
      <c r="H38" s="157" t="s">
        <v>354</v>
      </c>
      <c r="I38" s="157" t="s">
        <v>354</v>
      </c>
      <c r="J38" s="157" t="s">
        <v>354</v>
      </c>
      <c r="K38" s="157" t="s">
        <v>354</v>
      </c>
      <c r="L38" s="157" t="s">
        <v>354</v>
      </c>
      <c r="M38" s="157" t="s">
        <v>354</v>
      </c>
      <c r="N38" s="157" t="s">
        <v>354</v>
      </c>
      <c r="O38" s="157" t="s">
        <v>354</v>
      </c>
      <c r="P38" s="140">
        <v>35.26</v>
      </c>
      <c r="Q38" s="157">
        <v>0.0</v>
      </c>
      <c r="R38" s="157" t="s">
        <v>354</v>
      </c>
      <c r="S38" s="157">
        <v>0.0</v>
      </c>
      <c r="T38" s="157">
        <v>0.0</v>
      </c>
      <c r="U38" s="157" t="s">
        <v>354</v>
      </c>
      <c r="V38" s="157" t="s">
        <v>354</v>
      </c>
      <c r="W38" s="355" t="s">
        <v>365</v>
      </c>
      <c r="X38" s="90" t="s">
        <v>413</v>
      </c>
      <c r="Y38" s="356" t="s">
        <v>365</v>
      </c>
      <c r="Z38" s="368" t="s">
        <v>1397</v>
      </c>
      <c r="AA38" s="144" t="s">
        <v>365</v>
      </c>
      <c r="AB38" s="40" t="s">
        <v>357</v>
      </c>
      <c r="AC38" s="357">
        <f t="shared" si="1"/>
        <v>4</v>
      </c>
      <c r="AH38" s="235">
        <v>0.0</v>
      </c>
      <c r="AI38" s="235">
        <v>0.0</v>
      </c>
      <c r="AJ38" s="235">
        <v>0.0</v>
      </c>
      <c r="AK38" s="235">
        <v>0.0</v>
      </c>
      <c r="AL38" s="235">
        <v>2.0</v>
      </c>
      <c r="AM38" s="235">
        <v>2.0</v>
      </c>
      <c r="AN38" s="235">
        <v>0.0</v>
      </c>
      <c r="AO38" s="235">
        <v>0.0</v>
      </c>
      <c r="AP38" s="358">
        <f t="shared" si="2"/>
        <v>4</v>
      </c>
      <c r="AQ38" s="182">
        <f t="shared" si="3"/>
        <v>2</v>
      </c>
    </row>
    <row r="39">
      <c r="A39" s="157">
        <v>38.0</v>
      </c>
      <c r="B39" s="157" t="s">
        <v>228</v>
      </c>
      <c r="C39" s="265"/>
      <c r="D39" s="265"/>
      <c r="E39" s="354">
        <v>40243.0</v>
      </c>
      <c r="F39" s="157" t="s">
        <v>354</v>
      </c>
      <c r="G39" s="157" t="s">
        <v>354</v>
      </c>
      <c r="H39" s="157" t="s">
        <v>354</v>
      </c>
      <c r="I39" s="157" t="s">
        <v>354</v>
      </c>
      <c r="J39" s="157" t="s">
        <v>354</v>
      </c>
      <c r="K39" s="157" t="s">
        <v>354</v>
      </c>
      <c r="L39" s="157" t="s">
        <v>354</v>
      </c>
      <c r="M39" s="157" t="s">
        <v>354</v>
      </c>
      <c r="N39" s="157" t="s">
        <v>354</v>
      </c>
      <c r="O39" s="157" t="s">
        <v>354</v>
      </c>
      <c r="P39" s="140">
        <v>33.3</v>
      </c>
      <c r="Q39" s="157">
        <v>0.0</v>
      </c>
      <c r="R39" s="157" t="s">
        <v>354</v>
      </c>
      <c r="S39" s="157">
        <v>0.0</v>
      </c>
      <c r="T39" s="140">
        <v>38.17</v>
      </c>
      <c r="U39" s="157" t="s">
        <v>356</v>
      </c>
      <c r="V39" s="157" t="s">
        <v>354</v>
      </c>
      <c r="W39" s="355" t="s">
        <v>365</v>
      </c>
      <c r="X39" s="315" t="s">
        <v>420</v>
      </c>
      <c r="Y39" s="356" t="s">
        <v>365</v>
      </c>
      <c r="Z39" s="315" t="s">
        <v>420</v>
      </c>
      <c r="AA39" s="144" t="s">
        <v>365</v>
      </c>
      <c r="AB39" s="315" t="s">
        <v>420</v>
      </c>
      <c r="AC39" s="357">
        <f t="shared" si="1"/>
        <v>4</v>
      </c>
      <c r="AH39" s="235">
        <v>0.0</v>
      </c>
      <c r="AI39" s="235">
        <v>3.0</v>
      </c>
      <c r="AJ39" s="235">
        <v>0.0</v>
      </c>
      <c r="AK39" s="235">
        <v>0.0</v>
      </c>
      <c r="AL39" s="235">
        <v>0.0</v>
      </c>
      <c r="AM39" s="235">
        <v>0.0</v>
      </c>
      <c r="AN39" s="235">
        <v>0.0</v>
      </c>
      <c r="AO39" s="235">
        <v>0.0</v>
      </c>
      <c r="AP39" s="358">
        <f t="shared" si="2"/>
        <v>3</v>
      </c>
      <c r="AQ39" s="182">
        <f t="shared" si="3"/>
        <v>1</v>
      </c>
    </row>
    <row r="40">
      <c r="A40" s="157">
        <v>39.0</v>
      </c>
      <c r="B40" s="157" t="s">
        <v>241</v>
      </c>
      <c r="C40" s="265"/>
      <c r="D40" s="265"/>
      <c r="E40" s="354">
        <v>40243.0</v>
      </c>
      <c r="F40" s="157" t="s">
        <v>354</v>
      </c>
      <c r="G40" s="157" t="s">
        <v>354</v>
      </c>
      <c r="H40" s="157" t="s">
        <v>354</v>
      </c>
      <c r="I40" s="157" t="s">
        <v>354</v>
      </c>
      <c r="J40" s="157" t="s">
        <v>354</v>
      </c>
      <c r="K40" s="157" t="s">
        <v>354</v>
      </c>
      <c r="L40" s="157" t="s">
        <v>354</v>
      </c>
      <c r="M40" s="157" t="s">
        <v>354</v>
      </c>
      <c r="N40" s="157" t="s">
        <v>354</v>
      </c>
      <c r="O40" s="157" t="s">
        <v>354</v>
      </c>
      <c r="P40" s="140">
        <v>34.72</v>
      </c>
      <c r="Q40" s="157">
        <v>0.0</v>
      </c>
      <c r="R40" s="157" t="s">
        <v>354</v>
      </c>
      <c r="S40" s="157">
        <v>0.0</v>
      </c>
      <c r="T40" s="157">
        <v>0.0</v>
      </c>
      <c r="U40" s="157" t="s">
        <v>354</v>
      </c>
      <c r="V40" s="157" t="s">
        <v>354</v>
      </c>
      <c r="W40" s="355" t="s">
        <v>365</v>
      </c>
      <c r="X40" s="90" t="s">
        <v>413</v>
      </c>
      <c r="Y40" s="356" t="s">
        <v>365</v>
      </c>
      <c r="Z40" s="90" t="s">
        <v>413</v>
      </c>
      <c r="AA40" s="144" t="s">
        <v>365</v>
      </c>
      <c r="AB40" s="90" t="s">
        <v>413</v>
      </c>
      <c r="AC40" s="357">
        <f t="shared" si="1"/>
        <v>4</v>
      </c>
      <c r="AH40" s="235">
        <v>0.0</v>
      </c>
      <c r="AI40" s="235">
        <v>0.0</v>
      </c>
      <c r="AJ40" s="235">
        <v>0.0</v>
      </c>
      <c r="AK40" s="235">
        <v>0.0</v>
      </c>
      <c r="AL40" s="235">
        <v>3.0</v>
      </c>
      <c r="AM40" s="235">
        <v>0.0</v>
      </c>
      <c r="AN40" s="235">
        <v>0.0</v>
      </c>
      <c r="AO40" s="235">
        <v>0.0</v>
      </c>
      <c r="AP40" s="358">
        <f t="shared" si="2"/>
        <v>3</v>
      </c>
      <c r="AQ40" s="182">
        <f t="shared" si="3"/>
        <v>1</v>
      </c>
    </row>
    <row r="41">
      <c r="A41" s="157">
        <v>40.0</v>
      </c>
      <c r="B41" s="157" t="s">
        <v>244</v>
      </c>
      <c r="C41" s="265"/>
      <c r="D41" s="265"/>
      <c r="E41" s="354">
        <v>40243.0</v>
      </c>
      <c r="F41" s="157" t="s">
        <v>354</v>
      </c>
      <c r="G41" s="157" t="s">
        <v>354</v>
      </c>
      <c r="H41" s="157" t="s">
        <v>354</v>
      </c>
      <c r="I41" s="157" t="s">
        <v>354</v>
      </c>
      <c r="J41" s="157" t="s">
        <v>354</v>
      </c>
      <c r="K41" s="157" t="s">
        <v>354</v>
      </c>
      <c r="L41" s="157" t="s">
        <v>354</v>
      </c>
      <c r="M41" s="157" t="s">
        <v>354</v>
      </c>
      <c r="N41" s="157" t="s">
        <v>354</v>
      </c>
      <c r="O41" s="157" t="s">
        <v>354</v>
      </c>
      <c r="P41" s="157">
        <v>0.0</v>
      </c>
      <c r="Q41" s="157">
        <v>0.0</v>
      </c>
      <c r="R41" s="157" t="s">
        <v>354</v>
      </c>
      <c r="S41" s="157">
        <v>0.0</v>
      </c>
      <c r="T41" s="157">
        <v>0.0</v>
      </c>
      <c r="U41" s="157" t="s">
        <v>354</v>
      </c>
      <c r="V41" s="157" t="s">
        <v>354</v>
      </c>
      <c r="W41" s="359" t="s">
        <v>354</v>
      </c>
      <c r="X41" s="359" t="s">
        <v>354</v>
      </c>
      <c r="Y41" s="361" t="s">
        <v>1382</v>
      </c>
      <c r="Z41" s="362" t="s">
        <v>1383</v>
      </c>
      <c r="AA41" s="139" t="s">
        <v>356</v>
      </c>
      <c r="AB41" s="139" t="s">
        <v>354</v>
      </c>
      <c r="AC41" s="46">
        <f t="shared" si="1"/>
        <v>0</v>
      </c>
      <c r="AH41" s="235">
        <v>0.0</v>
      </c>
      <c r="AI41" s="235">
        <v>0.0</v>
      </c>
      <c r="AJ41" s="235">
        <v>0.0</v>
      </c>
      <c r="AK41" s="235">
        <v>0.0</v>
      </c>
      <c r="AL41" s="235">
        <v>0.0</v>
      </c>
      <c r="AM41" s="235">
        <v>0.0</v>
      </c>
      <c r="AN41" s="235">
        <v>0.0</v>
      </c>
      <c r="AO41" s="235">
        <v>0.0</v>
      </c>
      <c r="AP41" s="182">
        <f t="shared" si="2"/>
        <v>0</v>
      </c>
      <c r="AQ41" s="182">
        <f t="shared" si="3"/>
        <v>0</v>
      </c>
    </row>
    <row r="42">
      <c r="A42" s="157">
        <v>41.0</v>
      </c>
      <c r="B42" s="157" t="s">
        <v>247</v>
      </c>
      <c r="C42" s="265"/>
      <c r="D42" s="265"/>
      <c r="E42" s="354">
        <v>40243.0</v>
      </c>
      <c r="F42" s="157" t="s">
        <v>354</v>
      </c>
      <c r="G42" s="157" t="s">
        <v>354</v>
      </c>
      <c r="H42" s="157" t="s">
        <v>354</v>
      </c>
      <c r="I42" s="157" t="s">
        <v>354</v>
      </c>
      <c r="J42" s="157" t="s">
        <v>354</v>
      </c>
      <c r="K42" s="157" t="s">
        <v>354</v>
      </c>
      <c r="L42" s="157" t="s">
        <v>354</v>
      </c>
      <c r="M42" s="157" t="s">
        <v>354</v>
      </c>
      <c r="N42" s="157" t="s">
        <v>354</v>
      </c>
      <c r="O42" s="157" t="s">
        <v>354</v>
      </c>
      <c r="P42" s="140">
        <v>33.79</v>
      </c>
      <c r="Q42" s="157">
        <v>0.0</v>
      </c>
      <c r="R42" s="157" t="s">
        <v>354</v>
      </c>
      <c r="S42" s="157">
        <v>0.0</v>
      </c>
      <c r="T42" s="157">
        <v>0.0</v>
      </c>
      <c r="U42" s="157" t="s">
        <v>354</v>
      </c>
      <c r="V42" s="157" t="s">
        <v>354</v>
      </c>
      <c r="W42" s="355" t="s">
        <v>365</v>
      </c>
      <c r="X42" s="90" t="s">
        <v>413</v>
      </c>
      <c r="Y42" s="356" t="s">
        <v>365</v>
      </c>
      <c r="Z42" s="90" t="s">
        <v>413</v>
      </c>
      <c r="AA42" s="144" t="s">
        <v>365</v>
      </c>
      <c r="AB42" s="90" t="s">
        <v>413</v>
      </c>
      <c r="AC42" s="357">
        <f t="shared" si="1"/>
        <v>4</v>
      </c>
      <c r="AH42" s="235">
        <v>0.0</v>
      </c>
      <c r="AI42" s="235">
        <v>0.0</v>
      </c>
      <c r="AJ42" s="235">
        <v>0.0</v>
      </c>
      <c r="AK42" s="235">
        <v>0.0</v>
      </c>
      <c r="AL42" s="235">
        <v>3.0</v>
      </c>
      <c r="AM42" s="235">
        <v>0.0</v>
      </c>
      <c r="AN42" s="235">
        <v>0.0</v>
      </c>
      <c r="AO42" s="235">
        <v>0.0</v>
      </c>
      <c r="AP42" s="358">
        <f t="shared" si="2"/>
        <v>3</v>
      </c>
      <c r="AQ42" s="182">
        <f t="shared" si="3"/>
        <v>1</v>
      </c>
    </row>
    <row r="43">
      <c r="A43" s="157">
        <v>42.0</v>
      </c>
      <c r="B43" s="157" t="s">
        <v>265</v>
      </c>
      <c r="C43" s="265"/>
      <c r="D43" s="265"/>
      <c r="E43" s="354">
        <v>40243.0</v>
      </c>
      <c r="F43" s="157" t="s">
        <v>354</v>
      </c>
      <c r="G43" s="157" t="s">
        <v>354</v>
      </c>
      <c r="H43" s="157" t="s">
        <v>354</v>
      </c>
      <c r="I43" s="157" t="s">
        <v>354</v>
      </c>
      <c r="J43" s="157" t="s">
        <v>354</v>
      </c>
      <c r="K43" s="157" t="s">
        <v>354</v>
      </c>
      <c r="L43" s="157" t="s">
        <v>354</v>
      </c>
      <c r="M43" s="157" t="s">
        <v>354</v>
      </c>
      <c r="N43" s="157" t="s">
        <v>354</v>
      </c>
      <c r="O43" s="157" t="s">
        <v>354</v>
      </c>
      <c r="P43" s="140">
        <v>32.69</v>
      </c>
      <c r="Q43" s="157">
        <v>0.0</v>
      </c>
      <c r="R43" s="157" t="s">
        <v>354</v>
      </c>
      <c r="S43" s="157">
        <v>0.0</v>
      </c>
      <c r="T43" s="157">
        <v>0.0</v>
      </c>
      <c r="U43" s="157" t="s">
        <v>354</v>
      </c>
      <c r="V43" s="157" t="s">
        <v>354</v>
      </c>
      <c r="W43" s="355" t="s">
        <v>365</v>
      </c>
      <c r="X43" s="40" t="s">
        <v>357</v>
      </c>
      <c r="Y43" s="356" t="s">
        <v>365</v>
      </c>
      <c r="Z43" s="40" t="s">
        <v>357</v>
      </c>
      <c r="AA43" s="144" t="s">
        <v>365</v>
      </c>
      <c r="AB43" s="40" t="s">
        <v>357</v>
      </c>
      <c r="AC43" s="357">
        <f t="shared" si="1"/>
        <v>4</v>
      </c>
      <c r="AH43" s="235">
        <v>0.0</v>
      </c>
      <c r="AI43" s="235">
        <v>0.0</v>
      </c>
      <c r="AJ43" s="235">
        <v>0.0</v>
      </c>
      <c r="AK43" s="235">
        <v>0.0</v>
      </c>
      <c r="AL43" s="235">
        <v>0.0</v>
      </c>
      <c r="AM43" s="235">
        <v>3.0</v>
      </c>
      <c r="AN43" s="235">
        <v>0.0</v>
      </c>
      <c r="AO43" s="235">
        <v>0.0</v>
      </c>
      <c r="AP43" s="358">
        <f t="shared" si="2"/>
        <v>3</v>
      </c>
      <c r="AQ43" s="182">
        <f t="shared" si="3"/>
        <v>1</v>
      </c>
    </row>
    <row r="44">
      <c r="A44" s="157">
        <v>43.0</v>
      </c>
      <c r="B44" s="157" t="s">
        <v>268</v>
      </c>
      <c r="C44" s="265"/>
      <c r="D44" s="265"/>
      <c r="E44" s="354">
        <v>40243.0</v>
      </c>
      <c r="F44" s="157" t="s">
        <v>354</v>
      </c>
      <c r="G44" s="157" t="s">
        <v>354</v>
      </c>
      <c r="H44" s="157" t="s">
        <v>354</v>
      </c>
      <c r="I44" s="157" t="s">
        <v>354</v>
      </c>
      <c r="J44" s="157" t="s">
        <v>354</v>
      </c>
      <c r="K44" s="157" t="s">
        <v>354</v>
      </c>
      <c r="L44" s="157" t="s">
        <v>354</v>
      </c>
      <c r="M44" s="157" t="s">
        <v>354</v>
      </c>
      <c r="N44" s="157" t="s">
        <v>354</v>
      </c>
      <c r="O44" s="157" t="s">
        <v>354</v>
      </c>
      <c r="P44" s="157">
        <v>0.0</v>
      </c>
      <c r="Q44" s="140">
        <v>39.54</v>
      </c>
      <c r="R44" s="157" t="s">
        <v>354</v>
      </c>
      <c r="S44" s="157">
        <v>0.0</v>
      </c>
      <c r="T44" s="157">
        <v>0.0</v>
      </c>
      <c r="U44" s="157" t="s">
        <v>354</v>
      </c>
      <c r="V44" s="157" t="s">
        <v>354</v>
      </c>
      <c r="W44" s="359" t="s">
        <v>354</v>
      </c>
      <c r="X44" s="359" t="s">
        <v>354</v>
      </c>
      <c r="Y44" s="360" t="s">
        <v>354</v>
      </c>
      <c r="Z44" s="360" t="s">
        <v>354</v>
      </c>
      <c r="AA44" s="139" t="s">
        <v>356</v>
      </c>
      <c r="AB44" s="139" t="s">
        <v>354</v>
      </c>
      <c r="AC44" s="46">
        <f t="shared" si="1"/>
        <v>0</v>
      </c>
      <c r="AH44" s="235">
        <v>0.0</v>
      </c>
      <c r="AI44" s="235">
        <v>0.0</v>
      </c>
      <c r="AJ44" s="235">
        <v>0.0</v>
      </c>
      <c r="AK44" s="235">
        <v>0.0</v>
      </c>
      <c r="AL44" s="235">
        <v>0.0</v>
      </c>
      <c r="AM44" s="235">
        <v>0.0</v>
      </c>
      <c r="AN44" s="235">
        <v>0.0</v>
      </c>
      <c r="AO44" s="235">
        <v>0.0</v>
      </c>
      <c r="AP44" s="182">
        <f t="shared" si="2"/>
        <v>0</v>
      </c>
      <c r="AQ44" s="182">
        <f t="shared" si="3"/>
        <v>0</v>
      </c>
    </row>
    <row r="45">
      <c r="A45" s="157">
        <v>44.0</v>
      </c>
      <c r="B45" s="157" t="s">
        <v>278</v>
      </c>
      <c r="C45" s="265"/>
      <c r="D45" s="265"/>
      <c r="E45" s="354">
        <v>40243.0</v>
      </c>
      <c r="F45" s="157" t="s">
        <v>354</v>
      </c>
      <c r="G45" s="157" t="s">
        <v>354</v>
      </c>
      <c r="H45" s="157" t="s">
        <v>354</v>
      </c>
      <c r="I45" s="157" t="s">
        <v>354</v>
      </c>
      <c r="J45" s="157" t="s">
        <v>354</v>
      </c>
      <c r="K45" s="157" t="s">
        <v>354</v>
      </c>
      <c r="L45" s="157" t="s">
        <v>354</v>
      </c>
      <c r="M45" s="157" t="s">
        <v>354</v>
      </c>
      <c r="N45" s="157" t="s">
        <v>354</v>
      </c>
      <c r="O45" s="157" t="s">
        <v>354</v>
      </c>
      <c r="P45" s="140">
        <v>32.49</v>
      </c>
      <c r="Q45" s="157">
        <v>0.0</v>
      </c>
      <c r="R45" s="157" t="s">
        <v>354</v>
      </c>
      <c r="S45" s="157">
        <v>0.0</v>
      </c>
      <c r="T45" s="157">
        <v>0.0</v>
      </c>
      <c r="U45" s="157" t="s">
        <v>354</v>
      </c>
      <c r="V45" s="157" t="s">
        <v>354</v>
      </c>
      <c r="W45" s="355" t="s">
        <v>365</v>
      </c>
      <c r="X45" s="40" t="s">
        <v>357</v>
      </c>
      <c r="Y45" s="356" t="s">
        <v>365</v>
      </c>
      <c r="Z45" s="40" t="s">
        <v>357</v>
      </c>
      <c r="AA45" s="144" t="s">
        <v>365</v>
      </c>
      <c r="AB45" s="40" t="s">
        <v>357</v>
      </c>
      <c r="AC45" s="357">
        <f t="shared" si="1"/>
        <v>4</v>
      </c>
      <c r="AH45" s="235">
        <v>0.0</v>
      </c>
      <c r="AI45" s="235">
        <v>0.0</v>
      </c>
      <c r="AJ45" s="235">
        <v>0.0</v>
      </c>
      <c r="AK45" s="235">
        <v>0.0</v>
      </c>
      <c r="AL45" s="235">
        <v>0.0</v>
      </c>
      <c r="AM45" s="235">
        <v>3.0</v>
      </c>
      <c r="AN45" s="235">
        <v>0.0</v>
      </c>
      <c r="AO45" s="235">
        <v>0.0</v>
      </c>
      <c r="AP45" s="358">
        <f t="shared" si="2"/>
        <v>3</v>
      </c>
      <c r="AQ45" s="182">
        <f t="shared" si="3"/>
        <v>1</v>
      </c>
    </row>
    <row r="46">
      <c r="A46" s="157">
        <v>45.0</v>
      </c>
      <c r="B46" s="157" t="s">
        <v>282</v>
      </c>
      <c r="C46" s="265"/>
      <c r="D46" s="265"/>
      <c r="E46" s="354">
        <v>40243.0</v>
      </c>
      <c r="F46" s="157" t="s">
        <v>354</v>
      </c>
      <c r="G46" s="157" t="s">
        <v>354</v>
      </c>
      <c r="H46" s="157" t="s">
        <v>354</v>
      </c>
      <c r="I46" s="157" t="s">
        <v>354</v>
      </c>
      <c r="J46" s="157" t="s">
        <v>354</v>
      </c>
      <c r="K46" s="157" t="s">
        <v>354</v>
      </c>
      <c r="L46" s="157" t="s">
        <v>354</v>
      </c>
      <c r="M46" s="157" t="s">
        <v>354</v>
      </c>
      <c r="N46" s="157" t="s">
        <v>354</v>
      </c>
      <c r="O46" s="157" t="s">
        <v>354</v>
      </c>
      <c r="P46" s="140">
        <v>30.44</v>
      </c>
      <c r="Q46" s="157">
        <v>0.0</v>
      </c>
      <c r="R46" s="157" t="s">
        <v>354</v>
      </c>
      <c r="S46" s="157">
        <v>0.0</v>
      </c>
      <c r="T46" s="157">
        <v>0.0</v>
      </c>
      <c r="U46" s="157" t="s">
        <v>354</v>
      </c>
      <c r="V46" s="157" t="s">
        <v>354</v>
      </c>
      <c r="W46" s="355" t="s">
        <v>365</v>
      </c>
      <c r="X46" s="90" t="s">
        <v>413</v>
      </c>
      <c r="Y46" s="356" t="s">
        <v>365</v>
      </c>
      <c r="Z46" s="90" t="s">
        <v>413</v>
      </c>
      <c r="AA46" s="144" t="s">
        <v>365</v>
      </c>
      <c r="AB46" s="90" t="s">
        <v>413</v>
      </c>
      <c r="AC46" s="357">
        <f t="shared" si="1"/>
        <v>4</v>
      </c>
      <c r="AH46" s="235">
        <v>0.0</v>
      </c>
      <c r="AI46" s="235">
        <v>0.0</v>
      </c>
      <c r="AJ46" s="235">
        <v>0.0</v>
      </c>
      <c r="AK46" s="235">
        <v>0.0</v>
      </c>
      <c r="AL46" s="235">
        <v>3.0</v>
      </c>
      <c r="AM46" s="235">
        <v>0.0</v>
      </c>
      <c r="AN46" s="235">
        <v>0.0</v>
      </c>
      <c r="AO46" s="235">
        <v>0.0</v>
      </c>
      <c r="AP46" s="358">
        <f t="shared" si="2"/>
        <v>3</v>
      </c>
      <c r="AQ46" s="182">
        <f t="shared" si="3"/>
        <v>1</v>
      </c>
    </row>
    <row r="47">
      <c r="A47" s="157">
        <v>46.0</v>
      </c>
      <c r="B47" s="157" t="s">
        <v>287</v>
      </c>
      <c r="C47" s="265"/>
      <c r="D47" s="265"/>
      <c r="E47" s="354">
        <v>40243.0</v>
      </c>
      <c r="F47" s="157" t="s">
        <v>354</v>
      </c>
      <c r="G47" s="157" t="s">
        <v>354</v>
      </c>
      <c r="H47" s="157" t="s">
        <v>354</v>
      </c>
      <c r="I47" s="157" t="s">
        <v>354</v>
      </c>
      <c r="J47" s="157" t="s">
        <v>354</v>
      </c>
      <c r="K47" s="157" t="s">
        <v>354</v>
      </c>
      <c r="L47" s="157" t="s">
        <v>354</v>
      </c>
      <c r="M47" s="157" t="s">
        <v>354</v>
      </c>
      <c r="N47" s="157" t="s">
        <v>354</v>
      </c>
      <c r="O47" s="157" t="s">
        <v>354</v>
      </c>
      <c r="P47" s="140">
        <v>34.77</v>
      </c>
      <c r="Q47" s="157">
        <v>0.0</v>
      </c>
      <c r="R47" s="157" t="s">
        <v>354</v>
      </c>
      <c r="S47" s="157">
        <v>0.0</v>
      </c>
      <c r="T47" s="157">
        <v>0.0</v>
      </c>
      <c r="U47" s="157" t="s">
        <v>354</v>
      </c>
      <c r="V47" s="157" t="s">
        <v>354</v>
      </c>
      <c r="W47" s="355" t="s">
        <v>365</v>
      </c>
      <c r="X47" s="40" t="s">
        <v>357</v>
      </c>
      <c r="Y47" s="356" t="s">
        <v>365</v>
      </c>
      <c r="Z47" s="40" t="s">
        <v>357</v>
      </c>
      <c r="AA47" s="144" t="s">
        <v>365</v>
      </c>
      <c r="AB47" s="40" t="s">
        <v>357</v>
      </c>
      <c r="AC47" s="357">
        <f t="shared" si="1"/>
        <v>4</v>
      </c>
      <c r="AH47" s="235">
        <v>0.0</v>
      </c>
      <c r="AI47" s="235">
        <v>0.0</v>
      </c>
      <c r="AJ47" s="235">
        <v>0.0</v>
      </c>
      <c r="AK47" s="235">
        <v>0.0</v>
      </c>
      <c r="AL47" s="235">
        <v>0.0</v>
      </c>
      <c r="AM47" s="235">
        <v>3.0</v>
      </c>
      <c r="AN47" s="235">
        <v>0.0</v>
      </c>
      <c r="AO47" s="235">
        <v>0.0</v>
      </c>
      <c r="AP47" s="358">
        <f t="shared" si="2"/>
        <v>3</v>
      </c>
      <c r="AQ47" s="182">
        <f t="shared" si="3"/>
        <v>1</v>
      </c>
    </row>
    <row r="48">
      <c r="A48" s="157">
        <v>47.0</v>
      </c>
      <c r="B48" s="157" t="s">
        <v>1398</v>
      </c>
      <c r="C48" s="265"/>
      <c r="D48" s="265"/>
      <c r="E48" s="157" t="s">
        <v>354</v>
      </c>
      <c r="F48" s="157" t="s">
        <v>354</v>
      </c>
      <c r="G48" s="157" t="s">
        <v>354</v>
      </c>
      <c r="H48" s="157" t="s">
        <v>354</v>
      </c>
      <c r="I48" s="157" t="s">
        <v>354</v>
      </c>
      <c r="J48" s="157" t="s">
        <v>354</v>
      </c>
      <c r="K48" s="157" t="s">
        <v>354</v>
      </c>
      <c r="L48" s="157" t="s">
        <v>354</v>
      </c>
      <c r="M48" s="157" t="s">
        <v>354</v>
      </c>
      <c r="N48" s="157" t="s">
        <v>354</v>
      </c>
      <c r="O48" s="157" t="s">
        <v>354</v>
      </c>
      <c r="P48" s="157">
        <v>0.0</v>
      </c>
      <c r="Q48" s="157">
        <v>0.0</v>
      </c>
      <c r="R48" s="157" t="s">
        <v>354</v>
      </c>
      <c r="S48" s="157">
        <v>0.0</v>
      </c>
      <c r="T48" s="157">
        <v>0.0</v>
      </c>
      <c r="U48" s="157" t="s">
        <v>354</v>
      </c>
      <c r="V48" s="157" t="s">
        <v>354</v>
      </c>
      <c r="W48" s="359" t="s">
        <v>354</v>
      </c>
      <c r="X48" s="359" t="s">
        <v>354</v>
      </c>
      <c r="Y48" s="360" t="s">
        <v>354</v>
      </c>
      <c r="Z48" s="360" t="s">
        <v>354</v>
      </c>
      <c r="AA48" s="139" t="s">
        <v>356</v>
      </c>
      <c r="AB48" s="139" t="s">
        <v>354</v>
      </c>
      <c r="AC48" s="46">
        <f t="shared" si="1"/>
        <v>0</v>
      </c>
      <c r="AH48" s="235">
        <v>0.0</v>
      </c>
      <c r="AI48" s="235">
        <v>0.0</v>
      </c>
      <c r="AJ48" s="235">
        <v>0.0</v>
      </c>
      <c r="AK48" s="235">
        <v>0.0</v>
      </c>
      <c r="AL48" s="235">
        <v>0.0</v>
      </c>
      <c r="AM48" s="235">
        <v>0.0</v>
      </c>
      <c r="AN48" s="235">
        <v>0.0</v>
      </c>
      <c r="AO48" s="235">
        <v>0.0</v>
      </c>
      <c r="AP48" s="182">
        <f t="shared" si="2"/>
        <v>0</v>
      </c>
      <c r="AQ48" s="182">
        <f t="shared" si="3"/>
        <v>0</v>
      </c>
    </row>
    <row r="49">
      <c r="A49" s="157" t="s">
        <v>356</v>
      </c>
      <c r="B49" s="157" t="s">
        <v>354</v>
      </c>
      <c r="C49" s="265"/>
      <c r="D49" s="265"/>
      <c r="E49" s="157" t="s">
        <v>354</v>
      </c>
      <c r="F49" s="157" t="s">
        <v>354</v>
      </c>
      <c r="G49" s="157" t="s">
        <v>354</v>
      </c>
      <c r="H49" s="157" t="s">
        <v>354</v>
      </c>
      <c r="I49" s="157" t="s">
        <v>354</v>
      </c>
      <c r="J49" s="157" t="s">
        <v>354</v>
      </c>
      <c r="K49" s="157" t="s">
        <v>354</v>
      </c>
      <c r="L49" s="157" t="s">
        <v>354</v>
      </c>
      <c r="M49" s="157" t="s">
        <v>354</v>
      </c>
      <c r="N49" s="157" t="s">
        <v>354</v>
      </c>
      <c r="O49" s="157" t="s">
        <v>354</v>
      </c>
      <c r="P49" s="157">
        <v>0.0</v>
      </c>
      <c r="Q49" s="157">
        <v>0.0</v>
      </c>
      <c r="R49" s="157" t="s">
        <v>354</v>
      </c>
      <c r="S49" s="157">
        <v>0.0</v>
      </c>
      <c r="T49" s="157">
        <v>0.0</v>
      </c>
      <c r="U49" s="157" t="s">
        <v>354</v>
      </c>
      <c r="V49" s="157" t="s">
        <v>354</v>
      </c>
      <c r="W49" s="359" t="s">
        <v>354</v>
      </c>
      <c r="X49" s="359" t="s">
        <v>354</v>
      </c>
      <c r="Y49" s="360" t="s">
        <v>354</v>
      </c>
      <c r="Z49" s="360" t="s">
        <v>354</v>
      </c>
      <c r="AA49" s="139" t="s">
        <v>356</v>
      </c>
      <c r="AB49" s="139" t="s">
        <v>354</v>
      </c>
      <c r="AC49" s="46">
        <f t="shared" si="1"/>
        <v>0</v>
      </c>
    </row>
    <row r="50">
      <c r="A50" s="157" t="s">
        <v>365</v>
      </c>
      <c r="B50" s="157" t="s">
        <v>354</v>
      </c>
      <c r="C50" s="265"/>
      <c r="D50" s="265"/>
      <c r="E50" s="157" t="s">
        <v>354</v>
      </c>
      <c r="F50" s="157" t="s">
        <v>354</v>
      </c>
      <c r="G50" s="157" t="s">
        <v>354</v>
      </c>
      <c r="H50" s="157" t="s">
        <v>354</v>
      </c>
      <c r="I50" s="157" t="s">
        <v>354</v>
      </c>
      <c r="J50" s="157" t="s">
        <v>354</v>
      </c>
      <c r="K50" s="157" t="s">
        <v>354</v>
      </c>
      <c r="L50" s="157" t="s">
        <v>354</v>
      </c>
      <c r="M50" s="157" t="s">
        <v>354</v>
      </c>
      <c r="N50" s="157" t="s">
        <v>354</v>
      </c>
      <c r="O50" s="157" t="s">
        <v>354</v>
      </c>
      <c r="P50" s="140">
        <v>17.15</v>
      </c>
      <c r="Q50" s="140">
        <v>26.34</v>
      </c>
      <c r="R50" s="157" t="s">
        <v>354</v>
      </c>
      <c r="S50" s="140">
        <v>19.2</v>
      </c>
      <c r="T50" s="140">
        <v>32.8</v>
      </c>
      <c r="U50" s="140" t="s">
        <v>365</v>
      </c>
      <c r="V50" s="157" t="s">
        <v>1399</v>
      </c>
      <c r="W50" s="355" t="s">
        <v>365</v>
      </c>
      <c r="X50" s="359" t="s">
        <v>1400</v>
      </c>
      <c r="Y50" s="356" t="s">
        <v>365</v>
      </c>
      <c r="Z50" s="368" t="s">
        <v>1400</v>
      </c>
      <c r="AA50" s="144" t="s">
        <v>365</v>
      </c>
      <c r="AB50" s="139" t="s">
        <v>1400</v>
      </c>
      <c r="AC50" s="46">
        <f t="shared" si="1"/>
        <v>4</v>
      </c>
    </row>
    <row r="51">
      <c r="A51" s="265"/>
      <c r="B51" s="265"/>
      <c r="C51" s="265"/>
      <c r="D51" s="265"/>
      <c r="E51" s="369"/>
      <c r="F51" s="265"/>
      <c r="G51" s="265"/>
      <c r="H51" s="265"/>
      <c r="I51" s="265"/>
      <c r="J51" s="265"/>
      <c r="K51" s="265"/>
      <c r="L51" s="265"/>
      <c r="M51" s="265"/>
      <c r="N51" s="265"/>
      <c r="O51" s="265"/>
      <c r="P51" s="265"/>
      <c r="Q51" s="265"/>
      <c r="R51" s="265"/>
      <c r="S51" s="265"/>
      <c r="T51" s="265"/>
      <c r="U51" s="265"/>
      <c r="V51" s="265"/>
      <c r="W51" s="265"/>
      <c r="X51" s="265"/>
      <c r="Y51" s="265"/>
      <c r="Z51" s="265"/>
      <c r="AA51" s="265"/>
      <c r="AB51" s="265"/>
      <c r="AC51" s="265"/>
      <c r="AD51" s="265"/>
      <c r="AE51" s="265"/>
      <c r="AF51" s="265"/>
      <c r="AG51" s="370">
        <v>40925.0</v>
      </c>
      <c r="AH51" s="265"/>
      <c r="AI51" s="265"/>
      <c r="AJ51" s="265"/>
      <c r="AK51" s="265"/>
      <c r="AL51" s="265"/>
      <c r="AM51" s="371">
        <v>42804.0</v>
      </c>
      <c r="AN51" s="265"/>
      <c r="AO51" s="265"/>
      <c r="AP51" s="265"/>
      <c r="AQ51" s="265"/>
    </row>
    <row r="52">
      <c r="A52" s="265"/>
      <c r="B52" s="265"/>
      <c r="C52" s="265"/>
      <c r="D52" s="265"/>
      <c r="E52" s="369"/>
      <c r="F52" s="265"/>
      <c r="G52" s="265"/>
      <c r="H52" s="265"/>
      <c r="I52" s="265"/>
      <c r="J52" s="265"/>
      <c r="K52" s="265"/>
      <c r="L52" s="265"/>
      <c r="M52" s="265"/>
      <c r="N52" s="265"/>
      <c r="O52" s="265"/>
      <c r="P52" s="46">
        <f>COUNTIF(P2:P47,"&gt;0")</f>
        <v>33</v>
      </c>
      <c r="R52" s="265"/>
      <c r="S52" s="265"/>
      <c r="T52" s="46">
        <f>COUNTIF(T2:T47,"&gt;0")</f>
        <v>3</v>
      </c>
      <c r="U52" s="46"/>
      <c r="V52" s="46"/>
      <c r="W52" s="46">
        <f>COUNTIF(W2:W47,"POS")</f>
        <v>29</v>
      </c>
      <c r="X52" s="46"/>
      <c r="Y52" s="46">
        <f>COUNTIF(Y2:Y47,"POS")</f>
        <v>31</v>
      </c>
      <c r="Z52" s="46"/>
      <c r="AA52" s="46">
        <f>COUNTIF(AA2:AA47,"POS")</f>
        <v>37</v>
      </c>
      <c r="AB52" s="46"/>
      <c r="AC52" s="372">
        <f>COUNTIF($AC$2:$AC$19,"&gt;0")</f>
        <v>14</v>
      </c>
      <c r="AD52" s="372">
        <f>COUNTIF($AC$2:$AC$19,"&gt;1")</f>
        <v>12</v>
      </c>
      <c r="AE52" s="372">
        <f>COUNTIF($AC$2:$AC$19,"&gt;2")</f>
        <v>11</v>
      </c>
      <c r="AF52" s="372">
        <f>COUNTIF($AC$2:$AC$19,"&gt;3")</f>
        <v>11</v>
      </c>
      <c r="AG52" s="373">
        <f>countif(AQ2:AQ19,"&gt;1")</f>
        <v>5</v>
      </c>
      <c r="AI52" s="372">
        <f>COUNTIF($AC$20:$AC$47,"&gt;0")</f>
        <v>24</v>
      </c>
      <c r="AJ52" s="372">
        <f>COUNTIF($AC$20:$AC$47,"&gt;1")</f>
        <v>23</v>
      </c>
      <c r="AK52" s="372">
        <f>COUNTIF($AC$20:$AC$47,"&gt;2")</f>
        <v>18</v>
      </c>
      <c r="AL52" s="372">
        <f>COUNTIF($AC$20:$AC$47,"&gt;3")</f>
        <v>17</v>
      </c>
      <c r="AM52" s="373">
        <f>countif(AQ20:AQ47,"&gt;1")</f>
        <v>2</v>
      </c>
      <c r="AN52" s="265"/>
      <c r="AO52" s="265"/>
      <c r="AP52" s="265"/>
      <c r="AQ52" s="265"/>
    </row>
    <row r="53">
      <c r="A53" s="265"/>
      <c r="B53" s="265"/>
      <c r="C53" s="265"/>
      <c r="D53" s="265"/>
      <c r="E53" s="369"/>
      <c r="F53" s="265"/>
      <c r="G53" s="265"/>
      <c r="H53" s="265"/>
      <c r="I53" s="265"/>
      <c r="J53" s="265"/>
      <c r="K53" s="265"/>
      <c r="L53" s="265"/>
      <c r="M53" s="265"/>
      <c r="N53" s="265"/>
      <c r="O53" s="265"/>
      <c r="P53" s="46">
        <f>COUNT($A$2:$A$47)</f>
        <v>46</v>
      </c>
      <c r="R53" s="265"/>
      <c r="S53" s="265"/>
      <c r="T53" s="46">
        <f>COUNT($A$2:$A$47)</f>
        <v>46</v>
      </c>
      <c r="U53" s="46"/>
      <c r="V53" s="46"/>
      <c r="W53" s="46">
        <f>COUNT($A$2:$A$47)</f>
        <v>46</v>
      </c>
      <c r="X53" s="46"/>
      <c r="Y53" s="46">
        <f>COUNT($A$2:$A$47)</f>
        <v>46</v>
      </c>
      <c r="Z53" s="46"/>
      <c r="AA53" s="46">
        <f>COUNT($A$2:$A$47)</f>
        <v>46</v>
      </c>
      <c r="AB53" s="46"/>
      <c r="AC53" s="372">
        <f t="shared" ref="AC53:AF53" si="4">COUNT($A$2:$A$19)</f>
        <v>18</v>
      </c>
      <c r="AD53" s="372">
        <f t="shared" si="4"/>
        <v>18</v>
      </c>
      <c r="AE53" s="372">
        <f t="shared" si="4"/>
        <v>18</v>
      </c>
      <c r="AF53" s="372">
        <f t="shared" si="4"/>
        <v>18</v>
      </c>
      <c r="AG53" s="373">
        <f>AC53</f>
        <v>18</v>
      </c>
      <c r="AI53" s="372">
        <f t="shared" ref="AI53:AL53" si="5">COUNT($A$20:$A$47)</f>
        <v>28</v>
      </c>
      <c r="AJ53" s="372">
        <f t="shared" si="5"/>
        <v>28</v>
      </c>
      <c r="AK53" s="372">
        <f t="shared" si="5"/>
        <v>28</v>
      </c>
      <c r="AL53" s="372">
        <f t="shared" si="5"/>
        <v>28</v>
      </c>
      <c r="AM53" s="373">
        <f>AI53</f>
        <v>28</v>
      </c>
      <c r="AN53" s="265"/>
      <c r="AO53" s="265"/>
      <c r="AP53" s="265"/>
      <c r="AQ53" s="265"/>
    </row>
    <row r="54">
      <c r="A54" s="265"/>
      <c r="B54" s="265"/>
      <c r="C54" s="265"/>
      <c r="D54" s="265"/>
      <c r="E54" s="369"/>
      <c r="F54" s="265"/>
      <c r="G54" s="265"/>
      <c r="H54" s="265"/>
      <c r="I54" s="265"/>
      <c r="J54" s="265"/>
      <c r="K54" s="265"/>
      <c r="L54" s="265"/>
      <c r="M54" s="265"/>
      <c r="N54" s="265"/>
      <c r="O54" s="265"/>
      <c r="P54" s="374">
        <f>P52/P53</f>
        <v>0.7173913043</v>
      </c>
      <c r="R54" s="265"/>
      <c r="S54" s="265"/>
      <c r="T54" s="374">
        <f>T52/T53</f>
        <v>0.0652173913</v>
      </c>
      <c r="U54" s="374"/>
      <c r="V54" s="374"/>
      <c r="W54" s="374">
        <f>W52/W53</f>
        <v>0.6304347826</v>
      </c>
      <c r="X54" s="46"/>
      <c r="Y54" s="374">
        <f>Y52/Y53</f>
        <v>0.6739130435</v>
      </c>
      <c r="Z54" s="46"/>
      <c r="AA54" s="374">
        <f>AA52/AA53</f>
        <v>0.8043478261</v>
      </c>
      <c r="AB54" s="46"/>
      <c r="AC54" s="375">
        <f t="shared" ref="AC54:AG54" si="6">AC52/AC53</f>
        <v>0.7777777778</v>
      </c>
      <c r="AD54" s="375">
        <f t="shared" si="6"/>
        <v>0.6666666667</v>
      </c>
      <c r="AE54" s="376">
        <f t="shared" si="6"/>
        <v>0.6111111111</v>
      </c>
      <c r="AF54" s="376">
        <f t="shared" si="6"/>
        <v>0.6111111111</v>
      </c>
      <c r="AG54" s="377">
        <f t="shared" si="6"/>
        <v>0.2777777778</v>
      </c>
      <c r="AI54" s="375">
        <f t="shared" ref="AI54:AM54" si="7">AI52/AI53</f>
        <v>0.8571428571</v>
      </c>
      <c r="AJ54" s="375">
        <f t="shared" si="7"/>
        <v>0.8214285714</v>
      </c>
      <c r="AK54" s="376">
        <f t="shared" si="7"/>
        <v>0.6428571429</v>
      </c>
      <c r="AL54" s="376">
        <f t="shared" si="7"/>
        <v>0.6071428571</v>
      </c>
      <c r="AM54" s="377">
        <f t="shared" si="7"/>
        <v>0.07142857143</v>
      </c>
      <c r="AN54" s="265"/>
      <c r="AO54" s="265"/>
      <c r="AP54" s="265"/>
      <c r="AQ54" s="265"/>
    </row>
    <row r="55">
      <c r="A55" s="265"/>
      <c r="B55" s="265"/>
      <c r="C55" s="265"/>
      <c r="D55" s="265"/>
      <c r="E55" s="369"/>
      <c r="F55" s="265"/>
      <c r="G55" s="265"/>
      <c r="H55" s="265"/>
      <c r="I55" s="265"/>
      <c r="J55" s="265"/>
      <c r="K55" s="265"/>
      <c r="L55" s="265"/>
      <c r="M55" s="265"/>
      <c r="N55" s="265"/>
      <c r="O55" s="265"/>
      <c r="P55" s="265"/>
      <c r="Q55" s="265"/>
      <c r="R55" s="265"/>
      <c r="S55" s="265"/>
      <c r="T55" s="265"/>
      <c r="U55" s="265"/>
      <c r="V55" s="265"/>
      <c r="W55" s="46"/>
      <c r="X55" s="46"/>
      <c r="Y55" s="46"/>
      <c r="Z55" s="46"/>
      <c r="AA55" s="46"/>
      <c r="AB55" s="46"/>
      <c r="AC55" s="372" t="s">
        <v>1401</v>
      </c>
      <c r="AD55" s="372" t="s">
        <v>1402</v>
      </c>
      <c r="AE55" s="372" t="s">
        <v>1403</v>
      </c>
      <c r="AF55" s="378" t="s">
        <v>1404</v>
      </c>
      <c r="AG55" s="373" t="s">
        <v>1376</v>
      </c>
      <c r="AI55" s="372" t="s">
        <v>1401</v>
      </c>
      <c r="AJ55" s="372" t="s">
        <v>1402</v>
      </c>
      <c r="AK55" s="372" t="s">
        <v>1403</v>
      </c>
      <c r="AL55" s="378" t="s">
        <v>1404</v>
      </c>
      <c r="AM55" s="373" t="s">
        <v>1376</v>
      </c>
      <c r="AN55" s="265"/>
      <c r="AO55" s="265"/>
      <c r="AP55" s="265"/>
      <c r="AQ55" s="265"/>
    </row>
    <row r="56">
      <c r="A56" s="265"/>
      <c r="B56" s="265"/>
      <c r="C56" s="265"/>
      <c r="D56" s="265"/>
      <c r="E56" s="369"/>
      <c r="F56" s="265"/>
      <c r="G56" s="265"/>
      <c r="H56" s="265"/>
      <c r="I56" s="265"/>
      <c r="J56" s="265"/>
      <c r="K56" s="265"/>
      <c r="L56" s="265"/>
      <c r="M56" s="265"/>
      <c r="N56" s="265"/>
      <c r="O56" s="265"/>
      <c r="P56" s="265"/>
      <c r="Q56" s="265"/>
      <c r="R56" s="265"/>
      <c r="S56" s="265"/>
      <c r="T56" s="265"/>
      <c r="U56" s="265"/>
      <c r="V56" s="265"/>
      <c r="W56" s="265"/>
      <c r="X56" s="265"/>
      <c r="Y56" s="265"/>
      <c r="Z56" s="265"/>
      <c r="AA56" s="265"/>
      <c r="AB56" s="265"/>
      <c r="AC56" s="265"/>
      <c r="AD56" s="265"/>
      <c r="AE56" s="265"/>
      <c r="AF56" s="265"/>
      <c r="AG56" s="265"/>
      <c r="AH56" s="265"/>
      <c r="AI56" s="265"/>
      <c r="AJ56" s="265"/>
      <c r="AK56" s="265"/>
      <c r="AL56" s="265"/>
      <c r="AM56" s="265"/>
      <c r="AN56" s="265"/>
      <c r="AO56" s="265"/>
      <c r="AP56" s="265"/>
      <c r="AQ56" s="265"/>
    </row>
    <row r="57">
      <c r="A57" s="265"/>
      <c r="B57" s="265"/>
      <c r="C57" s="265"/>
      <c r="D57" s="265"/>
      <c r="E57" s="369"/>
      <c r="F57" s="265"/>
      <c r="G57" s="265"/>
      <c r="H57" s="265"/>
      <c r="I57" s="265"/>
      <c r="J57" s="265"/>
      <c r="K57" s="265"/>
      <c r="L57" s="265"/>
      <c r="M57" s="265"/>
      <c r="N57" s="265"/>
      <c r="O57" s="265"/>
      <c r="P57" s="265"/>
      <c r="Q57" s="265"/>
      <c r="R57" s="265"/>
      <c r="S57" s="265"/>
      <c r="T57" s="265"/>
      <c r="U57" s="265"/>
      <c r="V57" s="265"/>
      <c r="W57" s="265"/>
      <c r="X57" s="265"/>
      <c r="Y57" s="265"/>
      <c r="Z57" s="265"/>
      <c r="AA57" s="265"/>
      <c r="AB57" s="265"/>
      <c r="AC57" s="265"/>
      <c r="AD57" s="265"/>
      <c r="AE57" s="265"/>
      <c r="AF57" s="370">
        <v>40925.0</v>
      </c>
      <c r="AG57" s="235" t="s">
        <v>1405</v>
      </c>
      <c r="AH57" s="182">
        <f t="shared" ref="AH57:AO57" si="8">sum(AH2:AH19)</f>
        <v>0</v>
      </c>
      <c r="AI57" s="182">
        <f t="shared" si="8"/>
        <v>1</v>
      </c>
      <c r="AJ57" s="182">
        <f t="shared" si="8"/>
        <v>5</v>
      </c>
      <c r="AK57" s="182">
        <f t="shared" si="8"/>
        <v>3</v>
      </c>
      <c r="AL57" s="182">
        <f t="shared" si="8"/>
        <v>13</v>
      </c>
      <c r="AM57" s="182">
        <f t="shared" si="8"/>
        <v>14</v>
      </c>
      <c r="AN57" s="182">
        <f t="shared" si="8"/>
        <v>0</v>
      </c>
      <c r="AO57" s="182">
        <f t="shared" si="8"/>
        <v>0</v>
      </c>
      <c r="AP57" s="182">
        <f>sum(AH57:AO57)</f>
        <v>36</v>
      </c>
    </row>
    <row r="58">
      <c r="A58" s="265"/>
      <c r="B58" s="265"/>
      <c r="C58" s="265"/>
      <c r="D58" s="265"/>
      <c r="E58" s="369"/>
      <c r="F58" s="265"/>
      <c r="G58" s="265"/>
      <c r="H58" s="265"/>
      <c r="I58" s="265"/>
      <c r="J58" s="265"/>
      <c r="K58" s="265"/>
      <c r="L58" s="265"/>
      <c r="M58" s="265"/>
      <c r="N58" s="265"/>
      <c r="O58" s="265"/>
      <c r="P58" s="265"/>
      <c r="Q58" s="265"/>
      <c r="R58" s="265"/>
      <c r="S58" s="265"/>
      <c r="T58" s="265"/>
      <c r="U58" s="265"/>
      <c r="V58" s="265"/>
      <c r="W58" s="265"/>
      <c r="X58" s="265"/>
      <c r="Y58" s="265"/>
      <c r="Z58" s="265"/>
      <c r="AA58" s="265"/>
      <c r="AB58" s="265"/>
      <c r="AC58" s="265"/>
      <c r="AD58" s="265"/>
      <c r="AE58" s="265"/>
      <c r="AF58" s="265"/>
      <c r="AG58" s="235" t="s">
        <v>1406</v>
      </c>
      <c r="AH58" s="379">
        <f t="shared" ref="AH58:AP58" si="9">AH57/$AP$57</f>
        <v>0</v>
      </c>
      <c r="AI58" s="379">
        <f t="shared" si="9"/>
        <v>0.02777777778</v>
      </c>
      <c r="AJ58" s="379">
        <f t="shared" si="9"/>
        <v>0.1388888889</v>
      </c>
      <c r="AK58" s="379">
        <f t="shared" si="9"/>
        <v>0.08333333333</v>
      </c>
      <c r="AL58" s="379">
        <f t="shared" si="9"/>
        <v>0.3611111111</v>
      </c>
      <c r="AM58" s="379">
        <f t="shared" si="9"/>
        <v>0.3888888889</v>
      </c>
      <c r="AN58" s="379">
        <f t="shared" si="9"/>
        <v>0</v>
      </c>
      <c r="AO58" s="379">
        <f t="shared" si="9"/>
        <v>0</v>
      </c>
      <c r="AP58" s="380">
        <f t="shared" si="9"/>
        <v>1</v>
      </c>
    </row>
    <row r="59">
      <c r="A59" s="265"/>
      <c r="B59" s="265"/>
      <c r="C59" s="265"/>
      <c r="D59" s="265"/>
      <c r="E59" s="369"/>
      <c r="F59" s="265"/>
      <c r="G59" s="265"/>
      <c r="H59" s="265"/>
      <c r="I59" s="265"/>
      <c r="J59" s="265"/>
      <c r="K59" s="265"/>
      <c r="L59" s="265"/>
      <c r="M59" s="265"/>
      <c r="N59" s="265"/>
      <c r="O59" s="265"/>
      <c r="P59" s="265"/>
      <c r="Q59" s="265"/>
      <c r="R59" s="265"/>
      <c r="S59" s="265"/>
      <c r="T59" s="265"/>
      <c r="U59" s="265"/>
      <c r="V59" s="265"/>
      <c r="W59" s="265"/>
      <c r="X59" s="265"/>
      <c r="Y59" s="265"/>
      <c r="Z59" s="265"/>
      <c r="AA59" s="265"/>
      <c r="AB59" s="265"/>
      <c r="AC59" s="265"/>
      <c r="AD59" s="265"/>
      <c r="AE59" s="265"/>
      <c r="AF59" s="265"/>
      <c r="AG59" s="157" t="s">
        <v>1375</v>
      </c>
      <c r="AH59" s="265">
        <f t="shared" ref="AH59:AO59" si="10">countif(AH2:AH20,"&gt;0")</f>
        <v>0</v>
      </c>
      <c r="AI59" s="265">
        <f t="shared" si="10"/>
        <v>1</v>
      </c>
      <c r="AJ59" s="265">
        <f t="shared" si="10"/>
        <v>5</v>
      </c>
      <c r="AK59" s="265">
        <f t="shared" si="10"/>
        <v>2</v>
      </c>
      <c r="AL59" s="265">
        <f t="shared" si="10"/>
        <v>6</v>
      </c>
      <c r="AM59" s="265">
        <f t="shared" si="10"/>
        <v>6</v>
      </c>
      <c r="AN59" s="265">
        <f t="shared" si="10"/>
        <v>0</v>
      </c>
      <c r="AO59" s="265">
        <f t="shared" si="10"/>
        <v>0</v>
      </c>
      <c r="AP59" s="265">
        <f t="shared" ref="AP59:AP60" si="12">sum(AH59:AO59)</f>
        <v>20</v>
      </c>
      <c r="AQ59" s="265"/>
    </row>
    <row r="60">
      <c r="A60" s="265"/>
      <c r="B60" s="265"/>
      <c r="C60" s="265"/>
      <c r="D60" s="265"/>
      <c r="E60" s="369"/>
      <c r="F60" s="265"/>
      <c r="G60" s="265"/>
      <c r="H60" s="265"/>
      <c r="I60" s="265"/>
      <c r="J60" s="265"/>
      <c r="K60" s="265"/>
      <c r="L60" s="265"/>
      <c r="M60" s="265"/>
      <c r="N60" s="265"/>
      <c r="O60" s="265"/>
      <c r="P60" s="265"/>
      <c r="Q60" s="265"/>
      <c r="R60" s="265"/>
      <c r="S60" s="265"/>
      <c r="T60" s="265"/>
      <c r="U60" s="265"/>
      <c r="V60" s="265"/>
      <c r="W60" s="265"/>
      <c r="X60" s="265"/>
      <c r="Y60" s="265"/>
      <c r="Z60" s="265"/>
      <c r="AA60" s="265"/>
      <c r="AB60" s="265"/>
      <c r="AC60" s="265"/>
      <c r="AD60" s="265"/>
      <c r="AE60" s="265"/>
      <c r="AF60" s="265">
        <f>correl(AH57:AO57,AH59:AO59)</f>
        <v>0.9348527049</v>
      </c>
      <c r="AG60" s="157" t="s">
        <v>1406</v>
      </c>
      <c r="AH60" s="300">
        <f t="shared" ref="AH60:AO60" si="11">AH59/$AP$59</f>
        <v>0</v>
      </c>
      <c r="AI60" s="300">
        <f t="shared" si="11"/>
        <v>0.05</v>
      </c>
      <c r="AJ60" s="300">
        <f t="shared" si="11"/>
        <v>0.25</v>
      </c>
      <c r="AK60" s="300">
        <f t="shared" si="11"/>
        <v>0.1</v>
      </c>
      <c r="AL60" s="300">
        <f t="shared" si="11"/>
        <v>0.3</v>
      </c>
      <c r="AM60" s="300">
        <f t="shared" si="11"/>
        <v>0.3</v>
      </c>
      <c r="AN60" s="300">
        <f t="shared" si="11"/>
        <v>0</v>
      </c>
      <c r="AO60" s="300">
        <f t="shared" si="11"/>
        <v>0</v>
      </c>
      <c r="AP60" s="381">
        <f t="shared" si="12"/>
        <v>1</v>
      </c>
      <c r="AQ60" s="265"/>
    </row>
    <row r="61">
      <c r="A61" s="265"/>
      <c r="B61" s="265"/>
      <c r="C61" s="265"/>
      <c r="D61" s="265"/>
      <c r="E61" s="369"/>
      <c r="F61" s="265"/>
      <c r="G61" s="265"/>
      <c r="H61" s="265"/>
      <c r="I61" s="265"/>
      <c r="J61" s="265"/>
      <c r="K61" s="265"/>
      <c r="L61" s="265"/>
      <c r="M61" s="265"/>
      <c r="N61" s="265"/>
      <c r="O61" s="265"/>
      <c r="P61" s="265"/>
      <c r="Q61" s="265"/>
      <c r="R61" s="265"/>
      <c r="S61" s="265"/>
      <c r="T61" s="265"/>
      <c r="U61" s="265"/>
      <c r="V61" s="265"/>
      <c r="W61" s="265"/>
      <c r="X61" s="265"/>
      <c r="Y61" s="265"/>
      <c r="Z61" s="265"/>
      <c r="AA61" s="265"/>
      <c r="AB61" s="265"/>
      <c r="AC61" s="265"/>
      <c r="AD61" s="265"/>
      <c r="AE61" s="265"/>
      <c r="AF61" s="265"/>
      <c r="AG61" s="265"/>
      <c r="AH61" s="265"/>
      <c r="AI61" s="265"/>
      <c r="AJ61" s="265"/>
      <c r="AK61" s="265"/>
      <c r="AL61" s="265"/>
      <c r="AM61" s="265"/>
      <c r="AN61" s="265"/>
      <c r="AO61" s="265"/>
      <c r="AP61" s="265"/>
      <c r="AQ61" s="265"/>
    </row>
    <row r="62">
      <c r="A62" s="265"/>
      <c r="B62" s="265"/>
      <c r="C62" s="265"/>
      <c r="D62" s="265"/>
      <c r="E62" s="369"/>
      <c r="F62" s="265"/>
      <c r="G62" s="265"/>
      <c r="H62" s="265"/>
      <c r="I62" s="265"/>
      <c r="J62" s="265"/>
      <c r="K62" s="265"/>
      <c r="L62" s="265"/>
      <c r="M62" s="265"/>
      <c r="N62" s="265"/>
      <c r="O62" s="265"/>
      <c r="P62" s="265"/>
      <c r="Q62" s="265"/>
      <c r="R62" s="265"/>
      <c r="S62" s="265"/>
      <c r="T62" s="265"/>
      <c r="U62" s="265"/>
      <c r="V62" s="265"/>
      <c r="W62" s="265"/>
      <c r="X62" s="265"/>
      <c r="Y62" s="265"/>
      <c r="Z62" s="265"/>
      <c r="AA62" s="265"/>
      <c r="AB62" s="265"/>
      <c r="AC62" s="265"/>
      <c r="AD62" s="265"/>
      <c r="AE62" s="265"/>
      <c r="AF62" s="371">
        <v>42804.0</v>
      </c>
      <c r="AG62" s="235" t="s">
        <v>1405</v>
      </c>
      <c r="AH62" s="182">
        <f t="shared" ref="AH62:AO62" si="13">sum(AH20:AH47)</f>
        <v>0</v>
      </c>
      <c r="AI62" s="182">
        <f t="shared" si="13"/>
        <v>3</v>
      </c>
      <c r="AJ62" s="182">
        <f t="shared" si="13"/>
        <v>4</v>
      </c>
      <c r="AK62" s="182">
        <f t="shared" si="13"/>
        <v>0</v>
      </c>
      <c r="AL62" s="182">
        <f t="shared" si="13"/>
        <v>19</v>
      </c>
      <c r="AM62" s="182">
        <f t="shared" si="13"/>
        <v>35</v>
      </c>
      <c r="AN62" s="182">
        <f t="shared" si="13"/>
        <v>0</v>
      </c>
      <c r="AO62" s="182">
        <f t="shared" si="13"/>
        <v>1</v>
      </c>
      <c r="AP62" s="182">
        <f>sum(AH62:AO62)</f>
        <v>62</v>
      </c>
      <c r="AQ62" s="265"/>
    </row>
    <row r="63">
      <c r="A63" s="265"/>
      <c r="B63" s="265"/>
      <c r="C63" s="265"/>
      <c r="D63" s="265"/>
      <c r="E63" s="369"/>
      <c r="F63" s="265"/>
      <c r="G63" s="265"/>
      <c r="H63" s="265"/>
      <c r="I63" s="265"/>
      <c r="J63" s="265"/>
      <c r="K63" s="265"/>
      <c r="L63" s="265"/>
      <c r="M63" s="265"/>
      <c r="N63" s="265"/>
      <c r="O63" s="265"/>
      <c r="P63" s="265"/>
      <c r="Q63" s="265"/>
      <c r="R63" s="265"/>
      <c r="S63" s="265"/>
      <c r="T63" s="265"/>
      <c r="U63" s="265"/>
      <c r="V63" s="265"/>
      <c r="W63" s="265"/>
      <c r="X63" s="265"/>
      <c r="Y63" s="265"/>
      <c r="Z63" s="265"/>
      <c r="AA63" s="265"/>
      <c r="AB63" s="265"/>
      <c r="AC63" s="265"/>
      <c r="AD63" s="265"/>
      <c r="AE63" s="265"/>
      <c r="AF63" s="265"/>
      <c r="AG63" s="235" t="s">
        <v>1406</v>
      </c>
      <c r="AH63" s="379">
        <f t="shared" ref="AH63:AP63" si="14">AH62/$AP$62</f>
        <v>0</v>
      </c>
      <c r="AI63" s="379">
        <f t="shared" si="14"/>
        <v>0.04838709677</v>
      </c>
      <c r="AJ63" s="379">
        <f t="shared" si="14"/>
        <v>0.06451612903</v>
      </c>
      <c r="AK63" s="379">
        <f t="shared" si="14"/>
        <v>0</v>
      </c>
      <c r="AL63" s="379">
        <f t="shared" si="14"/>
        <v>0.3064516129</v>
      </c>
      <c r="AM63" s="379">
        <f t="shared" si="14"/>
        <v>0.564516129</v>
      </c>
      <c r="AN63" s="379">
        <f t="shared" si="14"/>
        <v>0</v>
      </c>
      <c r="AO63" s="379">
        <f t="shared" si="14"/>
        <v>0.01612903226</v>
      </c>
      <c r="AP63" s="380">
        <f t="shared" si="14"/>
        <v>1</v>
      </c>
      <c r="AQ63" s="265"/>
    </row>
    <row r="64">
      <c r="A64" s="265"/>
      <c r="B64" s="265"/>
      <c r="C64" s="265"/>
      <c r="D64" s="265"/>
      <c r="E64" s="369"/>
      <c r="F64" s="265"/>
      <c r="G64" s="265"/>
      <c r="H64" s="265"/>
      <c r="I64" s="265"/>
      <c r="J64" s="265"/>
      <c r="K64" s="265"/>
      <c r="L64" s="265"/>
      <c r="M64" s="265"/>
      <c r="N64" s="265"/>
      <c r="O64" s="265"/>
      <c r="P64" s="265"/>
      <c r="Q64" s="265"/>
      <c r="R64" s="265"/>
      <c r="S64" s="265"/>
      <c r="T64" s="265"/>
      <c r="U64" s="265"/>
      <c r="V64" s="265"/>
      <c r="W64" s="265"/>
      <c r="X64" s="265"/>
      <c r="Y64" s="265"/>
      <c r="Z64" s="265"/>
      <c r="AA64" s="265"/>
      <c r="AB64" s="265"/>
      <c r="AC64" s="265"/>
      <c r="AD64" s="265"/>
      <c r="AE64" s="265"/>
      <c r="AF64" s="265"/>
      <c r="AG64" s="157" t="s">
        <v>1375</v>
      </c>
      <c r="AH64" s="379">
        <f t="shared" ref="AH64:AO64" si="15">countif(AH20:AH48,"&gt;0")</f>
        <v>0</v>
      </c>
      <c r="AI64" s="379">
        <f t="shared" si="15"/>
        <v>1</v>
      </c>
      <c r="AJ64" s="379">
        <f t="shared" si="15"/>
        <v>2</v>
      </c>
      <c r="AK64" s="379">
        <f t="shared" si="15"/>
        <v>0</v>
      </c>
      <c r="AL64" s="379">
        <f t="shared" si="15"/>
        <v>7</v>
      </c>
      <c r="AM64" s="379">
        <f t="shared" si="15"/>
        <v>15</v>
      </c>
      <c r="AN64" s="379">
        <f t="shared" si="15"/>
        <v>0</v>
      </c>
      <c r="AO64" s="379">
        <f t="shared" si="15"/>
        <v>1</v>
      </c>
      <c r="AP64" s="265">
        <f t="shared" ref="AP64:AP65" si="17">sum(AH64:AO64)</f>
        <v>26</v>
      </c>
      <c r="AQ64" s="265"/>
    </row>
    <row r="65">
      <c r="A65" s="265"/>
      <c r="B65" s="265"/>
      <c r="C65" s="265"/>
      <c r="D65" s="265"/>
      <c r="E65" s="369"/>
      <c r="F65" s="265"/>
      <c r="G65" s="265"/>
      <c r="H65" s="265"/>
      <c r="I65" s="265"/>
      <c r="J65" s="265"/>
      <c r="K65" s="265"/>
      <c r="L65" s="265"/>
      <c r="M65" s="265"/>
      <c r="N65" s="265"/>
      <c r="O65" s="265"/>
      <c r="P65" s="265"/>
      <c r="Q65" s="265"/>
      <c r="R65" s="265"/>
      <c r="S65" s="265"/>
      <c r="T65" s="265"/>
      <c r="U65" s="265"/>
      <c r="V65" s="265"/>
      <c r="W65" s="265"/>
      <c r="X65" s="265"/>
      <c r="Y65" s="265"/>
      <c r="Z65" s="265"/>
      <c r="AA65" s="265"/>
      <c r="AB65" s="265"/>
      <c r="AC65" s="265"/>
      <c r="AD65" s="265"/>
      <c r="AE65" s="265"/>
      <c r="AF65">
        <f>correl(AH62:AO62,AH64:AO64)</f>
        <v>0.9961137505</v>
      </c>
      <c r="AG65" s="157" t="s">
        <v>1406</v>
      </c>
      <c r="AH65" s="379">
        <f t="shared" ref="AH65:AO65" si="16">AH64/$AP$64</f>
        <v>0</v>
      </c>
      <c r="AI65" s="379">
        <f t="shared" si="16"/>
        <v>0.03846153846</v>
      </c>
      <c r="AJ65" s="379">
        <f t="shared" si="16"/>
        <v>0.07692307692</v>
      </c>
      <c r="AK65" s="379">
        <f t="shared" si="16"/>
        <v>0</v>
      </c>
      <c r="AL65" s="379">
        <f t="shared" si="16"/>
        <v>0.2692307692</v>
      </c>
      <c r="AM65" s="379">
        <f t="shared" si="16"/>
        <v>0.5769230769</v>
      </c>
      <c r="AN65" s="379">
        <f t="shared" si="16"/>
        <v>0</v>
      </c>
      <c r="AO65" s="379">
        <f t="shared" si="16"/>
        <v>0.03846153846</v>
      </c>
      <c r="AP65" s="381">
        <f t="shared" si="17"/>
        <v>1</v>
      </c>
      <c r="AQ65" s="26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0"/>
  <cols>
    <col customWidth="1" min="4" max="5" width="19.57"/>
    <col customWidth="1" min="6" max="6" width="16.14"/>
    <col customWidth="1" min="7" max="7" width="14.57"/>
    <col customWidth="1" min="8" max="10" width="20.86"/>
    <col customWidth="1" min="11" max="11" width="14.71"/>
    <col customWidth="1" min="12" max="12" width="20.43"/>
    <col customWidth="1" min="13" max="13" width="15.0"/>
    <col customWidth="1" min="14" max="14" width="24.57"/>
    <col customWidth="1" min="15" max="15" width="12.14"/>
    <col customWidth="1" min="16" max="16" width="9.71"/>
    <col customWidth="1" min="17" max="17" width="8.86"/>
    <col customWidth="1" min="18" max="19" width="9.57"/>
    <col customWidth="1" min="20" max="20" width="13.0"/>
    <col customWidth="1" min="21" max="21" width="10.29"/>
    <col customWidth="1" min="22" max="30" width="7.57"/>
    <col customWidth="1" min="31" max="31" width="6.43"/>
  </cols>
  <sheetData>
    <row r="1">
      <c r="A1" s="310" t="s">
        <v>1355</v>
      </c>
      <c r="B1" s="310" t="s">
        <v>1356</v>
      </c>
      <c r="C1" s="338" t="s">
        <v>1357</v>
      </c>
      <c r="D1" s="339" t="s">
        <v>337</v>
      </c>
      <c r="E1" s="339" t="s">
        <v>1361</v>
      </c>
      <c r="F1" s="339" t="s">
        <v>1362</v>
      </c>
      <c r="G1" s="339" t="s">
        <v>1364</v>
      </c>
      <c r="H1" s="339" t="s">
        <v>1407</v>
      </c>
      <c r="I1" s="340" t="s">
        <v>1366</v>
      </c>
      <c r="J1" s="340" t="s">
        <v>1367</v>
      </c>
      <c r="K1" s="341" t="s">
        <v>1368</v>
      </c>
      <c r="L1" s="341" t="s">
        <v>1369</v>
      </c>
      <c r="M1" s="342" t="s">
        <v>1370</v>
      </c>
      <c r="N1" s="342" t="s">
        <v>1371</v>
      </c>
      <c r="O1" s="343" t="s">
        <v>1372</v>
      </c>
      <c r="P1" s="344" t="s">
        <v>1373</v>
      </c>
      <c r="Q1" s="313" t="s">
        <v>1374</v>
      </c>
      <c r="U1" s="182"/>
      <c r="V1" s="345" t="s">
        <v>389</v>
      </c>
      <c r="W1" s="346" t="s">
        <v>420</v>
      </c>
      <c r="X1" s="347" t="s">
        <v>358</v>
      </c>
      <c r="Y1" s="348" t="s">
        <v>363</v>
      </c>
      <c r="Z1" s="349" t="s">
        <v>413</v>
      </c>
      <c r="AA1" s="350" t="s">
        <v>357</v>
      </c>
      <c r="AB1" s="351" t="s">
        <v>380</v>
      </c>
      <c r="AC1" s="352" t="s">
        <v>387</v>
      </c>
      <c r="AD1" s="353" t="s">
        <v>1375</v>
      </c>
      <c r="AE1" s="353" t="s">
        <v>1376</v>
      </c>
    </row>
    <row r="2">
      <c r="A2" s="157">
        <v>1.0</v>
      </c>
      <c r="B2" s="382" t="s">
        <v>1290</v>
      </c>
      <c r="C2" s="354">
        <v>40925.0</v>
      </c>
      <c r="D2" s="383">
        <v>0.0</v>
      </c>
      <c r="E2" s="157">
        <v>0.0</v>
      </c>
      <c r="F2" s="157">
        <v>0.0</v>
      </c>
      <c r="G2" s="157">
        <v>0.0</v>
      </c>
      <c r="H2" s="157">
        <v>0.0</v>
      </c>
      <c r="I2" s="157" t="s">
        <v>354</v>
      </c>
      <c r="J2" s="157" t="s">
        <v>354</v>
      </c>
      <c r="K2" s="384" t="s">
        <v>356</v>
      </c>
      <c r="L2" s="384" t="s">
        <v>354</v>
      </c>
      <c r="M2" s="356" t="s">
        <v>365</v>
      </c>
      <c r="N2" s="40" t="s">
        <v>357</v>
      </c>
      <c r="O2" s="139" t="s">
        <v>356</v>
      </c>
      <c r="P2" s="139" t="s">
        <v>354</v>
      </c>
      <c r="Q2" s="385">
        <f t="shared" ref="Q2:Q55" si="1">sum(countif(E2,"&gt;0"),countif(K2:P2,"POS"))</f>
        <v>1</v>
      </c>
      <c r="V2" s="235">
        <v>0.0</v>
      </c>
      <c r="W2" s="235">
        <v>0.0</v>
      </c>
      <c r="X2" s="235">
        <v>0.0</v>
      </c>
      <c r="Y2" s="235">
        <v>0.0</v>
      </c>
      <c r="Z2" s="235">
        <v>0.0</v>
      </c>
      <c r="AA2" s="235">
        <v>1.0</v>
      </c>
      <c r="AB2" s="235">
        <v>0.0</v>
      </c>
      <c r="AC2" s="235">
        <v>0.0</v>
      </c>
      <c r="AD2" s="363">
        <f t="shared" ref="AD2:AD30" si="2">sum(V2:AC2)</f>
        <v>1</v>
      </c>
      <c r="AE2" s="363">
        <f t="shared" ref="AE2:AE30" si="3">countif(V2:AC2,"&gt;0")</f>
        <v>1</v>
      </c>
    </row>
    <row r="3">
      <c r="A3" s="157">
        <v>2.0</v>
      </c>
      <c r="B3" s="157" t="s">
        <v>1035</v>
      </c>
      <c r="C3" s="354">
        <v>40925.0</v>
      </c>
      <c r="D3" s="383">
        <v>1.0</v>
      </c>
      <c r="E3" s="157">
        <v>0.0</v>
      </c>
      <c r="F3" s="157">
        <v>0.0</v>
      </c>
      <c r="G3" s="157">
        <v>0.0</v>
      </c>
      <c r="H3" s="157">
        <v>0.0</v>
      </c>
      <c r="I3" s="157" t="s">
        <v>354</v>
      </c>
      <c r="J3" s="157" t="s">
        <v>354</v>
      </c>
      <c r="K3" s="384" t="s">
        <v>356</v>
      </c>
      <c r="L3" s="384" t="s">
        <v>354</v>
      </c>
      <c r="M3" s="368" t="s">
        <v>356</v>
      </c>
      <c r="N3" s="368" t="s">
        <v>354</v>
      </c>
      <c r="O3" s="144" t="s">
        <v>365</v>
      </c>
      <c r="P3" s="40" t="s">
        <v>357</v>
      </c>
      <c r="Q3" s="385">
        <f t="shared" si="1"/>
        <v>1</v>
      </c>
      <c r="V3" s="235">
        <v>0.0</v>
      </c>
      <c r="W3" s="235">
        <v>0.0</v>
      </c>
      <c r="X3" s="235">
        <v>0.0</v>
      </c>
      <c r="Y3" s="235">
        <v>0.0</v>
      </c>
      <c r="Z3" s="235">
        <v>0.0</v>
      </c>
      <c r="AA3" s="235">
        <v>1.0</v>
      </c>
      <c r="AB3" s="235">
        <v>0.0</v>
      </c>
      <c r="AC3" s="235">
        <v>0.0</v>
      </c>
      <c r="AD3" s="363">
        <f t="shared" si="2"/>
        <v>1</v>
      </c>
      <c r="AE3" s="363">
        <f t="shared" si="3"/>
        <v>1</v>
      </c>
    </row>
    <row r="4">
      <c r="A4" s="157">
        <v>3.0</v>
      </c>
      <c r="B4" s="157" t="s">
        <v>815</v>
      </c>
      <c r="C4" s="354">
        <v>40925.0</v>
      </c>
      <c r="D4" s="383">
        <v>1.0</v>
      </c>
      <c r="E4" s="157">
        <v>0.0</v>
      </c>
      <c r="F4" s="157">
        <v>0.0</v>
      </c>
      <c r="G4" s="157">
        <v>0.0</v>
      </c>
      <c r="H4" s="157">
        <v>0.0</v>
      </c>
      <c r="I4" s="157" t="s">
        <v>354</v>
      </c>
      <c r="J4" s="157" t="s">
        <v>354</v>
      </c>
      <c r="K4" s="386" t="s">
        <v>365</v>
      </c>
      <c r="L4" s="315" t="s">
        <v>420</v>
      </c>
      <c r="M4" s="356" t="s">
        <v>365</v>
      </c>
      <c r="N4" s="90" t="s">
        <v>413</v>
      </c>
      <c r="O4" s="387" t="s">
        <v>361</v>
      </c>
      <c r="P4" s="387" t="s">
        <v>361</v>
      </c>
      <c r="Q4" s="388">
        <f t="shared" si="1"/>
        <v>2</v>
      </c>
      <c r="V4" s="235">
        <v>0.0</v>
      </c>
      <c r="W4" s="235">
        <v>1.0</v>
      </c>
      <c r="X4" s="235">
        <v>0.0</v>
      </c>
      <c r="Y4" s="235">
        <v>0.0</v>
      </c>
      <c r="Z4" s="235">
        <v>1.0</v>
      </c>
      <c r="AA4" s="235">
        <v>0.0</v>
      </c>
      <c r="AB4" s="235">
        <v>0.0</v>
      </c>
      <c r="AC4" s="235">
        <v>0.0</v>
      </c>
      <c r="AD4" s="358">
        <f t="shared" si="2"/>
        <v>2</v>
      </c>
      <c r="AE4" s="358">
        <f t="shared" si="3"/>
        <v>2</v>
      </c>
    </row>
    <row r="5">
      <c r="A5" s="157">
        <v>4.0</v>
      </c>
      <c r="B5" s="157" t="s">
        <v>862</v>
      </c>
      <c r="C5" s="354">
        <v>40925.0</v>
      </c>
      <c r="D5" s="383">
        <v>1.0</v>
      </c>
      <c r="E5" s="140">
        <v>28.21</v>
      </c>
      <c r="F5" s="157">
        <v>0.0</v>
      </c>
      <c r="G5" s="157">
        <v>0.0</v>
      </c>
      <c r="H5" s="140">
        <v>36.77</v>
      </c>
      <c r="I5" s="157" t="s">
        <v>356</v>
      </c>
      <c r="J5" s="157" t="s">
        <v>354</v>
      </c>
      <c r="K5" s="389" t="s">
        <v>365</v>
      </c>
      <c r="L5" s="390" t="s">
        <v>380</v>
      </c>
      <c r="M5" s="356" t="s">
        <v>365</v>
      </c>
      <c r="N5" s="90" t="s">
        <v>413</v>
      </c>
      <c r="O5" s="144" t="s">
        <v>365</v>
      </c>
      <c r="P5" s="143" t="s">
        <v>358</v>
      </c>
      <c r="Q5" s="388">
        <f t="shared" si="1"/>
        <v>4</v>
      </c>
      <c r="V5" s="235">
        <v>0.0</v>
      </c>
      <c r="W5" s="235">
        <v>0.0</v>
      </c>
      <c r="X5" s="235">
        <v>1.0</v>
      </c>
      <c r="Y5" s="235">
        <v>0.0</v>
      </c>
      <c r="Z5" s="235">
        <v>1.0</v>
      </c>
      <c r="AA5" s="235">
        <v>0.0</v>
      </c>
      <c r="AB5" s="235">
        <v>1.0</v>
      </c>
      <c r="AC5" s="235">
        <v>0.0</v>
      </c>
      <c r="AD5" s="358">
        <f t="shared" si="2"/>
        <v>3</v>
      </c>
      <c r="AE5" s="358">
        <f t="shared" si="3"/>
        <v>3</v>
      </c>
    </row>
    <row r="6">
      <c r="A6" s="157">
        <v>5.0</v>
      </c>
      <c r="B6" s="157" t="s">
        <v>601</v>
      </c>
      <c r="C6" s="354">
        <v>40925.0</v>
      </c>
      <c r="D6" s="383">
        <v>1.0</v>
      </c>
      <c r="E6" s="157">
        <v>0.0</v>
      </c>
      <c r="F6" s="157">
        <v>0.0</v>
      </c>
      <c r="G6" s="157">
        <v>0.0</v>
      </c>
      <c r="H6" s="157">
        <v>0.0</v>
      </c>
      <c r="I6" s="157" t="s">
        <v>354</v>
      </c>
      <c r="J6" s="157" t="s">
        <v>354</v>
      </c>
      <c r="K6" s="386" t="s">
        <v>365</v>
      </c>
      <c r="L6" s="40" t="s">
        <v>357</v>
      </c>
      <c r="M6" s="356" t="s">
        <v>365</v>
      </c>
      <c r="N6" s="40" t="s">
        <v>357</v>
      </c>
      <c r="O6" s="144" t="s">
        <v>365</v>
      </c>
      <c r="P6" s="40" t="s">
        <v>357</v>
      </c>
      <c r="Q6" s="388">
        <f t="shared" si="1"/>
        <v>3</v>
      </c>
      <c r="V6" s="235">
        <v>0.0</v>
      </c>
      <c r="W6" s="235">
        <v>0.0</v>
      </c>
      <c r="X6" s="235">
        <v>0.0</v>
      </c>
      <c r="Y6" s="235">
        <v>0.0</v>
      </c>
      <c r="Z6" s="235">
        <v>0.0</v>
      </c>
      <c r="AA6" s="235">
        <v>3.0</v>
      </c>
      <c r="AB6" s="235">
        <v>0.0</v>
      </c>
      <c r="AC6" s="235">
        <v>0.0</v>
      </c>
      <c r="AD6" s="358">
        <f t="shared" si="2"/>
        <v>3</v>
      </c>
      <c r="AE6" s="358">
        <f t="shared" si="3"/>
        <v>1</v>
      </c>
    </row>
    <row r="7">
      <c r="A7" s="157">
        <v>6.0</v>
      </c>
      <c r="B7" s="157" t="s">
        <v>766</v>
      </c>
      <c r="C7" s="354">
        <v>40925.0</v>
      </c>
      <c r="D7" s="383">
        <v>1.0</v>
      </c>
      <c r="E7" s="140">
        <v>28.5</v>
      </c>
      <c r="F7" s="157">
        <v>0.0</v>
      </c>
      <c r="G7" s="157">
        <v>0.0</v>
      </c>
      <c r="H7" s="157">
        <v>0.0</v>
      </c>
      <c r="I7" s="157" t="s">
        <v>354</v>
      </c>
      <c r="J7" s="157" t="s">
        <v>354</v>
      </c>
      <c r="K7" s="386" t="s">
        <v>365</v>
      </c>
      <c r="L7" s="40" t="s">
        <v>357</v>
      </c>
      <c r="M7" s="356" t="s">
        <v>365</v>
      </c>
      <c r="N7" s="40" t="s">
        <v>357</v>
      </c>
      <c r="O7" s="144" t="s">
        <v>365</v>
      </c>
      <c r="P7" s="143" t="s">
        <v>358</v>
      </c>
      <c r="Q7" s="388">
        <f t="shared" si="1"/>
        <v>4</v>
      </c>
      <c r="V7" s="235">
        <v>0.0</v>
      </c>
      <c r="W7" s="235">
        <v>0.0</v>
      </c>
      <c r="X7" s="235">
        <v>1.0</v>
      </c>
      <c r="Y7" s="235">
        <v>0.0</v>
      </c>
      <c r="Z7" s="235">
        <v>0.0</v>
      </c>
      <c r="AA7" s="235">
        <v>2.0</v>
      </c>
      <c r="AB7" s="235">
        <v>0.0</v>
      </c>
      <c r="AC7" s="235">
        <v>0.0</v>
      </c>
      <c r="AD7" s="358">
        <f t="shared" si="2"/>
        <v>3</v>
      </c>
      <c r="AE7" s="358">
        <f t="shared" si="3"/>
        <v>2</v>
      </c>
    </row>
    <row r="8">
      <c r="A8" s="157">
        <v>7.0</v>
      </c>
      <c r="B8" s="157" t="s">
        <v>1408</v>
      </c>
      <c r="C8" s="354">
        <v>40925.0</v>
      </c>
      <c r="D8" s="383">
        <v>0.0</v>
      </c>
      <c r="E8" s="77">
        <v>41.64</v>
      </c>
      <c r="F8" s="157">
        <v>0.0</v>
      </c>
      <c r="G8" s="157">
        <v>0.0</v>
      </c>
      <c r="H8" s="157">
        <v>0.0</v>
      </c>
      <c r="I8" s="157" t="s">
        <v>354</v>
      </c>
      <c r="J8" s="157" t="s">
        <v>354</v>
      </c>
      <c r="K8" s="386" t="s">
        <v>365</v>
      </c>
      <c r="L8" s="40" t="s">
        <v>357</v>
      </c>
      <c r="M8" s="356" t="s">
        <v>365</v>
      </c>
      <c r="N8" s="40" t="s">
        <v>357</v>
      </c>
      <c r="O8" s="144" t="s">
        <v>365</v>
      </c>
      <c r="P8" s="40" t="s">
        <v>357</v>
      </c>
      <c r="Q8" s="388">
        <f t="shared" si="1"/>
        <v>4</v>
      </c>
      <c r="V8" s="235">
        <v>0.0</v>
      </c>
      <c r="W8" s="235">
        <v>0.0</v>
      </c>
      <c r="X8" s="235">
        <v>0.0</v>
      </c>
      <c r="Y8" s="235">
        <v>0.0</v>
      </c>
      <c r="Z8" s="235">
        <v>0.0</v>
      </c>
      <c r="AA8" s="235">
        <v>3.0</v>
      </c>
      <c r="AB8" s="235">
        <v>0.0</v>
      </c>
      <c r="AC8" s="235">
        <v>0.0</v>
      </c>
      <c r="AD8" s="358">
        <f t="shared" si="2"/>
        <v>3</v>
      </c>
      <c r="AE8" s="358">
        <f t="shared" si="3"/>
        <v>1</v>
      </c>
    </row>
    <row r="9">
      <c r="A9" s="157">
        <v>8.0</v>
      </c>
      <c r="B9" s="157" t="s">
        <v>549</v>
      </c>
      <c r="C9" s="354">
        <v>40925.0</v>
      </c>
      <c r="D9" s="383">
        <v>1.0</v>
      </c>
      <c r="E9" s="157">
        <v>0.0</v>
      </c>
      <c r="F9" s="157">
        <v>0.0</v>
      </c>
      <c r="G9" s="157">
        <v>0.0</v>
      </c>
      <c r="H9" s="157">
        <v>0.0</v>
      </c>
      <c r="I9" s="157" t="s">
        <v>354</v>
      </c>
      <c r="J9" s="157" t="s">
        <v>354</v>
      </c>
      <c r="K9" s="386" t="s">
        <v>365</v>
      </c>
      <c r="L9" s="40" t="s">
        <v>357</v>
      </c>
      <c r="M9" s="356" t="s">
        <v>365</v>
      </c>
      <c r="N9" s="40" t="s">
        <v>357</v>
      </c>
      <c r="O9" s="144" t="s">
        <v>365</v>
      </c>
      <c r="P9" s="143" t="s">
        <v>358</v>
      </c>
      <c r="Q9" s="388">
        <f t="shared" si="1"/>
        <v>3</v>
      </c>
      <c r="V9" s="235">
        <v>0.0</v>
      </c>
      <c r="W9" s="235">
        <v>0.0</v>
      </c>
      <c r="X9" s="235">
        <v>1.0</v>
      </c>
      <c r="Y9" s="235">
        <v>0.0</v>
      </c>
      <c r="Z9" s="235">
        <v>0.0</v>
      </c>
      <c r="AA9" s="235">
        <v>2.0</v>
      </c>
      <c r="AB9" s="235">
        <v>0.0</v>
      </c>
      <c r="AC9" s="235">
        <v>0.0</v>
      </c>
      <c r="AD9" s="358">
        <f t="shared" si="2"/>
        <v>3</v>
      </c>
      <c r="AE9" s="358">
        <f t="shared" si="3"/>
        <v>2</v>
      </c>
    </row>
    <row r="10">
      <c r="A10" s="157">
        <v>9.0</v>
      </c>
      <c r="B10" s="157" t="s">
        <v>1409</v>
      </c>
      <c r="C10" s="354">
        <v>40925.0</v>
      </c>
      <c r="D10" s="383">
        <v>0.0</v>
      </c>
      <c r="E10" s="140">
        <v>28.71</v>
      </c>
      <c r="F10" s="157">
        <v>0.0</v>
      </c>
      <c r="G10" s="157">
        <v>0.0</v>
      </c>
      <c r="H10" s="157">
        <v>0.0</v>
      </c>
      <c r="I10" s="157" t="s">
        <v>354</v>
      </c>
      <c r="J10" s="157" t="s">
        <v>354</v>
      </c>
      <c r="K10" s="386" t="s">
        <v>365</v>
      </c>
      <c r="L10" s="90" t="s">
        <v>413</v>
      </c>
      <c r="M10" s="365" t="s">
        <v>365</v>
      </c>
      <c r="N10" s="366" t="s">
        <v>387</v>
      </c>
      <c r="O10" s="144" t="s">
        <v>365</v>
      </c>
      <c r="P10" s="143" t="s">
        <v>358</v>
      </c>
      <c r="Q10" s="388">
        <f t="shared" si="1"/>
        <v>4</v>
      </c>
      <c r="V10" s="235">
        <v>0.0</v>
      </c>
      <c r="W10" s="235">
        <v>0.0</v>
      </c>
      <c r="X10" s="235">
        <v>1.0</v>
      </c>
      <c r="Y10" s="235">
        <v>0.0</v>
      </c>
      <c r="Z10" s="235">
        <v>1.0</v>
      </c>
      <c r="AA10" s="235">
        <v>0.0</v>
      </c>
      <c r="AB10" s="235">
        <v>0.0</v>
      </c>
      <c r="AC10" s="235">
        <v>1.0</v>
      </c>
      <c r="AD10" s="358">
        <f t="shared" si="2"/>
        <v>3</v>
      </c>
      <c r="AE10" s="358">
        <f t="shared" si="3"/>
        <v>3</v>
      </c>
    </row>
    <row r="11">
      <c r="A11" s="157">
        <v>10.0</v>
      </c>
      <c r="B11" s="157" t="s">
        <v>912</v>
      </c>
      <c r="C11" s="354">
        <v>40925.0</v>
      </c>
      <c r="D11" s="383">
        <v>1.0</v>
      </c>
      <c r="E11" s="140">
        <v>29.13</v>
      </c>
      <c r="F11" s="157">
        <v>0.0</v>
      </c>
      <c r="G11" s="157">
        <v>0.0</v>
      </c>
      <c r="H11" s="157">
        <v>0.0</v>
      </c>
      <c r="I11" s="157" t="s">
        <v>354</v>
      </c>
      <c r="J11" s="157" t="s">
        <v>354</v>
      </c>
      <c r="K11" s="386" t="s">
        <v>365</v>
      </c>
      <c r="L11" s="90" t="s">
        <v>413</v>
      </c>
      <c r="M11" s="356" t="s">
        <v>365</v>
      </c>
      <c r="N11" s="90" t="s">
        <v>413</v>
      </c>
      <c r="O11" s="144" t="s">
        <v>365</v>
      </c>
      <c r="P11" s="143" t="s">
        <v>358</v>
      </c>
      <c r="Q11" s="388">
        <f t="shared" si="1"/>
        <v>4</v>
      </c>
      <c r="V11" s="235">
        <v>0.0</v>
      </c>
      <c r="W11" s="235">
        <v>0.0</v>
      </c>
      <c r="X11" s="235">
        <v>1.0</v>
      </c>
      <c r="Y11" s="235">
        <v>0.0</v>
      </c>
      <c r="Z11" s="235">
        <v>2.0</v>
      </c>
      <c r="AA11" s="235">
        <v>0.0</v>
      </c>
      <c r="AB11" s="235">
        <v>0.0</v>
      </c>
      <c r="AC11" s="235">
        <v>0.0</v>
      </c>
      <c r="AD11" s="358">
        <f t="shared" si="2"/>
        <v>3</v>
      </c>
      <c r="AE11" s="358">
        <f t="shared" si="3"/>
        <v>2</v>
      </c>
    </row>
    <row r="12">
      <c r="A12" s="157">
        <v>11.0</v>
      </c>
      <c r="B12" s="157" t="s">
        <v>530</v>
      </c>
      <c r="C12" s="354">
        <v>40925.0</v>
      </c>
      <c r="D12" s="383">
        <v>1.0</v>
      </c>
      <c r="E12" s="140">
        <v>29.87</v>
      </c>
      <c r="F12" s="157">
        <v>0.0</v>
      </c>
      <c r="G12" s="157">
        <v>0.0</v>
      </c>
      <c r="H12" s="157">
        <v>0.0</v>
      </c>
      <c r="I12" s="157" t="s">
        <v>354</v>
      </c>
      <c r="J12" s="157" t="s">
        <v>354</v>
      </c>
      <c r="K12" s="386" t="s">
        <v>365</v>
      </c>
      <c r="L12" s="40" t="s">
        <v>357</v>
      </c>
      <c r="M12" s="356" t="s">
        <v>365</v>
      </c>
      <c r="N12" s="40" t="s">
        <v>357</v>
      </c>
      <c r="O12" s="144" t="s">
        <v>365</v>
      </c>
      <c r="P12" s="143" t="s">
        <v>358</v>
      </c>
      <c r="Q12" s="388">
        <f t="shared" si="1"/>
        <v>4</v>
      </c>
      <c r="V12" s="235">
        <v>0.0</v>
      </c>
      <c r="W12" s="235">
        <v>0.0</v>
      </c>
      <c r="X12" s="235">
        <v>1.0</v>
      </c>
      <c r="Y12" s="235">
        <v>0.0</v>
      </c>
      <c r="Z12" s="235">
        <v>0.0</v>
      </c>
      <c r="AA12" s="235">
        <v>2.0</v>
      </c>
      <c r="AB12" s="235">
        <v>0.0</v>
      </c>
      <c r="AC12" s="235">
        <v>0.0</v>
      </c>
      <c r="AD12" s="358">
        <f t="shared" si="2"/>
        <v>3</v>
      </c>
      <c r="AE12" s="358">
        <f t="shared" si="3"/>
        <v>2</v>
      </c>
    </row>
    <row r="13">
      <c r="A13" s="157">
        <v>12.0</v>
      </c>
      <c r="B13" s="157" t="s">
        <v>555</v>
      </c>
      <c r="C13" s="354">
        <v>40925.0</v>
      </c>
      <c r="D13" s="383">
        <v>0.0</v>
      </c>
      <c r="E13" s="140">
        <v>26.99</v>
      </c>
      <c r="F13" s="157">
        <v>0.0</v>
      </c>
      <c r="G13" s="157">
        <v>0.0</v>
      </c>
      <c r="H13" s="157">
        <v>0.0</v>
      </c>
      <c r="I13" s="157" t="s">
        <v>354</v>
      </c>
      <c r="J13" s="157" t="s">
        <v>354</v>
      </c>
      <c r="K13" s="386" t="s">
        <v>365</v>
      </c>
      <c r="L13" s="162" t="s">
        <v>363</v>
      </c>
      <c r="M13" s="356" t="s">
        <v>365</v>
      </c>
      <c r="N13" s="162" t="s">
        <v>363</v>
      </c>
      <c r="O13" s="144" t="s">
        <v>365</v>
      </c>
      <c r="P13" s="162" t="s">
        <v>363</v>
      </c>
      <c r="Q13" s="388">
        <f t="shared" si="1"/>
        <v>4</v>
      </c>
      <c r="V13" s="235">
        <v>0.0</v>
      </c>
      <c r="W13" s="235">
        <v>0.0</v>
      </c>
      <c r="X13" s="235">
        <v>0.0</v>
      </c>
      <c r="Y13" s="235">
        <v>3.0</v>
      </c>
      <c r="Z13" s="235">
        <v>0.0</v>
      </c>
      <c r="AA13" s="235">
        <v>0.0</v>
      </c>
      <c r="AB13" s="235">
        <v>0.0</v>
      </c>
      <c r="AC13" s="235">
        <v>0.0</v>
      </c>
      <c r="AD13" s="358">
        <f t="shared" si="2"/>
        <v>3</v>
      </c>
      <c r="AE13" s="358">
        <f t="shared" si="3"/>
        <v>1</v>
      </c>
    </row>
    <row r="14">
      <c r="A14" s="157">
        <v>13.0</v>
      </c>
      <c r="B14" s="157" t="s">
        <v>399</v>
      </c>
      <c r="C14" s="354">
        <v>40925.0</v>
      </c>
      <c r="D14" s="383">
        <v>0.0</v>
      </c>
      <c r="E14" s="140">
        <v>27.23</v>
      </c>
      <c r="F14" s="157">
        <v>0.0</v>
      </c>
      <c r="G14" s="157">
        <v>0.0</v>
      </c>
      <c r="H14" s="157">
        <v>0.0</v>
      </c>
      <c r="I14" s="157" t="s">
        <v>354</v>
      </c>
      <c r="J14" s="157" t="s">
        <v>354</v>
      </c>
      <c r="K14" s="386" t="s">
        <v>365</v>
      </c>
      <c r="L14" s="90" t="s">
        <v>413</v>
      </c>
      <c r="M14" s="365" t="s">
        <v>365</v>
      </c>
      <c r="N14" s="366" t="s">
        <v>387</v>
      </c>
      <c r="O14" s="144" t="s">
        <v>365</v>
      </c>
      <c r="P14" s="143" t="s">
        <v>358</v>
      </c>
      <c r="Q14" s="388">
        <f t="shared" si="1"/>
        <v>4</v>
      </c>
      <c r="V14" s="235">
        <v>0.0</v>
      </c>
      <c r="W14" s="235">
        <v>0.0</v>
      </c>
      <c r="X14" s="235">
        <v>1.0</v>
      </c>
      <c r="Y14" s="235">
        <v>0.0</v>
      </c>
      <c r="Z14" s="235">
        <v>1.0</v>
      </c>
      <c r="AA14" s="235">
        <v>0.0</v>
      </c>
      <c r="AB14" s="235">
        <v>0.0</v>
      </c>
      <c r="AC14" s="235">
        <v>1.0</v>
      </c>
      <c r="AD14" s="358">
        <f t="shared" si="2"/>
        <v>3</v>
      </c>
      <c r="AE14" s="358">
        <f t="shared" si="3"/>
        <v>3</v>
      </c>
    </row>
    <row r="15">
      <c r="A15" s="157">
        <v>14.0</v>
      </c>
      <c r="B15" s="157" t="s">
        <v>794</v>
      </c>
      <c r="C15" s="354">
        <v>40925.0</v>
      </c>
      <c r="D15" s="383">
        <v>1.0</v>
      </c>
      <c r="E15" s="157">
        <v>0.0</v>
      </c>
      <c r="F15" s="157">
        <v>0.0</v>
      </c>
      <c r="G15" s="157">
        <v>0.0</v>
      </c>
      <c r="H15" s="157">
        <v>0.0</v>
      </c>
      <c r="I15" s="157" t="s">
        <v>354</v>
      </c>
      <c r="J15" s="157" t="s">
        <v>354</v>
      </c>
      <c r="K15" s="384" t="s">
        <v>356</v>
      </c>
      <c r="L15" s="384" t="s">
        <v>354</v>
      </c>
      <c r="M15" s="365" t="s">
        <v>365</v>
      </c>
      <c r="N15" s="366" t="s">
        <v>387</v>
      </c>
      <c r="O15" s="144" t="s">
        <v>365</v>
      </c>
      <c r="P15" s="162" t="s">
        <v>363</v>
      </c>
      <c r="Q15" s="388">
        <f t="shared" si="1"/>
        <v>2</v>
      </c>
      <c r="V15" s="235">
        <v>0.0</v>
      </c>
      <c r="W15" s="235">
        <v>0.0</v>
      </c>
      <c r="X15" s="235">
        <v>0.0</v>
      </c>
      <c r="Y15" s="235">
        <v>1.0</v>
      </c>
      <c r="Z15" s="235">
        <v>0.0</v>
      </c>
      <c r="AA15" s="235">
        <v>0.0</v>
      </c>
      <c r="AB15" s="235">
        <v>0.0</v>
      </c>
      <c r="AC15" s="235">
        <v>1.0</v>
      </c>
      <c r="AD15" s="358">
        <f t="shared" si="2"/>
        <v>2</v>
      </c>
      <c r="AE15" s="358">
        <f t="shared" si="3"/>
        <v>2</v>
      </c>
    </row>
    <row r="16">
      <c r="A16" s="157">
        <v>15.0</v>
      </c>
      <c r="B16" s="157" t="s">
        <v>1410</v>
      </c>
      <c r="C16" s="354">
        <v>40925.0</v>
      </c>
      <c r="D16" s="383">
        <v>0.0</v>
      </c>
      <c r="E16" s="157">
        <v>0.0</v>
      </c>
      <c r="F16" s="157">
        <v>0.0</v>
      </c>
      <c r="G16" s="157">
        <v>0.0</v>
      </c>
      <c r="H16" s="157">
        <v>0.0</v>
      </c>
      <c r="I16" s="157" t="s">
        <v>354</v>
      </c>
      <c r="J16" s="157" t="s">
        <v>354</v>
      </c>
      <c r="K16" s="384" t="s">
        <v>356</v>
      </c>
      <c r="L16" s="384" t="s">
        <v>354</v>
      </c>
      <c r="M16" s="356" t="s">
        <v>365</v>
      </c>
      <c r="N16" s="40" t="s">
        <v>357</v>
      </c>
      <c r="O16" s="144" t="s">
        <v>365</v>
      </c>
      <c r="P16" s="40" t="s">
        <v>357</v>
      </c>
      <c r="Q16" s="388">
        <f t="shared" si="1"/>
        <v>2</v>
      </c>
      <c r="V16" s="235">
        <v>0.0</v>
      </c>
      <c r="W16" s="235">
        <v>0.0</v>
      </c>
      <c r="X16" s="235">
        <v>0.0</v>
      </c>
      <c r="Y16" s="235">
        <v>0.0</v>
      </c>
      <c r="Z16" s="235">
        <v>0.0</v>
      </c>
      <c r="AA16" s="235">
        <v>2.0</v>
      </c>
      <c r="AB16" s="235">
        <v>0.0</v>
      </c>
      <c r="AC16" s="235">
        <v>0.0</v>
      </c>
      <c r="AD16" s="358">
        <f t="shared" si="2"/>
        <v>2</v>
      </c>
      <c r="AE16" s="358">
        <f t="shared" si="3"/>
        <v>1</v>
      </c>
    </row>
    <row r="17">
      <c r="A17" s="157">
        <v>16.0</v>
      </c>
      <c r="B17" s="157" t="s">
        <v>998</v>
      </c>
      <c r="C17" s="354">
        <v>40925.0</v>
      </c>
      <c r="D17" s="383">
        <v>1.0</v>
      </c>
      <c r="E17" s="140">
        <v>29.93</v>
      </c>
      <c r="F17" s="157">
        <v>0.0</v>
      </c>
      <c r="G17" s="157">
        <v>0.0</v>
      </c>
      <c r="H17" s="140">
        <v>38.84</v>
      </c>
      <c r="I17" s="157" t="s">
        <v>356</v>
      </c>
      <c r="J17" s="157" t="s">
        <v>354</v>
      </c>
      <c r="K17" s="389" t="s">
        <v>365</v>
      </c>
      <c r="L17" s="390" t="s">
        <v>380</v>
      </c>
      <c r="M17" s="368" t="s">
        <v>356</v>
      </c>
      <c r="N17" s="368" t="s">
        <v>354</v>
      </c>
      <c r="O17" s="144" t="s">
        <v>365</v>
      </c>
      <c r="P17" s="315" t="s">
        <v>420</v>
      </c>
      <c r="Q17" s="388">
        <f t="shared" si="1"/>
        <v>3</v>
      </c>
      <c r="V17" s="235">
        <v>0.0</v>
      </c>
      <c r="W17" s="235">
        <v>1.0</v>
      </c>
      <c r="X17" s="235">
        <v>0.0</v>
      </c>
      <c r="Y17" s="235">
        <v>0.0</v>
      </c>
      <c r="Z17" s="235">
        <v>0.0</v>
      </c>
      <c r="AA17" s="235">
        <v>0.0</v>
      </c>
      <c r="AB17" s="235">
        <v>1.0</v>
      </c>
      <c r="AC17" s="235">
        <v>0.0</v>
      </c>
      <c r="AD17" s="358">
        <f t="shared" si="2"/>
        <v>2</v>
      </c>
      <c r="AE17" s="358">
        <f t="shared" si="3"/>
        <v>2</v>
      </c>
    </row>
    <row r="18">
      <c r="A18" s="157">
        <v>17.0</v>
      </c>
      <c r="B18" s="157" t="s">
        <v>967</v>
      </c>
      <c r="C18" s="354">
        <v>40925.0</v>
      </c>
      <c r="D18" s="383">
        <v>1.0</v>
      </c>
      <c r="E18" s="140">
        <v>29.04</v>
      </c>
      <c r="F18" s="157">
        <v>0.0</v>
      </c>
      <c r="G18" s="157">
        <v>0.0</v>
      </c>
      <c r="H18" s="157">
        <v>0.0</v>
      </c>
      <c r="I18" s="157" t="s">
        <v>354</v>
      </c>
      <c r="J18" s="157" t="s">
        <v>354</v>
      </c>
      <c r="K18" s="386" t="s">
        <v>365</v>
      </c>
      <c r="L18" s="315" t="s">
        <v>420</v>
      </c>
      <c r="M18" s="356" t="s">
        <v>365</v>
      </c>
      <c r="N18" s="181" t="s">
        <v>389</v>
      </c>
      <c r="O18" s="144" t="s">
        <v>365</v>
      </c>
      <c r="P18" s="143" t="s">
        <v>358</v>
      </c>
      <c r="Q18" s="388">
        <f t="shared" si="1"/>
        <v>4</v>
      </c>
      <c r="V18" s="235">
        <v>1.0</v>
      </c>
      <c r="W18" s="235">
        <v>1.0</v>
      </c>
      <c r="X18" s="235">
        <v>1.0</v>
      </c>
      <c r="Y18" s="235">
        <v>0.0</v>
      </c>
      <c r="Z18" s="235">
        <v>0.0</v>
      </c>
      <c r="AA18" s="235">
        <v>0.0</v>
      </c>
      <c r="AB18" s="235">
        <v>0.0</v>
      </c>
      <c r="AC18" s="235">
        <v>0.0</v>
      </c>
      <c r="AD18" s="358">
        <f t="shared" si="2"/>
        <v>3</v>
      </c>
      <c r="AE18" s="358">
        <f t="shared" si="3"/>
        <v>3</v>
      </c>
    </row>
    <row r="19">
      <c r="A19" s="157">
        <v>18.0</v>
      </c>
      <c r="B19" s="157" t="s">
        <v>568</v>
      </c>
      <c r="C19" s="354">
        <v>40925.0</v>
      </c>
      <c r="D19" s="383">
        <v>0.0</v>
      </c>
      <c r="E19" s="157">
        <v>0.0</v>
      </c>
      <c r="F19" s="157">
        <v>0.0</v>
      </c>
      <c r="G19" s="157">
        <v>0.0</v>
      </c>
      <c r="H19" s="157">
        <v>0.0</v>
      </c>
      <c r="I19" s="157" t="s">
        <v>354</v>
      </c>
      <c r="J19" s="157" t="s">
        <v>354</v>
      </c>
      <c r="K19" s="384" t="s">
        <v>356</v>
      </c>
      <c r="L19" s="384" t="s">
        <v>354</v>
      </c>
      <c r="M19" s="368" t="s">
        <v>356</v>
      </c>
      <c r="N19" s="368" t="s">
        <v>354</v>
      </c>
      <c r="O19" s="139" t="s">
        <v>356</v>
      </c>
      <c r="P19" s="139" t="s">
        <v>354</v>
      </c>
      <c r="Q19" s="265">
        <f t="shared" si="1"/>
        <v>0</v>
      </c>
      <c r="V19" s="235">
        <v>0.0</v>
      </c>
      <c r="W19" s="235">
        <v>0.0</v>
      </c>
      <c r="X19" s="235">
        <v>0.0</v>
      </c>
      <c r="Y19" s="235">
        <v>0.0</v>
      </c>
      <c r="Z19" s="235">
        <v>0.0</v>
      </c>
      <c r="AA19" s="235">
        <v>0.0</v>
      </c>
      <c r="AB19" s="235">
        <v>0.0</v>
      </c>
      <c r="AC19" s="235">
        <v>0.0</v>
      </c>
      <c r="AD19" s="182">
        <f t="shared" si="2"/>
        <v>0</v>
      </c>
      <c r="AE19" s="182">
        <f t="shared" si="3"/>
        <v>0</v>
      </c>
    </row>
    <row r="20">
      <c r="A20" s="157">
        <v>19.0</v>
      </c>
      <c r="B20" s="157" t="s">
        <v>635</v>
      </c>
      <c r="C20" s="354">
        <v>40925.0</v>
      </c>
      <c r="D20" s="383">
        <v>1.0</v>
      </c>
      <c r="E20" s="157">
        <v>0.0</v>
      </c>
      <c r="F20" s="157">
        <v>0.0</v>
      </c>
      <c r="G20" s="157">
        <v>0.0</v>
      </c>
      <c r="H20" s="157">
        <v>0.0</v>
      </c>
      <c r="I20" s="157" t="s">
        <v>354</v>
      </c>
      <c r="J20" s="157" t="s">
        <v>354</v>
      </c>
      <c r="K20" s="386" t="s">
        <v>365</v>
      </c>
      <c r="L20" s="40" t="s">
        <v>357</v>
      </c>
      <c r="M20" s="368" t="s">
        <v>356</v>
      </c>
      <c r="N20" s="368" t="s">
        <v>354</v>
      </c>
      <c r="O20" s="144" t="s">
        <v>365</v>
      </c>
      <c r="P20" s="143" t="s">
        <v>358</v>
      </c>
      <c r="Q20" s="388">
        <f t="shared" si="1"/>
        <v>2</v>
      </c>
      <c r="V20" s="235">
        <v>0.0</v>
      </c>
      <c r="W20" s="235">
        <v>0.0</v>
      </c>
      <c r="X20" s="235">
        <v>1.0</v>
      </c>
      <c r="Y20" s="235">
        <v>0.0</v>
      </c>
      <c r="Z20" s="235">
        <v>0.0</v>
      </c>
      <c r="AA20" s="235">
        <v>1.0</v>
      </c>
      <c r="AB20" s="235">
        <v>0.0</v>
      </c>
      <c r="AC20" s="235">
        <v>0.0</v>
      </c>
      <c r="AD20" s="358">
        <f t="shared" si="2"/>
        <v>2</v>
      </c>
      <c r="AE20" s="358">
        <f t="shared" si="3"/>
        <v>2</v>
      </c>
    </row>
    <row r="21">
      <c r="A21" s="157">
        <v>20.0</v>
      </c>
      <c r="B21" s="157" t="s">
        <v>1411</v>
      </c>
      <c r="C21" s="354">
        <v>40925.0</v>
      </c>
      <c r="D21" s="383">
        <v>0.0</v>
      </c>
      <c r="E21" s="157">
        <v>0.0</v>
      </c>
      <c r="F21" s="157">
        <v>0.0</v>
      </c>
      <c r="G21" s="157">
        <v>0.0</v>
      </c>
      <c r="H21" s="157">
        <v>0.0</v>
      </c>
      <c r="I21" s="157" t="s">
        <v>354</v>
      </c>
      <c r="J21" s="157" t="s">
        <v>354</v>
      </c>
      <c r="K21" s="384" t="s">
        <v>356</v>
      </c>
      <c r="L21" s="384" t="s">
        <v>354</v>
      </c>
      <c r="M21" s="368" t="s">
        <v>356</v>
      </c>
      <c r="N21" s="368" t="s">
        <v>354</v>
      </c>
      <c r="O21" s="144" t="s">
        <v>365</v>
      </c>
      <c r="P21" s="40" t="s">
        <v>357</v>
      </c>
      <c r="Q21" s="385">
        <f t="shared" si="1"/>
        <v>1</v>
      </c>
      <c r="V21" s="235">
        <v>0.0</v>
      </c>
      <c r="W21" s="235">
        <v>0.0</v>
      </c>
      <c r="X21" s="235">
        <v>0.0</v>
      </c>
      <c r="Y21" s="235">
        <v>0.0</v>
      </c>
      <c r="Z21" s="235">
        <v>0.0</v>
      </c>
      <c r="AA21" s="235">
        <v>1.0</v>
      </c>
      <c r="AB21" s="235">
        <v>0.0</v>
      </c>
      <c r="AC21" s="235">
        <v>0.0</v>
      </c>
      <c r="AD21" s="363">
        <f t="shared" si="2"/>
        <v>1</v>
      </c>
      <c r="AE21" s="363">
        <f t="shared" si="3"/>
        <v>1</v>
      </c>
    </row>
    <row r="22">
      <c r="A22" s="157">
        <v>21.0</v>
      </c>
      <c r="B22" s="157" t="s">
        <v>1412</v>
      </c>
      <c r="C22" s="354">
        <v>40925.0</v>
      </c>
      <c r="D22" s="383">
        <v>1.0</v>
      </c>
      <c r="E22" s="157">
        <v>0.0</v>
      </c>
      <c r="F22" s="157">
        <v>0.0</v>
      </c>
      <c r="G22" s="157">
        <v>0.0</v>
      </c>
      <c r="H22" s="157">
        <v>0.0</v>
      </c>
      <c r="I22" s="157" t="s">
        <v>354</v>
      </c>
      <c r="J22" s="157" t="s">
        <v>354</v>
      </c>
      <c r="K22" s="386" t="s">
        <v>365</v>
      </c>
      <c r="L22" s="90" t="s">
        <v>413</v>
      </c>
      <c r="M22" s="356" t="s">
        <v>365</v>
      </c>
      <c r="N22" s="90" t="s">
        <v>413</v>
      </c>
      <c r="O22" s="144" t="s">
        <v>365</v>
      </c>
      <c r="P22" s="90" t="s">
        <v>413</v>
      </c>
      <c r="Q22" s="388">
        <f t="shared" si="1"/>
        <v>3</v>
      </c>
      <c r="V22" s="235">
        <v>0.0</v>
      </c>
      <c r="W22" s="235">
        <v>0.0</v>
      </c>
      <c r="X22" s="235">
        <v>0.0</v>
      </c>
      <c r="Y22" s="235">
        <v>0.0</v>
      </c>
      <c r="Z22" s="235">
        <v>3.0</v>
      </c>
      <c r="AA22" s="235">
        <v>0.0</v>
      </c>
      <c r="AB22" s="235">
        <v>0.0</v>
      </c>
      <c r="AC22" s="235">
        <v>0.0</v>
      </c>
      <c r="AD22" s="358">
        <f t="shared" si="2"/>
        <v>3</v>
      </c>
      <c r="AE22" s="358">
        <f t="shared" si="3"/>
        <v>1</v>
      </c>
    </row>
    <row r="23">
      <c r="A23" s="157">
        <v>22.0</v>
      </c>
      <c r="B23" s="157" t="s">
        <v>681</v>
      </c>
      <c r="C23" s="354">
        <v>40925.0</v>
      </c>
      <c r="D23" s="383">
        <v>1.0</v>
      </c>
      <c r="E23" s="77">
        <v>43.49</v>
      </c>
      <c r="F23" s="157">
        <v>0.0</v>
      </c>
      <c r="G23" s="157">
        <v>0.0</v>
      </c>
      <c r="H23" s="157">
        <v>0.0</v>
      </c>
      <c r="I23" s="157" t="s">
        <v>354</v>
      </c>
      <c r="J23" s="157" t="s">
        <v>354</v>
      </c>
      <c r="K23" s="386" t="s">
        <v>365</v>
      </c>
      <c r="L23" s="40" t="s">
        <v>357</v>
      </c>
      <c r="M23" s="356" t="s">
        <v>365</v>
      </c>
      <c r="N23" s="40" t="s">
        <v>357</v>
      </c>
      <c r="O23" s="144" t="s">
        <v>365</v>
      </c>
      <c r="P23" s="40" t="s">
        <v>357</v>
      </c>
      <c r="Q23" s="388">
        <f t="shared" si="1"/>
        <v>4</v>
      </c>
      <c r="V23" s="235">
        <v>0.0</v>
      </c>
      <c r="W23" s="235">
        <v>0.0</v>
      </c>
      <c r="X23" s="235">
        <v>0.0</v>
      </c>
      <c r="Y23" s="235">
        <v>0.0</v>
      </c>
      <c r="Z23" s="235">
        <v>0.0</v>
      </c>
      <c r="AA23" s="235">
        <v>3.0</v>
      </c>
      <c r="AB23" s="235">
        <v>0.0</v>
      </c>
      <c r="AC23" s="235">
        <v>0.0</v>
      </c>
      <c r="AD23" s="358">
        <f t="shared" si="2"/>
        <v>3</v>
      </c>
      <c r="AE23" s="358">
        <f t="shared" si="3"/>
        <v>1</v>
      </c>
    </row>
    <row r="24">
      <c r="A24" s="157">
        <v>23.0</v>
      </c>
      <c r="B24" s="157" t="s">
        <v>733</v>
      </c>
      <c r="C24" s="354">
        <v>40925.0</v>
      </c>
      <c r="D24" s="383">
        <v>1.0</v>
      </c>
      <c r="E24" s="157">
        <v>0.0</v>
      </c>
      <c r="F24" s="157">
        <v>0.0</v>
      </c>
      <c r="G24" s="157">
        <v>0.0</v>
      </c>
      <c r="H24" s="157">
        <v>0.0</v>
      </c>
      <c r="I24" s="157" t="s">
        <v>354</v>
      </c>
      <c r="J24" s="157" t="s">
        <v>354</v>
      </c>
      <c r="K24" s="384" t="s">
        <v>356</v>
      </c>
      <c r="L24" s="384" t="s">
        <v>354</v>
      </c>
      <c r="M24" s="368" t="s">
        <v>356</v>
      </c>
      <c r="N24" s="368" t="s">
        <v>354</v>
      </c>
      <c r="O24" s="144" t="s">
        <v>365</v>
      </c>
      <c r="P24" s="143" t="s">
        <v>358</v>
      </c>
      <c r="Q24" s="385">
        <f t="shared" si="1"/>
        <v>1</v>
      </c>
      <c r="V24" s="235">
        <v>0.0</v>
      </c>
      <c r="W24" s="235">
        <v>0.0</v>
      </c>
      <c r="X24" s="235">
        <v>1.0</v>
      </c>
      <c r="Y24" s="235">
        <v>0.0</v>
      </c>
      <c r="Z24" s="235">
        <v>0.0</v>
      </c>
      <c r="AA24" s="235">
        <v>0.0</v>
      </c>
      <c r="AB24" s="235">
        <v>0.0</v>
      </c>
      <c r="AC24" s="235">
        <v>0.0</v>
      </c>
      <c r="AD24" s="363">
        <f t="shared" si="2"/>
        <v>1</v>
      </c>
      <c r="AE24" s="363">
        <f t="shared" si="3"/>
        <v>1</v>
      </c>
    </row>
    <row r="25">
      <c r="A25" s="157">
        <v>24.0</v>
      </c>
      <c r="B25" s="157" t="s">
        <v>456</v>
      </c>
      <c r="C25" s="354">
        <v>40925.0</v>
      </c>
      <c r="D25" s="383">
        <v>1.0</v>
      </c>
      <c r="E25" s="77">
        <v>44.09</v>
      </c>
      <c r="F25" s="157">
        <v>0.0</v>
      </c>
      <c r="G25" s="157">
        <v>0.0</v>
      </c>
      <c r="H25" s="157">
        <v>0.0</v>
      </c>
      <c r="I25" s="157" t="s">
        <v>354</v>
      </c>
      <c r="J25" s="157" t="s">
        <v>354</v>
      </c>
      <c r="K25" s="386" t="s">
        <v>365</v>
      </c>
      <c r="L25" s="40" t="s">
        <v>357</v>
      </c>
      <c r="M25" s="356" t="s">
        <v>365</v>
      </c>
      <c r="N25" s="40" t="s">
        <v>357</v>
      </c>
      <c r="O25" s="144" t="s">
        <v>365</v>
      </c>
      <c r="P25" s="40" t="s">
        <v>357</v>
      </c>
      <c r="Q25" s="388">
        <f t="shared" si="1"/>
        <v>4</v>
      </c>
      <c r="V25" s="235">
        <v>0.0</v>
      </c>
      <c r="W25" s="235">
        <v>0.0</v>
      </c>
      <c r="X25" s="235">
        <v>0.0</v>
      </c>
      <c r="Y25" s="235">
        <v>0.0</v>
      </c>
      <c r="Z25" s="235">
        <v>0.0</v>
      </c>
      <c r="AA25" s="235">
        <v>3.0</v>
      </c>
      <c r="AB25" s="235">
        <v>0.0</v>
      </c>
      <c r="AC25" s="235">
        <v>0.0</v>
      </c>
      <c r="AD25" s="358">
        <f t="shared" si="2"/>
        <v>3</v>
      </c>
      <c r="AE25" s="358">
        <f t="shared" si="3"/>
        <v>1</v>
      </c>
    </row>
    <row r="26">
      <c r="A26" s="157">
        <v>25.0</v>
      </c>
      <c r="B26" s="157" t="s">
        <v>1413</v>
      </c>
      <c r="C26" s="354">
        <v>40925.0</v>
      </c>
      <c r="D26" s="383">
        <v>0.0</v>
      </c>
      <c r="E26" s="140">
        <v>36.92</v>
      </c>
      <c r="F26" s="157">
        <v>0.0</v>
      </c>
      <c r="G26" s="157">
        <v>0.0</v>
      </c>
      <c r="H26" s="157">
        <v>0.0</v>
      </c>
      <c r="I26" s="157" t="s">
        <v>354</v>
      </c>
      <c r="J26" s="157" t="s">
        <v>354</v>
      </c>
      <c r="K26" s="386" t="s">
        <v>365</v>
      </c>
      <c r="L26" s="40" t="s">
        <v>357</v>
      </c>
      <c r="M26" s="356" t="s">
        <v>365</v>
      </c>
      <c r="N26" s="40" t="s">
        <v>357</v>
      </c>
      <c r="O26" s="144" t="s">
        <v>365</v>
      </c>
      <c r="P26" s="40" t="s">
        <v>357</v>
      </c>
      <c r="Q26" s="388">
        <f t="shared" si="1"/>
        <v>4</v>
      </c>
      <c r="V26" s="235">
        <v>0.0</v>
      </c>
      <c r="W26" s="235">
        <v>0.0</v>
      </c>
      <c r="X26" s="235">
        <v>0.0</v>
      </c>
      <c r="Y26" s="235">
        <v>0.0</v>
      </c>
      <c r="Z26" s="235">
        <v>0.0</v>
      </c>
      <c r="AA26" s="235">
        <v>3.0</v>
      </c>
      <c r="AB26" s="235">
        <v>0.0</v>
      </c>
      <c r="AC26" s="235">
        <v>0.0</v>
      </c>
      <c r="AD26" s="358">
        <f t="shared" si="2"/>
        <v>3</v>
      </c>
      <c r="AE26" s="358">
        <f t="shared" si="3"/>
        <v>1</v>
      </c>
    </row>
    <row r="27">
      <c r="A27" s="157">
        <v>26.0</v>
      </c>
      <c r="B27" s="157" t="s">
        <v>993</v>
      </c>
      <c r="C27" s="354">
        <v>40925.0</v>
      </c>
      <c r="D27" s="383">
        <v>1.0</v>
      </c>
      <c r="E27" s="157">
        <v>0.0</v>
      </c>
      <c r="F27" s="157">
        <v>0.0</v>
      </c>
      <c r="G27" s="157">
        <v>0.0</v>
      </c>
      <c r="H27" s="157">
        <v>0.0</v>
      </c>
      <c r="I27" s="157" t="s">
        <v>354</v>
      </c>
      <c r="J27" s="157" t="s">
        <v>354</v>
      </c>
      <c r="K27" s="386" t="s">
        <v>365</v>
      </c>
      <c r="L27" s="90" t="s">
        <v>413</v>
      </c>
      <c r="M27" s="356" t="s">
        <v>365</v>
      </c>
      <c r="N27" s="90" t="s">
        <v>413</v>
      </c>
      <c r="O27" s="144" t="s">
        <v>365</v>
      </c>
      <c r="P27" s="90" t="s">
        <v>413</v>
      </c>
      <c r="Q27" s="388">
        <f t="shared" si="1"/>
        <v>3</v>
      </c>
      <c r="V27" s="235">
        <v>0.0</v>
      </c>
      <c r="W27" s="235">
        <v>0.0</v>
      </c>
      <c r="X27" s="235">
        <v>0.0</v>
      </c>
      <c r="Y27" s="235">
        <v>0.0</v>
      </c>
      <c r="Z27" s="235">
        <v>3.0</v>
      </c>
      <c r="AA27" s="235">
        <v>0.0</v>
      </c>
      <c r="AB27" s="235">
        <v>0.0</v>
      </c>
      <c r="AC27" s="235">
        <v>0.0</v>
      </c>
      <c r="AD27" s="358">
        <f t="shared" si="2"/>
        <v>3</v>
      </c>
      <c r="AE27" s="358">
        <f t="shared" si="3"/>
        <v>1</v>
      </c>
    </row>
    <row r="28">
      <c r="A28" s="157">
        <v>27.0</v>
      </c>
      <c r="B28" s="157" t="s">
        <v>878</v>
      </c>
      <c r="C28" s="354">
        <v>40925.0</v>
      </c>
      <c r="D28" s="383">
        <v>1.0</v>
      </c>
      <c r="E28" s="140">
        <v>28.52</v>
      </c>
      <c r="F28" s="157">
        <v>0.0</v>
      </c>
      <c r="G28" s="157">
        <v>0.0</v>
      </c>
      <c r="H28" s="157">
        <v>0.0</v>
      </c>
      <c r="I28" s="157" t="s">
        <v>354</v>
      </c>
      <c r="J28" s="157" t="s">
        <v>354</v>
      </c>
      <c r="K28" s="386" t="s">
        <v>365</v>
      </c>
      <c r="L28" s="40" t="s">
        <v>357</v>
      </c>
      <c r="M28" s="368" t="s">
        <v>356</v>
      </c>
      <c r="N28" s="368" t="s">
        <v>354</v>
      </c>
      <c r="O28" s="144" t="s">
        <v>365</v>
      </c>
      <c r="P28" s="143" t="s">
        <v>358</v>
      </c>
      <c r="Q28" s="388">
        <f t="shared" si="1"/>
        <v>3</v>
      </c>
      <c r="V28" s="235">
        <v>0.0</v>
      </c>
      <c r="W28" s="235">
        <v>0.0</v>
      </c>
      <c r="X28" s="235">
        <v>1.0</v>
      </c>
      <c r="Y28" s="235">
        <v>0.0</v>
      </c>
      <c r="Z28" s="235">
        <v>0.0</v>
      </c>
      <c r="AA28" s="235">
        <v>1.0</v>
      </c>
      <c r="AB28" s="235">
        <v>0.0</v>
      </c>
      <c r="AC28" s="235">
        <v>0.0</v>
      </c>
      <c r="AD28" s="358">
        <f t="shared" si="2"/>
        <v>2</v>
      </c>
      <c r="AE28" s="358">
        <f t="shared" si="3"/>
        <v>2</v>
      </c>
    </row>
    <row r="29">
      <c r="A29" s="157">
        <v>28.0</v>
      </c>
      <c r="B29" s="157" t="s">
        <v>832</v>
      </c>
      <c r="C29" s="354">
        <v>40925.0</v>
      </c>
      <c r="D29" s="383">
        <v>0.0</v>
      </c>
      <c r="E29" s="140">
        <v>31.32</v>
      </c>
      <c r="F29" s="157">
        <v>0.0</v>
      </c>
      <c r="G29" s="157">
        <v>0.0</v>
      </c>
      <c r="H29" s="157">
        <v>0.0</v>
      </c>
      <c r="I29" s="157" t="s">
        <v>354</v>
      </c>
      <c r="J29" s="157" t="s">
        <v>354</v>
      </c>
      <c r="K29" s="386" t="s">
        <v>365</v>
      </c>
      <c r="L29" s="90" t="s">
        <v>413</v>
      </c>
      <c r="M29" s="365" t="s">
        <v>365</v>
      </c>
      <c r="N29" s="391" t="s">
        <v>380</v>
      </c>
      <c r="O29" s="144" t="s">
        <v>365</v>
      </c>
      <c r="P29" s="143" t="s">
        <v>358</v>
      </c>
      <c r="Q29" s="388">
        <f t="shared" si="1"/>
        <v>4</v>
      </c>
      <c r="V29" s="235">
        <v>0.0</v>
      </c>
      <c r="W29" s="235">
        <v>0.0</v>
      </c>
      <c r="X29" s="235">
        <v>1.0</v>
      </c>
      <c r="Y29" s="235">
        <v>0.0</v>
      </c>
      <c r="Z29" s="235">
        <v>1.0</v>
      </c>
      <c r="AA29" s="235">
        <v>0.0</v>
      </c>
      <c r="AB29" s="235">
        <v>1.0</v>
      </c>
      <c r="AC29" s="235">
        <v>0.0</v>
      </c>
      <c r="AD29" s="358">
        <f t="shared" si="2"/>
        <v>3</v>
      </c>
      <c r="AE29" s="358">
        <f t="shared" si="3"/>
        <v>3</v>
      </c>
    </row>
    <row r="30">
      <c r="A30" s="157">
        <v>29.0</v>
      </c>
      <c r="B30" s="157" t="s">
        <v>934</v>
      </c>
      <c r="C30" s="354">
        <v>40925.0</v>
      </c>
      <c r="D30" s="383">
        <v>1.0</v>
      </c>
      <c r="E30" s="140">
        <v>28.24</v>
      </c>
      <c r="F30" s="157">
        <v>0.0</v>
      </c>
      <c r="G30" s="157">
        <v>0.0</v>
      </c>
      <c r="H30" s="157">
        <v>0.0</v>
      </c>
      <c r="I30" s="157" t="s">
        <v>354</v>
      </c>
      <c r="J30" s="157" t="s">
        <v>354</v>
      </c>
      <c r="K30" s="389" t="s">
        <v>365</v>
      </c>
      <c r="L30" s="390" t="s">
        <v>380</v>
      </c>
      <c r="M30" s="356" t="s">
        <v>365</v>
      </c>
      <c r="N30" s="368" t="s">
        <v>1414</v>
      </c>
      <c r="O30" s="144" t="s">
        <v>365</v>
      </c>
      <c r="P30" s="143" t="s">
        <v>358</v>
      </c>
      <c r="Q30" s="388">
        <f t="shared" si="1"/>
        <v>4</v>
      </c>
      <c r="V30" s="235">
        <v>0.0</v>
      </c>
      <c r="W30" s="235">
        <v>0.0</v>
      </c>
      <c r="X30" s="235">
        <v>1.0</v>
      </c>
      <c r="Y30" s="235">
        <v>0.0</v>
      </c>
      <c r="Z30" s="235">
        <v>1.0</v>
      </c>
      <c r="AA30" s="235">
        <v>1.0</v>
      </c>
      <c r="AB30" s="235">
        <v>1.0</v>
      </c>
      <c r="AC30" s="235">
        <v>0.0</v>
      </c>
      <c r="AD30" s="358">
        <f t="shared" si="2"/>
        <v>4</v>
      </c>
      <c r="AE30" s="358">
        <f t="shared" si="3"/>
        <v>4</v>
      </c>
    </row>
    <row r="31">
      <c r="A31" s="157">
        <v>30.0</v>
      </c>
      <c r="B31" s="157" t="s">
        <v>1398</v>
      </c>
      <c r="C31" s="354">
        <v>40925.0</v>
      </c>
      <c r="D31" s="383" t="s">
        <v>354</v>
      </c>
      <c r="E31" s="157">
        <v>0.0</v>
      </c>
      <c r="F31" s="157">
        <v>0.0</v>
      </c>
      <c r="G31" s="157">
        <v>0.0</v>
      </c>
      <c r="H31" s="157">
        <v>0.0</v>
      </c>
      <c r="I31" s="157" t="s">
        <v>354</v>
      </c>
      <c r="J31" s="157" t="s">
        <v>354</v>
      </c>
      <c r="K31" s="384" t="s">
        <v>356</v>
      </c>
      <c r="L31" s="384" t="s">
        <v>354</v>
      </c>
      <c r="M31" s="368" t="s">
        <v>356</v>
      </c>
      <c r="N31" s="368" t="s">
        <v>354</v>
      </c>
      <c r="O31" s="139" t="s">
        <v>356</v>
      </c>
      <c r="P31" s="139" t="s">
        <v>354</v>
      </c>
      <c r="Q31" s="265">
        <f t="shared" si="1"/>
        <v>0</v>
      </c>
      <c r="V31" s="235"/>
      <c r="W31" s="235"/>
      <c r="X31" s="235"/>
      <c r="Y31" s="235"/>
      <c r="Z31" s="235"/>
      <c r="AA31" s="235"/>
      <c r="AB31" s="235"/>
      <c r="AC31" s="235"/>
      <c r="AD31" s="182"/>
      <c r="AE31" s="182"/>
    </row>
    <row r="32">
      <c r="A32" s="157">
        <v>31.0</v>
      </c>
      <c r="B32" s="157" t="s">
        <v>538</v>
      </c>
      <c r="C32" s="354">
        <v>40925.0</v>
      </c>
      <c r="D32" s="383">
        <v>1.0</v>
      </c>
      <c r="E32" s="157">
        <v>0.0</v>
      </c>
      <c r="F32" s="157">
        <v>0.0</v>
      </c>
      <c r="G32" s="157">
        <v>0.0</v>
      </c>
      <c r="H32" s="157">
        <v>0.0</v>
      </c>
      <c r="I32" s="157" t="s">
        <v>354</v>
      </c>
      <c r="J32" s="157" t="s">
        <v>354</v>
      </c>
      <c r="K32" s="386" t="s">
        <v>365</v>
      </c>
      <c r="L32" s="40" t="s">
        <v>357</v>
      </c>
      <c r="M32" s="356" t="s">
        <v>365</v>
      </c>
      <c r="N32" s="40" t="s">
        <v>357</v>
      </c>
      <c r="O32" s="387" t="s">
        <v>361</v>
      </c>
      <c r="P32" s="387" t="s">
        <v>361</v>
      </c>
      <c r="Q32" s="388">
        <f t="shared" si="1"/>
        <v>2</v>
      </c>
      <c r="V32" s="235">
        <v>0.0</v>
      </c>
      <c r="W32" s="235">
        <v>0.0</v>
      </c>
      <c r="X32" s="235">
        <v>0.0</v>
      </c>
      <c r="Y32" s="235">
        <v>0.0</v>
      </c>
      <c r="Z32" s="235">
        <v>0.0</v>
      </c>
      <c r="AA32" s="235">
        <v>2.0</v>
      </c>
      <c r="AB32" s="235">
        <v>0.0</v>
      </c>
      <c r="AC32" s="235">
        <v>0.0</v>
      </c>
      <c r="AD32" s="358">
        <f t="shared" ref="AD32:AD52" si="4">sum(V32:AC32)</f>
        <v>2</v>
      </c>
      <c r="AE32" s="358">
        <f t="shared" ref="AE32:AE52" si="5">countif(V32:AC32,"&gt;0")</f>
        <v>1</v>
      </c>
    </row>
    <row r="33">
      <c r="A33" s="157">
        <v>32.0</v>
      </c>
      <c r="B33" s="157" t="s">
        <v>759</v>
      </c>
      <c r="C33" s="354">
        <v>40925.0</v>
      </c>
      <c r="D33" s="383">
        <v>1.0</v>
      </c>
      <c r="E33" s="157">
        <v>0.0</v>
      </c>
      <c r="F33" s="157">
        <v>0.0</v>
      </c>
      <c r="G33" s="157">
        <v>0.0</v>
      </c>
      <c r="H33" s="157">
        <v>0.0</v>
      </c>
      <c r="I33" s="157" t="s">
        <v>354</v>
      </c>
      <c r="J33" s="157" t="s">
        <v>354</v>
      </c>
      <c r="K33" s="384" t="s">
        <v>356</v>
      </c>
      <c r="L33" s="384" t="s">
        <v>354</v>
      </c>
      <c r="M33" s="368" t="s">
        <v>356</v>
      </c>
      <c r="N33" s="368" t="s">
        <v>354</v>
      </c>
      <c r="O33" s="139" t="s">
        <v>356</v>
      </c>
      <c r="P33" s="139" t="s">
        <v>354</v>
      </c>
      <c r="Q33" s="265">
        <f t="shared" si="1"/>
        <v>0</v>
      </c>
      <c r="V33" s="235">
        <v>0.0</v>
      </c>
      <c r="W33" s="235">
        <v>0.0</v>
      </c>
      <c r="X33" s="235">
        <v>0.0</v>
      </c>
      <c r="Y33" s="235">
        <v>0.0</v>
      </c>
      <c r="Z33" s="235">
        <v>0.0</v>
      </c>
      <c r="AA33" s="235">
        <v>0.0</v>
      </c>
      <c r="AB33" s="235">
        <v>0.0</v>
      </c>
      <c r="AC33" s="235">
        <v>0.0</v>
      </c>
      <c r="AD33" s="182">
        <f t="shared" si="4"/>
        <v>0</v>
      </c>
      <c r="AE33" s="182">
        <f t="shared" si="5"/>
        <v>0</v>
      </c>
    </row>
    <row r="34">
      <c r="A34" s="157">
        <v>33.0</v>
      </c>
      <c r="B34" s="157" t="s">
        <v>581</v>
      </c>
      <c r="C34" s="354">
        <v>40925.0</v>
      </c>
      <c r="D34" s="383">
        <v>1.0</v>
      </c>
      <c r="E34" s="140">
        <v>31.15</v>
      </c>
      <c r="F34" s="157">
        <v>0.0</v>
      </c>
      <c r="G34" s="157">
        <v>0.0</v>
      </c>
      <c r="H34" s="157">
        <v>0.0</v>
      </c>
      <c r="I34" s="157" t="s">
        <v>354</v>
      </c>
      <c r="J34" s="157" t="s">
        <v>354</v>
      </c>
      <c r="K34" s="386" t="s">
        <v>365</v>
      </c>
      <c r="L34" s="90" t="s">
        <v>413</v>
      </c>
      <c r="M34" s="365" t="s">
        <v>365</v>
      </c>
      <c r="N34" s="366" t="s">
        <v>387</v>
      </c>
      <c r="O34" s="144" t="s">
        <v>365</v>
      </c>
      <c r="P34" s="143" t="s">
        <v>358</v>
      </c>
      <c r="Q34" s="388">
        <f t="shared" si="1"/>
        <v>4</v>
      </c>
      <c r="V34" s="235">
        <v>0.0</v>
      </c>
      <c r="W34" s="235">
        <v>0.0</v>
      </c>
      <c r="X34" s="235">
        <v>1.0</v>
      </c>
      <c r="Y34" s="235">
        <v>0.0</v>
      </c>
      <c r="Z34" s="235">
        <v>1.0</v>
      </c>
      <c r="AA34" s="235">
        <v>0.0</v>
      </c>
      <c r="AB34" s="235">
        <v>0.0</v>
      </c>
      <c r="AC34" s="235">
        <v>1.0</v>
      </c>
      <c r="AD34" s="358">
        <f t="shared" si="4"/>
        <v>3</v>
      </c>
      <c r="AE34" s="358">
        <f t="shared" si="5"/>
        <v>3</v>
      </c>
    </row>
    <row r="35">
      <c r="A35" s="157">
        <v>34.0</v>
      </c>
      <c r="B35" s="157" t="s">
        <v>718</v>
      </c>
      <c r="C35" s="354">
        <v>40925.0</v>
      </c>
      <c r="D35" s="383">
        <v>1.0</v>
      </c>
      <c r="E35" s="140">
        <v>30.94</v>
      </c>
      <c r="F35" s="157">
        <v>0.0</v>
      </c>
      <c r="G35" s="157">
        <v>0.0</v>
      </c>
      <c r="H35" s="157">
        <v>0.0</v>
      </c>
      <c r="I35" s="157" t="s">
        <v>354</v>
      </c>
      <c r="J35" s="157" t="s">
        <v>354</v>
      </c>
      <c r="K35" s="386" t="s">
        <v>365</v>
      </c>
      <c r="L35" s="90" t="s">
        <v>413</v>
      </c>
      <c r="M35" s="392" t="s">
        <v>361</v>
      </c>
      <c r="N35" s="392" t="s">
        <v>361</v>
      </c>
      <c r="O35" s="144" t="s">
        <v>365</v>
      </c>
      <c r="P35" s="162" t="s">
        <v>363</v>
      </c>
      <c r="Q35" s="388">
        <f t="shared" si="1"/>
        <v>3</v>
      </c>
      <c r="V35" s="235">
        <v>0.0</v>
      </c>
      <c r="W35" s="235">
        <v>0.0</v>
      </c>
      <c r="X35" s="235">
        <v>0.0</v>
      </c>
      <c r="Y35" s="235">
        <v>1.0</v>
      </c>
      <c r="Z35" s="235">
        <v>1.0</v>
      </c>
      <c r="AA35" s="235">
        <v>0.0</v>
      </c>
      <c r="AB35" s="235">
        <v>0.0</v>
      </c>
      <c r="AC35" s="235">
        <v>0.0</v>
      </c>
      <c r="AD35" s="358">
        <f t="shared" si="4"/>
        <v>2</v>
      </c>
      <c r="AE35" s="358">
        <f t="shared" si="5"/>
        <v>2</v>
      </c>
    </row>
    <row r="36">
      <c r="A36" s="157">
        <v>35.0</v>
      </c>
      <c r="B36" s="157" t="s">
        <v>841</v>
      </c>
      <c r="C36" s="354">
        <v>40925.0</v>
      </c>
      <c r="D36" s="383">
        <v>1.0</v>
      </c>
      <c r="E36" s="157">
        <v>0.0</v>
      </c>
      <c r="F36" s="157">
        <v>0.0</v>
      </c>
      <c r="G36" s="157">
        <v>0.0</v>
      </c>
      <c r="H36" s="157">
        <v>0.0</v>
      </c>
      <c r="I36" s="157" t="s">
        <v>354</v>
      </c>
      <c r="J36" s="157" t="s">
        <v>354</v>
      </c>
      <c r="K36" s="386" t="s">
        <v>365</v>
      </c>
      <c r="L36" s="40" t="s">
        <v>357</v>
      </c>
      <c r="M36" s="368" t="s">
        <v>356</v>
      </c>
      <c r="N36" s="368" t="s">
        <v>354</v>
      </c>
      <c r="O36" s="144" t="s">
        <v>365</v>
      </c>
      <c r="P36" s="162" t="s">
        <v>363</v>
      </c>
      <c r="Q36" s="388">
        <f t="shared" si="1"/>
        <v>2</v>
      </c>
      <c r="V36" s="235">
        <v>0.0</v>
      </c>
      <c r="W36" s="235">
        <v>0.0</v>
      </c>
      <c r="X36" s="235">
        <v>0.0</v>
      </c>
      <c r="Y36" s="235">
        <v>1.0</v>
      </c>
      <c r="Z36" s="235">
        <v>0.0</v>
      </c>
      <c r="AA36" s="235">
        <v>1.0</v>
      </c>
      <c r="AB36" s="235">
        <v>0.0</v>
      </c>
      <c r="AC36" s="235">
        <v>0.0</v>
      </c>
      <c r="AD36" s="358">
        <f t="shared" si="4"/>
        <v>2</v>
      </c>
      <c r="AE36" s="358">
        <f t="shared" si="5"/>
        <v>2</v>
      </c>
    </row>
    <row r="37">
      <c r="A37" s="157">
        <v>36.0</v>
      </c>
      <c r="B37" s="157" t="s">
        <v>785</v>
      </c>
      <c r="C37" s="354">
        <v>40925.0</v>
      </c>
      <c r="D37" s="383">
        <v>0.0</v>
      </c>
      <c r="E37" s="140">
        <v>30.6</v>
      </c>
      <c r="F37" s="157">
        <v>0.0</v>
      </c>
      <c r="G37" s="157">
        <v>0.0</v>
      </c>
      <c r="H37" s="157">
        <v>0.0</v>
      </c>
      <c r="I37" s="157" t="s">
        <v>354</v>
      </c>
      <c r="J37" s="157" t="s">
        <v>354</v>
      </c>
      <c r="K37" s="386" t="s">
        <v>365</v>
      </c>
      <c r="L37" s="90" t="s">
        <v>413</v>
      </c>
      <c r="M37" s="356" t="s">
        <v>365</v>
      </c>
      <c r="N37" s="90" t="s">
        <v>413</v>
      </c>
      <c r="O37" s="144" t="s">
        <v>365</v>
      </c>
      <c r="P37" s="143" t="s">
        <v>358</v>
      </c>
      <c r="Q37" s="388">
        <f t="shared" si="1"/>
        <v>4</v>
      </c>
      <c r="V37" s="235">
        <v>0.0</v>
      </c>
      <c r="W37" s="235">
        <v>0.0</v>
      </c>
      <c r="X37" s="235">
        <v>1.0</v>
      </c>
      <c r="Y37" s="235">
        <v>0.0</v>
      </c>
      <c r="Z37" s="235">
        <v>2.0</v>
      </c>
      <c r="AA37" s="235">
        <v>0.0</v>
      </c>
      <c r="AB37" s="235">
        <v>0.0</v>
      </c>
      <c r="AC37" s="235">
        <v>0.0</v>
      </c>
      <c r="AD37" s="358">
        <f t="shared" si="4"/>
        <v>3</v>
      </c>
      <c r="AE37" s="358">
        <f t="shared" si="5"/>
        <v>2</v>
      </c>
    </row>
    <row r="38">
      <c r="A38" s="157">
        <v>37.0</v>
      </c>
      <c r="B38" s="157" t="s">
        <v>647</v>
      </c>
      <c r="C38" s="354">
        <v>40925.0</v>
      </c>
      <c r="D38" s="383">
        <v>1.0</v>
      </c>
      <c r="E38" s="140">
        <v>28.04</v>
      </c>
      <c r="F38" s="157">
        <v>0.0</v>
      </c>
      <c r="G38" s="157">
        <v>0.0</v>
      </c>
      <c r="H38" s="157">
        <v>0.0</v>
      </c>
      <c r="I38" s="157" t="s">
        <v>354</v>
      </c>
      <c r="J38" s="157" t="s">
        <v>354</v>
      </c>
      <c r="K38" s="386" t="s">
        <v>365</v>
      </c>
      <c r="L38" s="315" t="s">
        <v>420</v>
      </c>
      <c r="M38" s="392" t="s">
        <v>361</v>
      </c>
      <c r="N38" s="392" t="s">
        <v>361</v>
      </c>
      <c r="O38" s="144" t="s">
        <v>365</v>
      </c>
      <c r="P38" s="315" t="s">
        <v>420</v>
      </c>
      <c r="Q38" s="388">
        <f t="shared" si="1"/>
        <v>3</v>
      </c>
      <c r="V38" s="235">
        <v>0.0</v>
      </c>
      <c r="W38" s="235">
        <v>2.0</v>
      </c>
      <c r="X38" s="235">
        <v>0.0</v>
      </c>
      <c r="Y38" s="235">
        <v>0.0</v>
      </c>
      <c r="Z38" s="235">
        <v>0.0</v>
      </c>
      <c r="AA38" s="235">
        <v>0.0</v>
      </c>
      <c r="AB38" s="235">
        <v>0.0</v>
      </c>
      <c r="AC38" s="235">
        <v>0.0</v>
      </c>
      <c r="AD38" s="358">
        <f t="shared" si="4"/>
        <v>2</v>
      </c>
      <c r="AE38" s="358">
        <f t="shared" si="5"/>
        <v>1</v>
      </c>
    </row>
    <row r="39">
      <c r="A39" s="157">
        <v>38.0</v>
      </c>
      <c r="B39" s="157" t="s">
        <v>868</v>
      </c>
      <c r="C39" s="354">
        <v>40925.0</v>
      </c>
      <c r="D39" s="383">
        <v>1.0</v>
      </c>
      <c r="E39" s="140">
        <v>34.6</v>
      </c>
      <c r="F39" s="157">
        <v>0.0</v>
      </c>
      <c r="G39" s="157">
        <v>0.0</v>
      </c>
      <c r="H39" s="157">
        <v>0.0</v>
      </c>
      <c r="I39" s="157" t="s">
        <v>354</v>
      </c>
      <c r="J39" s="157" t="s">
        <v>354</v>
      </c>
      <c r="K39" s="386" t="s">
        <v>365</v>
      </c>
      <c r="L39" s="143" t="s">
        <v>358</v>
      </c>
      <c r="M39" s="365" t="s">
        <v>365</v>
      </c>
      <c r="N39" s="366" t="s">
        <v>387</v>
      </c>
      <c r="O39" s="387" t="s">
        <v>361</v>
      </c>
      <c r="P39" s="387" t="s">
        <v>361</v>
      </c>
      <c r="Q39" s="388">
        <f t="shared" si="1"/>
        <v>3</v>
      </c>
      <c r="V39" s="235">
        <v>0.0</v>
      </c>
      <c r="W39" s="235">
        <v>0.0</v>
      </c>
      <c r="X39" s="235">
        <v>1.0</v>
      </c>
      <c r="Y39" s="235">
        <v>0.0</v>
      </c>
      <c r="Z39" s="235">
        <v>0.0</v>
      </c>
      <c r="AA39" s="235">
        <v>0.0</v>
      </c>
      <c r="AB39" s="235">
        <v>0.0</v>
      </c>
      <c r="AC39" s="235">
        <v>1.0</v>
      </c>
      <c r="AD39" s="358">
        <f t="shared" si="4"/>
        <v>2</v>
      </c>
      <c r="AE39" s="358">
        <f t="shared" si="5"/>
        <v>2</v>
      </c>
    </row>
    <row r="40">
      <c r="A40" s="157">
        <v>39.0</v>
      </c>
      <c r="B40" s="157" t="s">
        <v>663</v>
      </c>
      <c r="C40" s="354">
        <v>40925.0</v>
      </c>
      <c r="D40" s="383">
        <v>1.0</v>
      </c>
      <c r="E40" s="157">
        <v>0.0</v>
      </c>
      <c r="F40" s="157">
        <v>0.0</v>
      </c>
      <c r="G40" s="157">
        <v>0.0</v>
      </c>
      <c r="H40" s="157">
        <v>0.0</v>
      </c>
      <c r="I40" s="157" t="s">
        <v>354</v>
      </c>
      <c r="J40" s="157" t="s">
        <v>354</v>
      </c>
      <c r="K40" s="386" t="s">
        <v>365</v>
      </c>
      <c r="L40" s="90" t="s">
        <v>413</v>
      </c>
      <c r="M40" s="356" t="s">
        <v>365</v>
      </c>
      <c r="N40" s="162" t="s">
        <v>363</v>
      </c>
      <c r="O40" s="144" t="s">
        <v>365</v>
      </c>
      <c r="P40" s="162" t="s">
        <v>363</v>
      </c>
      <c r="Q40" s="388">
        <f t="shared" si="1"/>
        <v>3</v>
      </c>
      <c r="V40" s="235">
        <v>0.0</v>
      </c>
      <c r="W40" s="235">
        <v>0.0</v>
      </c>
      <c r="X40" s="235">
        <v>0.0</v>
      </c>
      <c r="Y40" s="235">
        <v>2.0</v>
      </c>
      <c r="Z40" s="235">
        <v>1.0</v>
      </c>
      <c r="AA40" s="235">
        <v>0.0</v>
      </c>
      <c r="AB40" s="235">
        <v>0.0</v>
      </c>
      <c r="AC40" s="235">
        <v>0.0</v>
      </c>
      <c r="AD40" s="358">
        <f t="shared" si="4"/>
        <v>3</v>
      </c>
      <c r="AE40" s="358">
        <f t="shared" si="5"/>
        <v>2</v>
      </c>
    </row>
    <row r="41">
      <c r="A41" s="157">
        <v>40.0</v>
      </c>
      <c r="B41" s="157" t="s">
        <v>447</v>
      </c>
      <c r="C41" s="354">
        <v>40925.0</v>
      </c>
      <c r="D41" s="383">
        <v>1.0</v>
      </c>
      <c r="E41" s="157">
        <v>0.0</v>
      </c>
      <c r="F41" s="157">
        <v>0.0</v>
      </c>
      <c r="G41" s="157">
        <v>0.0</v>
      </c>
      <c r="H41" s="157">
        <v>0.0</v>
      </c>
      <c r="I41" s="157" t="s">
        <v>354</v>
      </c>
      <c r="J41" s="157" t="s">
        <v>354</v>
      </c>
      <c r="K41" s="384" t="s">
        <v>356</v>
      </c>
      <c r="L41" s="384" t="s">
        <v>354</v>
      </c>
      <c r="M41" s="365" t="s">
        <v>365</v>
      </c>
      <c r="N41" s="366" t="s">
        <v>387</v>
      </c>
      <c r="O41" s="144" t="s">
        <v>365</v>
      </c>
      <c r="P41" s="143" t="s">
        <v>358</v>
      </c>
      <c r="Q41" s="388">
        <f t="shared" si="1"/>
        <v>2</v>
      </c>
      <c r="V41" s="235">
        <v>0.0</v>
      </c>
      <c r="W41" s="235">
        <v>0.0</v>
      </c>
      <c r="X41" s="235">
        <v>1.0</v>
      </c>
      <c r="Y41" s="235">
        <v>0.0</v>
      </c>
      <c r="Z41" s="235">
        <v>0.0</v>
      </c>
      <c r="AA41" s="235">
        <v>0.0</v>
      </c>
      <c r="AB41" s="235">
        <v>0.0</v>
      </c>
      <c r="AC41" s="235">
        <v>1.0</v>
      </c>
      <c r="AD41" s="358">
        <f t="shared" si="4"/>
        <v>2</v>
      </c>
      <c r="AE41" s="358">
        <f t="shared" si="5"/>
        <v>2</v>
      </c>
    </row>
    <row r="42">
      <c r="A42" s="157">
        <v>41.0</v>
      </c>
      <c r="B42" s="157" t="s">
        <v>697</v>
      </c>
      <c r="C42" s="354">
        <v>40925.0</v>
      </c>
      <c r="D42" s="383">
        <v>1.0</v>
      </c>
      <c r="E42" s="157">
        <v>0.0</v>
      </c>
      <c r="F42" s="157">
        <v>0.0</v>
      </c>
      <c r="G42" s="157">
        <v>0.0</v>
      </c>
      <c r="H42" s="157">
        <v>0.0</v>
      </c>
      <c r="I42" s="157" t="s">
        <v>354</v>
      </c>
      <c r="J42" s="157" t="s">
        <v>354</v>
      </c>
      <c r="K42" s="384" t="s">
        <v>356</v>
      </c>
      <c r="L42" s="384" t="s">
        <v>354</v>
      </c>
      <c r="M42" s="368" t="s">
        <v>356</v>
      </c>
      <c r="N42" s="368" t="s">
        <v>354</v>
      </c>
      <c r="O42" s="144" t="s">
        <v>365</v>
      </c>
      <c r="P42" s="143" t="s">
        <v>358</v>
      </c>
      <c r="Q42" s="385">
        <f t="shared" si="1"/>
        <v>1</v>
      </c>
      <c r="V42" s="235">
        <v>0.0</v>
      </c>
      <c r="W42" s="235">
        <v>0.0</v>
      </c>
      <c r="X42" s="235">
        <v>1.0</v>
      </c>
      <c r="Y42" s="235">
        <v>0.0</v>
      </c>
      <c r="Z42" s="235">
        <v>0.0</v>
      </c>
      <c r="AA42" s="235">
        <v>0.0</v>
      </c>
      <c r="AB42" s="235">
        <v>0.0</v>
      </c>
      <c r="AC42" s="235">
        <v>0.0</v>
      </c>
      <c r="AD42" s="363">
        <f t="shared" si="4"/>
        <v>1</v>
      </c>
      <c r="AE42" s="363">
        <f t="shared" si="5"/>
        <v>1</v>
      </c>
    </row>
    <row r="43">
      <c r="A43" s="157">
        <v>42.0</v>
      </c>
      <c r="B43" s="157" t="s">
        <v>1276</v>
      </c>
      <c r="C43" s="354">
        <v>40925.0</v>
      </c>
      <c r="D43" s="383">
        <v>1.0</v>
      </c>
      <c r="E43" s="140">
        <v>30.25</v>
      </c>
      <c r="F43" s="157">
        <v>0.0</v>
      </c>
      <c r="G43" s="157">
        <v>0.0</v>
      </c>
      <c r="H43" s="157">
        <v>0.0</v>
      </c>
      <c r="I43" s="157" t="s">
        <v>354</v>
      </c>
      <c r="J43" s="157" t="s">
        <v>354</v>
      </c>
      <c r="K43" s="386" t="s">
        <v>365</v>
      </c>
      <c r="L43" s="40" t="s">
        <v>357</v>
      </c>
      <c r="M43" s="356" t="s">
        <v>365</v>
      </c>
      <c r="N43" s="40" t="s">
        <v>357</v>
      </c>
      <c r="O43" s="144" t="s">
        <v>365</v>
      </c>
      <c r="P43" s="40" t="s">
        <v>357</v>
      </c>
      <c r="Q43" s="388">
        <f t="shared" si="1"/>
        <v>4</v>
      </c>
      <c r="V43" s="235">
        <v>0.0</v>
      </c>
      <c r="W43" s="235">
        <v>0.0</v>
      </c>
      <c r="X43" s="235">
        <v>0.0</v>
      </c>
      <c r="Y43" s="235">
        <v>0.0</v>
      </c>
      <c r="Z43" s="235">
        <v>0.0</v>
      </c>
      <c r="AA43" s="235">
        <v>3.0</v>
      </c>
      <c r="AB43" s="235">
        <v>0.0</v>
      </c>
      <c r="AC43" s="235">
        <v>0.0</v>
      </c>
      <c r="AD43" s="358">
        <f t="shared" si="4"/>
        <v>3</v>
      </c>
      <c r="AE43" s="358">
        <f t="shared" si="5"/>
        <v>1</v>
      </c>
    </row>
    <row r="44">
      <c r="A44" s="157">
        <v>43.0</v>
      </c>
      <c r="B44" s="157" t="s">
        <v>1053</v>
      </c>
      <c r="C44" s="354">
        <v>40925.0</v>
      </c>
      <c r="D44" s="383">
        <v>1.0</v>
      </c>
      <c r="E44" s="140">
        <v>32.1</v>
      </c>
      <c r="F44" s="157">
        <v>0.0</v>
      </c>
      <c r="G44" s="157">
        <v>0.0</v>
      </c>
      <c r="H44" s="140">
        <v>38.41</v>
      </c>
      <c r="I44" s="157" t="s">
        <v>356</v>
      </c>
      <c r="J44" s="157" t="s">
        <v>354</v>
      </c>
      <c r="K44" s="386" t="s">
        <v>365</v>
      </c>
      <c r="L44" s="90" t="s">
        <v>413</v>
      </c>
      <c r="M44" s="356" t="s">
        <v>365</v>
      </c>
      <c r="N44" s="90" t="s">
        <v>413</v>
      </c>
      <c r="O44" s="144" t="s">
        <v>365</v>
      </c>
      <c r="P44" s="40" t="s">
        <v>357</v>
      </c>
      <c r="Q44" s="388">
        <f t="shared" si="1"/>
        <v>4</v>
      </c>
      <c r="V44" s="235">
        <v>0.0</v>
      </c>
      <c r="W44" s="235">
        <v>0.0</v>
      </c>
      <c r="X44" s="235">
        <v>0.0</v>
      </c>
      <c r="Y44" s="235">
        <v>0.0</v>
      </c>
      <c r="Z44" s="235">
        <v>2.0</v>
      </c>
      <c r="AA44" s="235">
        <v>1.0</v>
      </c>
      <c r="AB44" s="235">
        <v>0.0</v>
      </c>
      <c r="AC44" s="235">
        <v>0.0</v>
      </c>
      <c r="AD44" s="358">
        <f t="shared" si="4"/>
        <v>3</v>
      </c>
      <c r="AE44" s="358">
        <f t="shared" si="5"/>
        <v>2</v>
      </c>
    </row>
    <row r="45">
      <c r="A45" s="157">
        <v>44.0</v>
      </c>
      <c r="B45" s="157" t="s">
        <v>929</v>
      </c>
      <c r="C45" s="354">
        <v>40925.0</v>
      </c>
      <c r="D45" s="383">
        <v>1.0</v>
      </c>
      <c r="E45" s="157">
        <v>0.0</v>
      </c>
      <c r="F45" s="157">
        <v>0.0</v>
      </c>
      <c r="G45" s="157">
        <v>0.0</v>
      </c>
      <c r="H45" s="157">
        <v>0.0</v>
      </c>
      <c r="I45" s="157" t="s">
        <v>354</v>
      </c>
      <c r="J45" s="157" t="s">
        <v>354</v>
      </c>
      <c r="K45" s="384" t="s">
        <v>356</v>
      </c>
      <c r="L45" s="384" t="s">
        <v>354</v>
      </c>
      <c r="M45" s="365" t="s">
        <v>365</v>
      </c>
      <c r="N45" s="391" t="s">
        <v>380</v>
      </c>
      <c r="O45" s="144" t="s">
        <v>365</v>
      </c>
      <c r="P45" s="162" t="s">
        <v>363</v>
      </c>
      <c r="Q45" s="388">
        <f t="shared" si="1"/>
        <v>2</v>
      </c>
      <c r="V45" s="235">
        <v>0.0</v>
      </c>
      <c r="W45" s="235">
        <v>0.0</v>
      </c>
      <c r="X45" s="235">
        <v>0.0</v>
      </c>
      <c r="Y45" s="235">
        <v>1.0</v>
      </c>
      <c r="Z45" s="235">
        <v>0.0</v>
      </c>
      <c r="AA45" s="235">
        <v>0.0</v>
      </c>
      <c r="AB45" s="235">
        <v>1.0</v>
      </c>
      <c r="AC45" s="235">
        <v>0.0</v>
      </c>
      <c r="AD45" s="358">
        <f t="shared" si="4"/>
        <v>2</v>
      </c>
      <c r="AE45" s="358">
        <f t="shared" si="5"/>
        <v>2</v>
      </c>
    </row>
    <row r="46">
      <c r="A46" s="157">
        <v>45.0</v>
      </c>
      <c r="B46" s="157" t="s">
        <v>778</v>
      </c>
      <c r="C46" s="354">
        <v>40925.0</v>
      </c>
      <c r="D46" s="383">
        <v>1.0</v>
      </c>
      <c r="E46" s="140">
        <v>31.41</v>
      </c>
      <c r="F46" s="157">
        <v>0.0</v>
      </c>
      <c r="G46" s="157">
        <v>0.0</v>
      </c>
      <c r="H46" s="157">
        <v>0.0</v>
      </c>
      <c r="I46" s="157" t="s">
        <v>354</v>
      </c>
      <c r="J46" s="157" t="s">
        <v>354</v>
      </c>
      <c r="K46" s="386" t="s">
        <v>365</v>
      </c>
      <c r="L46" s="90" t="s">
        <v>413</v>
      </c>
      <c r="M46" s="356" t="s">
        <v>365</v>
      </c>
      <c r="N46" s="90" t="s">
        <v>413</v>
      </c>
      <c r="O46" s="144" t="s">
        <v>365</v>
      </c>
      <c r="P46" s="143" t="s">
        <v>358</v>
      </c>
      <c r="Q46" s="388">
        <f t="shared" si="1"/>
        <v>4</v>
      </c>
      <c r="V46" s="235">
        <v>0.0</v>
      </c>
      <c r="W46" s="235">
        <v>0.0</v>
      </c>
      <c r="X46" s="235">
        <v>1.0</v>
      </c>
      <c r="Y46" s="235">
        <v>0.0</v>
      </c>
      <c r="Z46" s="235">
        <v>2.0</v>
      </c>
      <c r="AA46" s="235">
        <v>0.0</v>
      </c>
      <c r="AB46" s="235">
        <v>0.0</v>
      </c>
      <c r="AC46" s="235">
        <v>0.0</v>
      </c>
      <c r="AD46" s="358">
        <f t="shared" si="4"/>
        <v>3</v>
      </c>
      <c r="AE46" s="358">
        <f t="shared" si="5"/>
        <v>2</v>
      </c>
    </row>
    <row r="47">
      <c r="A47" s="157">
        <v>46.0</v>
      </c>
      <c r="B47" s="157" t="s">
        <v>850</v>
      </c>
      <c r="C47" s="354">
        <v>40925.0</v>
      </c>
      <c r="D47" s="383">
        <v>1.0</v>
      </c>
      <c r="E47" s="140">
        <v>30.03</v>
      </c>
      <c r="F47" s="157">
        <v>0.0</v>
      </c>
      <c r="G47" s="157">
        <v>0.0</v>
      </c>
      <c r="H47" s="157">
        <v>0.0</v>
      </c>
      <c r="I47" s="157" t="s">
        <v>354</v>
      </c>
      <c r="J47" s="157" t="s">
        <v>354</v>
      </c>
      <c r="K47" s="386" t="s">
        <v>365</v>
      </c>
      <c r="L47" s="315" t="s">
        <v>420</v>
      </c>
      <c r="M47" s="356" t="s">
        <v>365</v>
      </c>
      <c r="N47" s="315" t="s">
        <v>420</v>
      </c>
      <c r="O47" s="144" t="s">
        <v>365</v>
      </c>
      <c r="P47" s="143" t="s">
        <v>358</v>
      </c>
      <c r="Q47" s="388">
        <f t="shared" si="1"/>
        <v>4</v>
      </c>
      <c r="V47" s="235">
        <v>0.0</v>
      </c>
      <c r="W47" s="235">
        <v>2.0</v>
      </c>
      <c r="X47" s="235">
        <v>1.0</v>
      </c>
      <c r="Y47" s="235">
        <v>0.0</v>
      </c>
      <c r="Z47" s="235">
        <v>0.0</v>
      </c>
      <c r="AA47" s="235">
        <v>0.0</v>
      </c>
      <c r="AB47" s="235">
        <v>0.0</v>
      </c>
      <c r="AC47" s="235">
        <v>0.0</v>
      </c>
      <c r="AD47" s="358">
        <f t="shared" si="4"/>
        <v>3</v>
      </c>
      <c r="AE47" s="358">
        <f t="shared" si="5"/>
        <v>2</v>
      </c>
    </row>
    <row r="48">
      <c r="A48" s="157">
        <v>47.0</v>
      </c>
      <c r="B48" s="157" t="s">
        <v>399</v>
      </c>
      <c r="C48" s="354">
        <v>40925.0</v>
      </c>
      <c r="D48" s="383">
        <v>1.0</v>
      </c>
      <c r="E48" s="140">
        <v>32.2</v>
      </c>
      <c r="F48" s="157">
        <v>0.0</v>
      </c>
      <c r="G48" s="157">
        <v>0.0</v>
      </c>
      <c r="H48" s="157">
        <v>0.0</v>
      </c>
      <c r="I48" s="157" t="s">
        <v>354</v>
      </c>
      <c r="J48" s="157" t="s">
        <v>354</v>
      </c>
      <c r="K48" s="386" t="s">
        <v>365</v>
      </c>
      <c r="L48" s="40" t="s">
        <v>357</v>
      </c>
      <c r="M48" s="356" t="s">
        <v>365</v>
      </c>
      <c r="N48" s="40" t="s">
        <v>357</v>
      </c>
      <c r="O48" s="387" t="s">
        <v>361</v>
      </c>
      <c r="P48" s="387" t="s">
        <v>361</v>
      </c>
      <c r="Q48" s="388">
        <f t="shared" si="1"/>
        <v>3</v>
      </c>
      <c r="V48" s="235">
        <v>0.0</v>
      </c>
      <c r="W48" s="235">
        <v>0.0</v>
      </c>
      <c r="X48" s="235">
        <v>0.0</v>
      </c>
      <c r="Y48" s="235">
        <v>0.0</v>
      </c>
      <c r="Z48" s="235">
        <v>0.0</v>
      </c>
      <c r="AA48" s="235">
        <v>2.0</v>
      </c>
      <c r="AB48" s="235">
        <v>0.0</v>
      </c>
      <c r="AC48" s="235">
        <v>0.0</v>
      </c>
      <c r="AD48" s="358">
        <f t="shared" si="4"/>
        <v>2</v>
      </c>
      <c r="AE48" s="358">
        <f t="shared" si="5"/>
        <v>1</v>
      </c>
    </row>
    <row r="49">
      <c r="A49" s="157">
        <v>48.0</v>
      </c>
      <c r="B49" s="157" t="s">
        <v>944</v>
      </c>
      <c r="C49" s="354">
        <v>40925.0</v>
      </c>
      <c r="D49" s="383">
        <v>1.0</v>
      </c>
      <c r="E49" s="157">
        <v>0.0</v>
      </c>
      <c r="F49" s="157">
        <v>0.0</v>
      </c>
      <c r="G49" s="157">
        <v>0.0</v>
      </c>
      <c r="H49" s="157">
        <v>0.0</v>
      </c>
      <c r="I49" s="157" t="s">
        <v>354</v>
      </c>
      <c r="J49" s="157" t="s">
        <v>354</v>
      </c>
      <c r="K49" s="386" t="s">
        <v>365</v>
      </c>
      <c r="L49" s="40" t="s">
        <v>357</v>
      </c>
      <c r="M49" s="368" t="s">
        <v>356</v>
      </c>
      <c r="N49" s="368" t="s">
        <v>354</v>
      </c>
      <c r="O49" s="144" t="s">
        <v>365</v>
      </c>
      <c r="P49" s="40" t="s">
        <v>357</v>
      </c>
      <c r="Q49" s="388">
        <f t="shared" si="1"/>
        <v>2</v>
      </c>
      <c r="V49" s="235">
        <v>0.0</v>
      </c>
      <c r="W49" s="235">
        <v>0.0</v>
      </c>
      <c r="X49" s="235">
        <v>0.0</v>
      </c>
      <c r="Y49" s="235">
        <v>0.0</v>
      </c>
      <c r="Z49" s="235">
        <v>0.0</v>
      </c>
      <c r="AA49" s="235">
        <v>2.0</v>
      </c>
      <c r="AB49" s="235">
        <v>0.0</v>
      </c>
      <c r="AC49" s="235">
        <v>0.0</v>
      </c>
      <c r="AD49" s="358">
        <f t="shared" si="4"/>
        <v>2</v>
      </c>
      <c r="AE49" s="358">
        <f t="shared" si="5"/>
        <v>1</v>
      </c>
    </row>
    <row r="50">
      <c r="A50" s="157">
        <v>49.0</v>
      </c>
      <c r="B50" s="157" t="s">
        <v>670</v>
      </c>
      <c r="C50" s="354">
        <v>40925.0</v>
      </c>
      <c r="D50" s="383">
        <v>1.0</v>
      </c>
      <c r="E50" s="140">
        <v>23.31</v>
      </c>
      <c r="F50" s="157">
        <v>0.0</v>
      </c>
      <c r="G50" s="157">
        <v>0.0</v>
      </c>
      <c r="H50" s="157">
        <v>0.0</v>
      </c>
      <c r="I50" s="157" t="s">
        <v>354</v>
      </c>
      <c r="J50" s="157" t="s">
        <v>354</v>
      </c>
      <c r="K50" s="386" t="s">
        <v>365</v>
      </c>
      <c r="L50" s="90" t="s">
        <v>413</v>
      </c>
      <c r="M50" s="392" t="s">
        <v>361</v>
      </c>
      <c r="N50" s="392" t="s">
        <v>361</v>
      </c>
      <c r="O50" s="144" t="s">
        <v>365</v>
      </c>
      <c r="P50" s="40" t="s">
        <v>357</v>
      </c>
      <c r="Q50" s="388">
        <f t="shared" si="1"/>
        <v>3</v>
      </c>
      <c r="V50" s="235">
        <v>0.0</v>
      </c>
      <c r="W50" s="235">
        <v>0.0</v>
      </c>
      <c r="X50" s="235">
        <v>0.0</v>
      </c>
      <c r="Y50" s="235">
        <v>0.0</v>
      </c>
      <c r="Z50" s="235">
        <v>1.0</v>
      </c>
      <c r="AA50" s="235">
        <v>1.0</v>
      </c>
      <c r="AB50" s="235">
        <v>0.0</v>
      </c>
      <c r="AC50" s="235">
        <v>0.0</v>
      </c>
      <c r="AD50" s="358">
        <f t="shared" si="4"/>
        <v>2</v>
      </c>
      <c r="AE50" s="358">
        <f t="shared" si="5"/>
        <v>2</v>
      </c>
    </row>
    <row r="51">
      <c r="A51" s="157">
        <v>50.0</v>
      </c>
      <c r="B51" s="157" t="s">
        <v>922</v>
      </c>
      <c r="C51" s="354">
        <v>40925.0</v>
      </c>
      <c r="D51" s="383">
        <v>1.0</v>
      </c>
      <c r="E51" s="157">
        <v>0.0</v>
      </c>
      <c r="F51" s="157">
        <v>0.0</v>
      </c>
      <c r="G51" s="157">
        <v>0.0</v>
      </c>
      <c r="H51" s="157">
        <v>0.0</v>
      </c>
      <c r="I51" s="157" t="s">
        <v>354</v>
      </c>
      <c r="J51" s="157" t="s">
        <v>354</v>
      </c>
      <c r="K51" s="384" t="s">
        <v>356</v>
      </c>
      <c r="L51" s="384" t="s">
        <v>354</v>
      </c>
      <c r="M51" s="368" t="s">
        <v>356</v>
      </c>
      <c r="N51" s="368" t="s">
        <v>354</v>
      </c>
      <c r="O51" s="139" t="s">
        <v>356</v>
      </c>
      <c r="P51" s="139" t="s">
        <v>354</v>
      </c>
      <c r="Q51" s="265">
        <f t="shared" si="1"/>
        <v>0</v>
      </c>
      <c r="V51" s="235">
        <v>0.0</v>
      </c>
      <c r="W51" s="235">
        <v>0.0</v>
      </c>
      <c r="X51" s="235">
        <v>0.0</v>
      </c>
      <c r="Y51" s="235">
        <v>0.0</v>
      </c>
      <c r="Z51" s="235">
        <v>0.0</v>
      </c>
      <c r="AA51" s="235">
        <v>0.0</v>
      </c>
      <c r="AB51" s="235">
        <v>0.0</v>
      </c>
      <c r="AC51" s="235">
        <v>0.0</v>
      </c>
      <c r="AD51" s="182">
        <f t="shared" si="4"/>
        <v>0</v>
      </c>
      <c r="AE51" s="182">
        <f t="shared" si="5"/>
        <v>0</v>
      </c>
    </row>
    <row r="52">
      <c r="A52" s="157">
        <v>51.0</v>
      </c>
      <c r="B52" s="157" t="s">
        <v>1415</v>
      </c>
      <c r="C52" s="354">
        <v>40925.0</v>
      </c>
      <c r="D52" s="383">
        <v>1.0</v>
      </c>
      <c r="E52" s="140">
        <v>27.27</v>
      </c>
      <c r="F52" s="157">
        <v>0.0</v>
      </c>
      <c r="G52" s="157">
        <v>0.0</v>
      </c>
      <c r="H52" s="157">
        <v>0.0</v>
      </c>
      <c r="I52" s="157" t="s">
        <v>354</v>
      </c>
      <c r="J52" s="157" t="s">
        <v>354</v>
      </c>
      <c r="K52" s="386" t="s">
        <v>365</v>
      </c>
      <c r="L52" s="90" t="s">
        <v>413</v>
      </c>
      <c r="M52" s="356" t="s">
        <v>365</v>
      </c>
      <c r="N52" s="40" t="s">
        <v>357</v>
      </c>
      <c r="O52" s="144" t="s">
        <v>365</v>
      </c>
      <c r="P52" s="143" t="s">
        <v>358</v>
      </c>
      <c r="Q52" s="388">
        <f t="shared" si="1"/>
        <v>4</v>
      </c>
      <c r="V52" s="235">
        <v>0.0</v>
      </c>
      <c r="W52" s="235">
        <v>0.0</v>
      </c>
      <c r="X52" s="235">
        <v>1.0</v>
      </c>
      <c r="Y52" s="235">
        <v>0.0</v>
      </c>
      <c r="Z52" s="235">
        <v>1.0</v>
      </c>
      <c r="AA52" s="235">
        <v>1.0</v>
      </c>
      <c r="AB52" s="235">
        <v>0.0</v>
      </c>
      <c r="AC52" s="235">
        <v>0.0</v>
      </c>
      <c r="AD52" s="358">
        <f t="shared" si="4"/>
        <v>3</v>
      </c>
      <c r="AE52" s="358">
        <f t="shared" si="5"/>
        <v>3</v>
      </c>
    </row>
    <row r="53">
      <c r="A53" s="157">
        <v>52.0</v>
      </c>
      <c r="B53" s="157" t="s">
        <v>1398</v>
      </c>
      <c r="C53" s="354">
        <v>40925.0</v>
      </c>
      <c r="D53" s="383" t="s">
        <v>354</v>
      </c>
      <c r="E53" s="157">
        <v>0.0</v>
      </c>
      <c r="F53" s="157">
        <v>0.0</v>
      </c>
      <c r="G53" s="157">
        <v>0.0</v>
      </c>
      <c r="H53" s="157">
        <v>0.0</v>
      </c>
      <c r="I53" s="157" t="s">
        <v>354</v>
      </c>
      <c r="J53" s="157" t="s">
        <v>354</v>
      </c>
      <c r="K53" s="384" t="s">
        <v>356</v>
      </c>
      <c r="L53" s="384" t="s">
        <v>354</v>
      </c>
      <c r="M53" s="368" t="s">
        <v>356</v>
      </c>
      <c r="N53" s="368" t="s">
        <v>354</v>
      </c>
      <c r="O53" s="139" t="s">
        <v>356</v>
      </c>
      <c r="P53" s="139" t="s">
        <v>354</v>
      </c>
      <c r="Q53" s="265">
        <f t="shared" si="1"/>
        <v>0</v>
      </c>
    </row>
    <row r="54">
      <c r="A54" s="157" t="s">
        <v>356</v>
      </c>
      <c r="B54" s="157" t="s">
        <v>354</v>
      </c>
      <c r="C54" s="157" t="s">
        <v>354</v>
      </c>
      <c r="D54" s="383" t="s">
        <v>354</v>
      </c>
      <c r="E54" s="157">
        <v>0.0</v>
      </c>
      <c r="F54" s="157">
        <v>0.0</v>
      </c>
      <c r="G54" s="157">
        <v>0.0</v>
      </c>
      <c r="H54" s="157">
        <v>0.0</v>
      </c>
      <c r="I54" s="157" t="s">
        <v>354</v>
      </c>
      <c r="J54" s="157" t="s">
        <v>354</v>
      </c>
      <c r="K54" s="384" t="s">
        <v>356</v>
      </c>
      <c r="L54" s="384" t="s">
        <v>354</v>
      </c>
      <c r="M54" s="368" t="s">
        <v>356</v>
      </c>
      <c r="N54" s="368" t="s">
        <v>354</v>
      </c>
      <c r="O54" s="139" t="s">
        <v>356</v>
      </c>
      <c r="P54" s="139" t="s">
        <v>354</v>
      </c>
      <c r="Q54" s="265">
        <f t="shared" si="1"/>
        <v>0</v>
      </c>
      <c r="U54" s="235" t="s">
        <v>1405</v>
      </c>
      <c r="V54" s="182">
        <f t="shared" ref="V54:AC54" si="6">sum(V2:V52)</f>
        <v>1</v>
      </c>
      <c r="W54" s="182">
        <f t="shared" si="6"/>
        <v>7</v>
      </c>
      <c r="X54" s="182">
        <f t="shared" si="6"/>
        <v>21</v>
      </c>
      <c r="Y54" s="182">
        <f t="shared" si="6"/>
        <v>9</v>
      </c>
      <c r="Z54" s="182">
        <f t="shared" si="6"/>
        <v>25</v>
      </c>
      <c r="AA54" s="182">
        <f t="shared" si="6"/>
        <v>42</v>
      </c>
      <c r="AB54" s="182">
        <f t="shared" si="6"/>
        <v>5</v>
      </c>
      <c r="AC54" s="182">
        <f t="shared" si="6"/>
        <v>6</v>
      </c>
      <c r="AD54" s="182">
        <f>sum(V54:AC54)</f>
        <v>116</v>
      </c>
    </row>
    <row r="55">
      <c r="A55" s="157" t="s">
        <v>365</v>
      </c>
      <c r="B55" s="157" t="s">
        <v>354</v>
      </c>
      <c r="C55" s="157" t="s">
        <v>354</v>
      </c>
      <c r="D55" s="383" t="s">
        <v>354</v>
      </c>
      <c r="E55" s="140">
        <v>16.59</v>
      </c>
      <c r="F55" s="140">
        <v>26.16</v>
      </c>
      <c r="G55" s="157">
        <v>0.0</v>
      </c>
      <c r="H55" s="140">
        <v>33.11</v>
      </c>
      <c r="I55" s="140" t="s">
        <v>365</v>
      </c>
      <c r="J55" s="157" t="s">
        <v>1399</v>
      </c>
      <c r="K55" s="386" t="s">
        <v>365</v>
      </c>
      <c r="L55" s="359" t="s">
        <v>1400</v>
      </c>
      <c r="M55" s="356" t="s">
        <v>365</v>
      </c>
      <c r="N55" s="368" t="s">
        <v>1400</v>
      </c>
      <c r="O55" s="144" t="s">
        <v>365</v>
      </c>
      <c r="P55" s="139" t="s">
        <v>1400</v>
      </c>
      <c r="Q55" s="265">
        <f t="shared" si="1"/>
        <v>4</v>
      </c>
      <c r="U55" s="235" t="s">
        <v>1406</v>
      </c>
      <c r="V55" s="379">
        <f t="shared" ref="V55:AD55" si="7">V54/$AD$54</f>
        <v>0.008620689655</v>
      </c>
      <c r="W55" s="379">
        <f t="shared" si="7"/>
        <v>0.06034482759</v>
      </c>
      <c r="X55" s="379">
        <f t="shared" si="7"/>
        <v>0.1810344828</v>
      </c>
      <c r="Y55" s="379">
        <f t="shared" si="7"/>
        <v>0.0775862069</v>
      </c>
      <c r="Z55" s="379">
        <f t="shared" si="7"/>
        <v>0.2155172414</v>
      </c>
      <c r="AA55" s="379">
        <f t="shared" si="7"/>
        <v>0.3620689655</v>
      </c>
      <c r="AB55" s="379">
        <f t="shared" si="7"/>
        <v>0.04310344828</v>
      </c>
      <c r="AC55" s="379">
        <f t="shared" si="7"/>
        <v>0.05172413793</v>
      </c>
      <c r="AD55" s="380">
        <f t="shared" si="7"/>
        <v>1</v>
      </c>
    </row>
    <row r="57">
      <c r="D57" s="265"/>
      <c r="E57" s="265">
        <f>sum(countif(E2:E30,"&gt;0"),countif(E32:E52,"&gt;0"))</f>
        <v>28</v>
      </c>
      <c r="H57" s="265">
        <f>sum(countif(H2:H30,"&gt;0"),countif(H32:H52,"&gt;0"))</f>
        <v>3</v>
      </c>
      <c r="I57" s="265"/>
      <c r="J57" s="265"/>
      <c r="K57" s="265">
        <f>sum(countif(K2:K30,"POS"),countif(K32:K52,"POS"))</f>
        <v>38</v>
      </c>
      <c r="M57" s="265">
        <f>sum(countif(M2:M30,"POS"),countif(M32:M52,"POS"))</f>
        <v>35</v>
      </c>
      <c r="O57" s="265">
        <f>sum(countif(O2:O30,"POS"),countif(O32:O52,"POS"))</f>
        <v>42</v>
      </c>
      <c r="Q57" s="372">
        <f>sum(countif($Q$2:$Q$30,"&gt;0"),countif($Q$32:$Q$52,"&gt;0"))</f>
        <v>47</v>
      </c>
      <c r="R57" s="372">
        <f>sum(countif($Q$2:$Q$30,"&gt;1"),countif($Q$32:$Q$52,"&gt;1"))</f>
        <v>42</v>
      </c>
      <c r="S57" s="372">
        <f>sum(countif($Q$2:$Q$30,"&gt;2"),countif($Q$32:$Q$52,"&gt;2"))</f>
        <v>33</v>
      </c>
      <c r="T57" s="372">
        <f>sum(countif($Q$2:$Q$30,"&gt;3"),countif($Q$32:$Q$52,"&gt;3"))</f>
        <v>21</v>
      </c>
      <c r="U57" s="373">
        <f>sum(countif(AE2:AE30,"&gt;1"),countif(AE32:AE52,"&gt;1"))</f>
        <v>28</v>
      </c>
    </row>
    <row r="58">
      <c r="D58" s="265"/>
      <c r="E58" s="265">
        <f>count($A$2:$A$30,$A$32:$A$52)</f>
        <v>50</v>
      </c>
      <c r="H58" s="265">
        <f>count($A$2:$A$30,$A$32:$A$52)</f>
        <v>50</v>
      </c>
      <c r="I58" s="265"/>
      <c r="J58" s="265"/>
      <c r="K58" s="265">
        <f>count($A$2:$A$30,$A$32:$A$52)</f>
        <v>50</v>
      </c>
      <c r="M58" s="265">
        <f>count($A$2:$A$30,$A$32:$A$52)</f>
        <v>50</v>
      </c>
      <c r="O58" s="265">
        <f>count($A$2:$A$30,$A$32:$A$52)</f>
        <v>50</v>
      </c>
      <c r="Q58" s="373">
        <f t="shared" ref="Q58:T58" si="8">count($A$2:$A$30,$A$32:$A$52)</f>
        <v>50</v>
      </c>
      <c r="R58" s="373">
        <f t="shared" si="8"/>
        <v>50</v>
      </c>
      <c r="S58" s="373">
        <f t="shared" si="8"/>
        <v>50</v>
      </c>
      <c r="T58" s="373">
        <f t="shared" si="8"/>
        <v>50</v>
      </c>
      <c r="U58" s="373">
        <f>Q58</f>
        <v>50</v>
      </c>
    </row>
    <row r="59">
      <c r="D59" s="265"/>
      <c r="E59" s="265">
        <f>E57/E58</f>
        <v>0.56</v>
      </c>
      <c r="H59" s="265">
        <f>H57/H58</f>
        <v>0.06</v>
      </c>
      <c r="I59" s="265"/>
      <c r="J59" s="265"/>
      <c r="K59" s="265">
        <f>K57/K58</f>
        <v>0.76</v>
      </c>
      <c r="M59" s="265">
        <f>M57/M58</f>
        <v>0.7</v>
      </c>
      <c r="O59" s="265">
        <f>O57/O58</f>
        <v>0.84</v>
      </c>
      <c r="Q59" s="375">
        <f t="shared" ref="Q59:U59" si="9">Q57/Q58</f>
        <v>0.94</v>
      </c>
      <c r="R59" s="375">
        <f t="shared" si="9"/>
        <v>0.84</v>
      </c>
      <c r="S59" s="376">
        <f t="shared" si="9"/>
        <v>0.66</v>
      </c>
      <c r="T59" s="376">
        <f t="shared" si="9"/>
        <v>0.42</v>
      </c>
      <c r="U59" s="377">
        <f t="shared" si="9"/>
        <v>0.56</v>
      </c>
    </row>
    <row r="60">
      <c r="Q60" s="372" t="s">
        <v>1401</v>
      </c>
      <c r="R60" s="372" t="s">
        <v>1402</v>
      </c>
      <c r="S60" s="372" t="s">
        <v>1403</v>
      </c>
      <c r="T60" s="378" t="s">
        <v>1404</v>
      </c>
      <c r="U60" s="373" t="s">
        <v>1376</v>
      </c>
    </row>
    <row r="62">
      <c r="U62" s="157" t="s">
        <v>1375</v>
      </c>
      <c r="V62" s="265">
        <f t="shared" ref="V62:AC62" si="10">countif(V2:V52,"&gt;0")</f>
        <v>1</v>
      </c>
      <c r="W62" s="265">
        <f t="shared" si="10"/>
        <v>5</v>
      </c>
      <c r="X62" s="265">
        <f t="shared" si="10"/>
        <v>21</v>
      </c>
      <c r="Y62" s="265">
        <f t="shared" si="10"/>
        <v>6</v>
      </c>
      <c r="Z62" s="265">
        <f t="shared" si="10"/>
        <v>17</v>
      </c>
      <c r="AA62" s="265">
        <f t="shared" si="10"/>
        <v>23</v>
      </c>
      <c r="AB62" s="265">
        <f t="shared" si="10"/>
        <v>5</v>
      </c>
      <c r="AC62" s="265">
        <f t="shared" si="10"/>
        <v>6</v>
      </c>
      <c r="AD62" s="265">
        <f t="shared" ref="AD62:AD63" si="12">sum(V62:AC62)</f>
        <v>84</v>
      </c>
    </row>
    <row r="63">
      <c r="T63">
        <f>correl(V54:AC54,V62:AC62)</f>
        <v>0.9345962493</v>
      </c>
      <c r="U63" s="157" t="s">
        <v>1406</v>
      </c>
      <c r="V63" s="300">
        <f t="shared" ref="V63:AC63" si="11">V62/$AD$62</f>
        <v>0.0119047619</v>
      </c>
      <c r="W63" s="300">
        <f t="shared" si="11"/>
        <v>0.05952380952</v>
      </c>
      <c r="X63" s="300">
        <f t="shared" si="11"/>
        <v>0.25</v>
      </c>
      <c r="Y63" s="300">
        <f t="shared" si="11"/>
        <v>0.07142857143</v>
      </c>
      <c r="Z63" s="300">
        <f t="shared" si="11"/>
        <v>0.2023809524</v>
      </c>
      <c r="AA63" s="300">
        <f t="shared" si="11"/>
        <v>0.2738095238</v>
      </c>
      <c r="AB63" s="300">
        <f t="shared" si="11"/>
        <v>0.05952380952</v>
      </c>
      <c r="AC63" s="300">
        <f t="shared" si="11"/>
        <v>0.07142857143</v>
      </c>
      <c r="AD63" s="265">
        <f t="shared" si="12"/>
        <v>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393" t="s">
        <v>1416</v>
      </c>
      <c r="B1" s="393" t="s">
        <v>1417</v>
      </c>
      <c r="C1" s="331" t="s">
        <v>1418</v>
      </c>
      <c r="D1" s="331" t="s">
        <v>1419</v>
      </c>
      <c r="E1" s="331" t="s">
        <v>1420</v>
      </c>
      <c r="F1" s="331" t="s">
        <v>1421</v>
      </c>
    </row>
    <row r="2">
      <c r="A2" s="394" t="s">
        <v>697</v>
      </c>
      <c r="B2" s="337">
        <v>1.0</v>
      </c>
      <c r="C2" s="178">
        <v>2.0</v>
      </c>
      <c r="D2" s="178">
        <v>0.0</v>
      </c>
      <c r="E2">
        <f t="shared" ref="E2:E51" si="1">sum(C2:D2)</f>
        <v>2</v>
      </c>
      <c r="F2" s="178" t="s">
        <v>694</v>
      </c>
    </row>
    <row r="3">
      <c r="A3" s="394" t="s">
        <v>549</v>
      </c>
      <c r="B3" s="395">
        <v>1.0</v>
      </c>
      <c r="C3" s="178">
        <v>2.0</v>
      </c>
      <c r="D3" s="178">
        <v>0.0</v>
      </c>
      <c r="E3">
        <f t="shared" si="1"/>
        <v>2</v>
      </c>
      <c r="F3" s="178" t="s">
        <v>117</v>
      </c>
    </row>
    <row r="4">
      <c r="A4" s="394" t="s">
        <v>1412</v>
      </c>
      <c r="B4" s="395">
        <v>1.0</v>
      </c>
      <c r="C4" s="178">
        <v>3.0</v>
      </c>
      <c r="D4" s="178">
        <v>0.0</v>
      </c>
      <c r="E4">
        <f t="shared" si="1"/>
        <v>3</v>
      </c>
      <c r="F4" s="178" t="s">
        <v>1056</v>
      </c>
    </row>
    <row r="5">
      <c r="A5" s="394" t="s">
        <v>670</v>
      </c>
      <c r="B5" s="337">
        <v>1.0</v>
      </c>
      <c r="C5" s="178">
        <v>3.0</v>
      </c>
      <c r="D5" s="178">
        <v>0.0</v>
      </c>
      <c r="E5">
        <f t="shared" si="1"/>
        <v>3</v>
      </c>
      <c r="F5" s="178" t="s">
        <v>666</v>
      </c>
    </row>
    <row r="6">
      <c r="A6" s="394" t="s">
        <v>778</v>
      </c>
      <c r="B6" s="337">
        <v>1.0</v>
      </c>
      <c r="C6" s="178">
        <v>1.0</v>
      </c>
      <c r="D6" s="178">
        <v>0.0</v>
      </c>
      <c r="E6">
        <f t="shared" si="1"/>
        <v>1</v>
      </c>
      <c r="F6" s="178" t="s">
        <v>1422</v>
      </c>
    </row>
    <row r="7">
      <c r="A7" s="394" t="s">
        <v>878</v>
      </c>
      <c r="B7" s="395">
        <v>1.0</v>
      </c>
      <c r="C7" s="178">
        <v>1.0</v>
      </c>
      <c r="D7" s="178">
        <v>0.0</v>
      </c>
      <c r="E7">
        <f t="shared" si="1"/>
        <v>1</v>
      </c>
      <c r="F7" s="178" t="s">
        <v>250</v>
      </c>
    </row>
    <row r="8">
      <c r="A8" s="394" t="s">
        <v>832</v>
      </c>
      <c r="B8" s="395">
        <v>0.0</v>
      </c>
      <c r="C8" s="178">
        <v>0.0</v>
      </c>
      <c r="D8" s="178">
        <v>0.0</v>
      </c>
      <c r="E8">
        <f t="shared" si="1"/>
        <v>0</v>
      </c>
    </row>
    <row r="9">
      <c r="A9" s="394" t="s">
        <v>456</v>
      </c>
      <c r="B9" s="395">
        <v>1.0</v>
      </c>
      <c r="C9" s="178">
        <v>1.0</v>
      </c>
      <c r="D9" s="178">
        <v>0.0</v>
      </c>
      <c r="E9">
        <f t="shared" si="1"/>
        <v>1</v>
      </c>
      <c r="F9" s="178" t="s">
        <v>66</v>
      </c>
    </row>
    <row r="10">
      <c r="A10" s="394" t="s">
        <v>868</v>
      </c>
      <c r="B10" s="337">
        <v>1.0</v>
      </c>
      <c r="C10" s="178">
        <v>3.0</v>
      </c>
      <c r="D10" s="178">
        <v>0.0</v>
      </c>
      <c r="E10">
        <f t="shared" si="1"/>
        <v>3</v>
      </c>
      <c r="F10" s="178" t="s">
        <v>863</v>
      </c>
    </row>
    <row r="11">
      <c r="A11" s="394" t="s">
        <v>663</v>
      </c>
      <c r="B11" s="337">
        <v>1.0</v>
      </c>
      <c r="C11" s="178">
        <v>4.0</v>
      </c>
      <c r="D11" s="178">
        <v>10.0</v>
      </c>
      <c r="E11">
        <f t="shared" si="1"/>
        <v>14</v>
      </c>
      <c r="F11" s="178" t="s">
        <v>171</v>
      </c>
    </row>
    <row r="12">
      <c r="A12" s="394" t="s">
        <v>1053</v>
      </c>
      <c r="B12" s="337">
        <v>1.0</v>
      </c>
      <c r="C12" s="178">
        <v>1.0</v>
      </c>
      <c r="D12" s="178">
        <v>0.0</v>
      </c>
      <c r="E12">
        <f t="shared" si="1"/>
        <v>1</v>
      </c>
      <c r="F12" s="178" t="s">
        <v>1050</v>
      </c>
    </row>
    <row r="13">
      <c r="A13" s="394" t="s">
        <v>1415</v>
      </c>
      <c r="B13" s="337">
        <v>1.0</v>
      </c>
      <c r="C13" s="178">
        <v>0.0</v>
      </c>
      <c r="D13" s="178">
        <v>4.0</v>
      </c>
      <c r="E13">
        <f t="shared" si="1"/>
        <v>4</v>
      </c>
    </row>
    <row r="14">
      <c r="A14" s="394" t="s">
        <v>841</v>
      </c>
      <c r="B14" s="337">
        <v>1.0</v>
      </c>
      <c r="C14" s="178">
        <v>1.0</v>
      </c>
      <c r="D14" s="178">
        <v>1.0</v>
      </c>
      <c r="E14">
        <f t="shared" si="1"/>
        <v>2</v>
      </c>
      <c r="F14" s="178" t="s">
        <v>1423</v>
      </c>
    </row>
    <row r="15">
      <c r="A15" s="394" t="s">
        <v>998</v>
      </c>
      <c r="B15" s="395">
        <v>1.0</v>
      </c>
      <c r="C15" s="178">
        <v>1.0</v>
      </c>
      <c r="D15" s="178">
        <v>1.0</v>
      </c>
      <c r="E15">
        <f t="shared" si="1"/>
        <v>2</v>
      </c>
      <c r="F15" s="178" t="s">
        <v>999</v>
      </c>
    </row>
    <row r="16">
      <c r="A16" s="394" t="s">
        <v>967</v>
      </c>
      <c r="B16" s="395">
        <v>1.0</v>
      </c>
      <c r="C16" s="178">
        <v>1.0</v>
      </c>
      <c r="D16" s="178">
        <v>0.0</v>
      </c>
      <c r="E16">
        <f t="shared" si="1"/>
        <v>1</v>
      </c>
      <c r="F16" s="178" t="s">
        <v>968</v>
      </c>
    </row>
    <row r="17">
      <c r="A17" s="394" t="s">
        <v>647</v>
      </c>
      <c r="B17" s="337">
        <v>1.0</v>
      </c>
      <c r="C17" s="178">
        <v>3.0</v>
      </c>
      <c r="D17" s="178">
        <v>0.0</v>
      </c>
      <c r="E17">
        <f t="shared" si="1"/>
        <v>3</v>
      </c>
      <c r="F17" s="178" t="s">
        <v>161</v>
      </c>
    </row>
    <row r="18">
      <c r="A18" s="394" t="s">
        <v>1035</v>
      </c>
      <c r="B18" s="395">
        <v>1.0</v>
      </c>
      <c r="C18" s="178">
        <v>1.0</v>
      </c>
      <c r="D18" s="178">
        <v>0.0</v>
      </c>
      <c r="E18">
        <f t="shared" si="1"/>
        <v>1</v>
      </c>
      <c r="F18" s="178" t="s">
        <v>1036</v>
      </c>
    </row>
    <row r="19">
      <c r="A19" s="396" t="s">
        <v>1424</v>
      </c>
      <c r="B19" s="395">
        <v>0.0</v>
      </c>
      <c r="C19" s="178">
        <v>0.0</v>
      </c>
      <c r="D19" s="178">
        <v>0.0</v>
      </c>
      <c r="E19">
        <f t="shared" si="1"/>
        <v>0</v>
      </c>
    </row>
    <row r="20">
      <c r="A20" s="394" t="s">
        <v>399</v>
      </c>
      <c r="B20" s="337">
        <v>1.0</v>
      </c>
      <c r="C20" s="178">
        <v>1.0</v>
      </c>
      <c r="D20" s="178">
        <v>0.0</v>
      </c>
      <c r="E20">
        <f t="shared" si="1"/>
        <v>1</v>
      </c>
      <c r="F20" s="178" t="s">
        <v>587</v>
      </c>
    </row>
    <row r="21">
      <c r="A21" s="394" t="s">
        <v>1411</v>
      </c>
      <c r="B21" s="395">
        <v>0.0</v>
      </c>
      <c r="C21" s="178">
        <v>0.0</v>
      </c>
      <c r="D21" s="178">
        <v>0.0</v>
      </c>
      <c r="E21">
        <f t="shared" si="1"/>
        <v>0</v>
      </c>
    </row>
    <row r="22">
      <c r="A22" s="394" t="s">
        <v>944</v>
      </c>
      <c r="B22" s="337">
        <v>1.0</v>
      </c>
      <c r="C22" s="178">
        <v>1.0</v>
      </c>
      <c r="D22" s="178">
        <v>0.0</v>
      </c>
      <c r="E22">
        <f t="shared" si="1"/>
        <v>1</v>
      </c>
      <c r="F22" s="178" t="s">
        <v>939</v>
      </c>
    </row>
    <row r="23">
      <c r="A23" s="394" t="s">
        <v>1413</v>
      </c>
      <c r="B23" s="395">
        <v>0.0</v>
      </c>
      <c r="C23" s="178">
        <v>0.0</v>
      </c>
      <c r="D23" s="178">
        <v>0.0</v>
      </c>
      <c r="E23">
        <f t="shared" si="1"/>
        <v>0</v>
      </c>
    </row>
    <row r="24">
      <c r="A24" s="394" t="s">
        <v>993</v>
      </c>
      <c r="B24" s="395">
        <v>1.0</v>
      </c>
      <c r="C24" s="178">
        <v>2.0</v>
      </c>
      <c r="D24" s="178">
        <v>0.0</v>
      </c>
      <c r="E24">
        <f t="shared" si="1"/>
        <v>2</v>
      </c>
      <c r="F24" s="178" t="s">
        <v>994</v>
      </c>
    </row>
    <row r="25">
      <c r="A25" s="394" t="s">
        <v>766</v>
      </c>
      <c r="B25" s="395">
        <v>1.0</v>
      </c>
      <c r="C25" s="178">
        <v>3.0</v>
      </c>
      <c r="D25" s="178">
        <v>0.0</v>
      </c>
      <c r="E25">
        <f t="shared" si="1"/>
        <v>3</v>
      </c>
      <c r="F25" s="178" t="s">
        <v>216</v>
      </c>
    </row>
    <row r="26">
      <c r="A26" s="394" t="s">
        <v>815</v>
      </c>
      <c r="B26" s="395">
        <v>1.0</v>
      </c>
      <c r="C26" s="178">
        <v>2.0</v>
      </c>
      <c r="D26" s="178">
        <v>0.0</v>
      </c>
      <c r="E26">
        <f t="shared" si="1"/>
        <v>2</v>
      </c>
      <c r="F26" s="178" t="s">
        <v>231</v>
      </c>
    </row>
    <row r="27">
      <c r="A27" s="394" t="s">
        <v>1409</v>
      </c>
      <c r="B27" s="395">
        <v>0.0</v>
      </c>
      <c r="C27" s="178">
        <v>0.0</v>
      </c>
      <c r="D27" s="178">
        <v>0.0</v>
      </c>
      <c r="E27">
        <f t="shared" si="1"/>
        <v>0</v>
      </c>
    </row>
    <row r="28">
      <c r="A28" s="394" t="s">
        <v>681</v>
      </c>
      <c r="B28" s="395">
        <v>1.0</v>
      </c>
      <c r="C28" s="178">
        <v>1.0</v>
      </c>
      <c r="D28" s="178">
        <v>0.0</v>
      </c>
      <c r="E28">
        <f t="shared" si="1"/>
        <v>1</v>
      </c>
      <c r="F28" s="178" t="s">
        <v>675</v>
      </c>
    </row>
    <row r="29">
      <c r="A29" s="394" t="s">
        <v>601</v>
      </c>
      <c r="B29" s="395">
        <v>1.0</v>
      </c>
      <c r="C29" s="178">
        <v>3.0</v>
      </c>
      <c r="D29" s="178">
        <v>0.0</v>
      </c>
      <c r="E29">
        <f t="shared" si="1"/>
        <v>3</v>
      </c>
      <c r="F29" s="178" t="s">
        <v>135</v>
      </c>
    </row>
    <row r="30">
      <c r="A30" s="394" t="s">
        <v>912</v>
      </c>
      <c r="B30" s="395">
        <v>1.0</v>
      </c>
      <c r="C30" s="178">
        <v>1.0</v>
      </c>
      <c r="D30" s="178">
        <v>0.0</v>
      </c>
      <c r="E30">
        <f t="shared" si="1"/>
        <v>1</v>
      </c>
      <c r="F30" s="178" t="s">
        <v>906</v>
      </c>
    </row>
    <row r="31">
      <c r="A31" s="394" t="s">
        <v>1276</v>
      </c>
      <c r="B31" s="337">
        <v>1.0</v>
      </c>
      <c r="C31" s="178">
        <v>2.0</v>
      </c>
      <c r="D31" s="178">
        <v>0.0</v>
      </c>
      <c r="E31">
        <f t="shared" si="1"/>
        <v>2</v>
      </c>
      <c r="F31" s="178" t="s">
        <v>516</v>
      </c>
    </row>
    <row r="32">
      <c r="A32" s="394" t="s">
        <v>929</v>
      </c>
      <c r="B32" s="337">
        <v>1.0</v>
      </c>
      <c r="C32" s="178">
        <v>1.0</v>
      </c>
      <c r="D32" s="178">
        <v>0.0</v>
      </c>
      <c r="E32">
        <f t="shared" si="1"/>
        <v>1</v>
      </c>
      <c r="F32" s="178" t="s">
        <v>271</v>
      </c>
    </row>
    <row r="33">
      <c r="A33" s="394" t="s">
        <v>1290</v>
      </c>
      <c r="B33" s="395">
        <v>0.0</v>
      </c>
      <c r="C33" s="178">
        <v>0.0</v>
      </c>
      <c r="D33" s="178">
        <v>0.0</v>
      </c>
      <c r="E33">
        <f t="shared" si="1"/>
        <v>0</v>
      </c>
    </row>
    <row r="34">
      <c r="A34" s="394" t="s">
        <v>922</v>
      </c>
      <c r="B34" s="337">
        <v>1.0</v>
      </c>
      <c r="C34" s="178">
        <v>2.0</v>
      </c>
      <c r="D34" s="178">
        <v>0.0</v>
      </c>
      <c r="E34">
        <f t="shared" si="1"/>
        <v>2</v>
      </c>
      <c r="F34" s="178" t="s">
        <v>268</v>
      </c>
    </row>
    <row r="35">
      <c r="A35" s="394" t="s">
        <v>733</v>
      </c>
      <c r="B35" s="395">
        <v>1.0</v>
      </c>
      <c r="C35" s="178">
        <v>3.0</v>
      </c>
      <c r="D35" s="178">
        <v>0.0</v>
      </c>
      <c r="E35">
        <f t="shared" si="1"/>
        <v>3</v>
      </c>
      <c r="F35" s="178" t="s">
        <v>204</v>
      </c>
    </row>
    <row r="36">
      <c r="A36" s="394" t="s">
        <v>759</v>
      </c>
      <c r="B36" s="337">
        <v>1.0</v>
      </c>
      <c r="C36" s="178">
        <v>2.0</v>
      </c>
      <c r="D36" s="178">
        <v>0.0</v>
      </c>
      <c r="E36">
        <f t="shared" si="1"/>
        <v>2</v>
      </c>
      <c r="F36" s="178" t="s">
        <v>213</v>
      </c>
    </row>
    <row r="37">
      <c r="A37" s="394" t="s">
        <v>1408</v>
      </c>
      <c r="B37" s="395">
        <v>0.0</v>
      </c>
      <c r="C37" s="178">
        <v>0.0</v>
      </c>
      <c r="D37" s="178">
        <v>0.0</v>
      </c>
      <c r="E37">
        <f t="shared" si="1"/>
        <v>0</v>
      </c>
    </row>
    <row r="38">
      <c r="A38" s="394" t="s">
        <v>1410</v>
      </c>
      <c r="B38" s="395">
        <v>0.0</v>
      </c>
      <c r="C38" s="178">
        <v>0.0</v>
      </c>
      <c r="D38" s="178">
        <v>0.0</v>
      </c>
      <c r="E38">
        <f t="shared" si="1"/>
        <v>0</v>
      </c>
    </row>
    <row r="39">
      <c r="A39" s="394" t="s">
        <v>568</v>
      </c>
      <c r="B39" s="395">
        <v>0.0</v>
      </c>
      <c r="C39" s="178">
        <v>0.0</v>
      </c>
      <c r="D39" s="178">
        <v>0.0</v>
      </c>
      <c r="E39">
        <f t="shared" si="1"/>
        <v>0</v>
      </c>
    </row>
    <row r="40">
      <c r="A40" s="394" t="s">
        <v>635</v>
      </c>
      <c r="B40" s="395">
        <v>1.0</v>
      </c>
      <c r="C40" s="178">
        <v>3.0</v>
      </c>
      <c r="D40" s="178">
        <v>0.0</v>
      </c>
      <c r="E40">
        <f t="shared" si="1"/>
        <v>3</v>
      </c>
      <c r="F40" s="178" t="s">
        <v>152</v>
      </c>
    </row>
    <row r="41">
      <c r="A41" s="394" t="s">
        <v>555</v>
      </c>
      <c r="B41" s="395">
        <v>0.0</v>
      </c>
      <c r="C41" s="178">
        <v>0.0</v>
      </c>
      <c r="D41" s="178">
        <v>0.0</v>
      </c>
      <c r="E41">
        <f t="shared" si="1"/>
        <v>0</v>
      </c>
    </row>
    <row r="42">
      <c r="A42" s="394" t="s">
        <v>794</v>
      </c>
      <c r="B42" s="395">
        <v>1.0</v>
      </c>
      <c r="C42" s="178">
        <v>3.0</v>
      </c>
      <c r="D42" s="178">
        <v>0.0</v>
      </c>
      <c r="E42">
        <f t="shared" si="1"/>
        <v>3</v>
      </c>
      <c r="F42" s="178" t="s">
        <v>225</v>
      </c>
    </row>
    <row r="43">
      <c r="A43" s="394" t="s">
        <v>447</v>
      </c>
      <c r="B43" s="337">
        <v>1.0</v>
      </c>
      <c r="C43" s="178">
        <v>2.0</v>
      </c>
      <c r="D43" s="178">
        <v>0.0</v>
      </c>
      <c r="E43">
        <f t="shared" si="1"/>
        <v>2</v>
      </c>
      <c r="F43" s="178" t="s">
        <v>437</v>
      </c>
    </row>
    <row r="44">
      <c r="A44" s="394" t="s">
        <v>862</v>
      </c>
      <c r="B44" s="395">
        <v>1.0</v>
      </c>
      <c r="C44" s="178">
        <v>3.0</v>
      </c>
      <c r="D44" s="178">
        <v>0.0</v>
      </c>
      <c r="E44">
        <f t="shared" si="1"/>
        <v>3</v>
      </c>
      <c r="F44" s="178" t="s">
        <v>244</v>
      </c>
    </row>
    <row r="45">
      <c r="A45" s="394" t="s">
        <v>850</v>
      </c>
      <c r="B45" s="337">
        <v>1.0</v>
      </c>
      <c r="C45" s="178">
        <v>3.0</v>
      </c>
      <c r="D45" s="178">
        <v>0.0</v>
      </c>
      <c r="E45">
        <f t="shared" si="1"/>
        <v>3</v>
      </c>
      <c r="F45" s="178" t="s">
        <v>238</v>
      </c>
    </row>
    <row r="46">
      <c r="A46" s="394" t="s">
        <v>785</v>
      </c>
      <c r="B46" s="337">
        <v>0.0</v>
      </c>
      <c r="C46" s="178">
        <v>0.0</v>
      </c>
      <c r="D46" s="178">
        <v>0.0</v>
      </c>
      <c r="E46">
        <f t="shared" si="1"/>
        <v>0</v>
      </c>
    </row>
    <row r="47">
      <c r="A47" s="394" t="s">
        <v>530</v>
      </c>
      <c r="B47" s="395">
        <v>1.0</v>
      </c>
      <c r="C47" s="178">
        <v>1.0</v>
      </c>
      <c r="D47" s="178">
        <v>0.0</v>
      </c>
      <c r="E47">
        <f t="shared" si="1"/>
        <v>1</v>
      </c>
      <c r="F47" s="178" t="s">
        <v>105</v>
      </c>
    </row>
    <row r="48">
      <c r="A48" s="394" t="s">
        <v>581</v>
      </c>
      <c r="B48" s="337">
        <v>1.0</v>
      </c>
      <c r="C48" s="178">
        <v>2.0</v>
      </c>
      <c r="D48" s="178">
        <v>0.0</v>
      </c>
      <c r="E48">
        <f t="shared" si="1"/>
        <v>2</v>
      </c>
      <c r="F48" s="178" t="s">
        <v>1425</v>
      </c>
    </row>
    <row r="49">
      <c r="A49" s="394" t="s">
        <v>718</v>
      </c>
      <c r="B49" s="337">
        <v>1.0</v>
      </c>
      <c r="C49" s="178">
        <v>1.0</v>
      </c>
      <c r="D49" s="178">
        <v>0.0</v>
      </c>
      <c r="E49">
        <f t="shared" si="1"/>
        <v>1</v>
      </c>
      <c r="F49" s="178">
        <v>1509.0</v>
      </c>
    </row>
    <row r="50">
      <c r="A50" s="394" t="s">
        <v>538</v>
      </c>
      <c r="B50" s="337">
        <v>1.0</v>
      </c>
      <c r="C50" s="178">
        <v>1.0</v>
      </c>
      <c r="D50" s="178">
        <v>0.0</v>
      </c>
      <c r="E50">
        <f t="shared" si="1"/>
        <v>1</v>
      </c>
      <c r="F50" s="178" t="s">
        <v>109</v>
      </c>
    </row>
    <row r="51">
      <c r="A51" s="394" t="s">
        <v>934</v>
      </c>
      <c r="B51" s="395">
        <v>1.0</v>
      </c>
      <c r="C51" s="178">
        <v>2.0</v>
      </c>
      <c r="D51" s="178">
        <v>0.0</v>
      </c>
      <c r="E51">
        <f t="shared" si="1"/>
        <v>2</v>
      </c>
      <c r="F51" s="178" t="s">
        <v>931</v>
      </c>
    </row>
    <row r="52">
      <c r="A52" s="397"/>
    </row>
    <row r="53">
      <c r="A53" s="397"/>
    </row>
    <row r="54">
      <c r="A54" s="397"/>
    </row>
    <row r="55">
      <c r="A55" s="397"/>
    </row>
    <row r="56">
      <c r="A56" s="397"/>
    </row>
    <row r="57">
      <c r="A57" s="397"/>
    </row>
    <row r="58">
      <c r="A58" s="397"/>
    </row>
    <row r="59">
      <c r="A59" s="397"/>
    </row>
    <row r="60">
      <c r="A60" s="397"/>
    </row>
    <row r="61">
      <c r="A61" s="397"/>
    </row>
    <row r="62">
      <c r="A62" s="397"/>
    </row>
    <row r="63">
      <c r="A63" s="397"/>
    </row>
    <row r="64">
      <c r="A64" s="397"/>
    </row>
    <row r="65">
      <c r="A65" s="397"/>
    </row>
    <row r="66">
      <c r="A66" s="397"/>
    </row>
    <row r="67">
      <c r="A67" s="397"/>
    </row>
    <row r="68">
      <c r="A68" s="397"/>
    </row>
    <row r="69">
      <c r="A69" s="397"/>
    </row>
    <row r="70">
      <c r="A70" s="397"/>
    </row>
    <row r="71">
      <c r="A71" s="397"/>
    </row>
    <row r="72">
      <c r="A72" s="397"/>
    </row>
    <row r="73">
      <c r="A73" s="397"/>
    </row>
    <row r="74">
      <c r="A74" s="397"/>
    </row>
    <row r="75">
      <c r="A75" s="397"/>
    </row>
    <row r="76">
      <c r="A76" s="397"/>
    </row>
    <row r="77">
      <c r="A77" s="397"/>
    </row>
    <row r="78">
      <c r="A78" s="397"/>
    </row>
    <row r="79">
      <c r="A79" s="397"/>
    </row>
    <row r="80">
      <c r="A80" s="397"/>
    </row>
    <row r="81">
      <c r="A81" s="397"/>
    </row>
    <row r="82">
      <c r="A82" s="397"/>
    </row>
    <row r="83">
      <c r="A83" s="397"/>
    </row>
    <row r="84">
      <c r="A84" s="397"/>
    </row>
    <row r="85">
      <c r="A85" s="397"/>
    </row>
    <row r="86">
      <c r="A86" s="397"/>
    </row>
    <row r="87">
      <c r="A87" s="397"/>
    </row>
    <row r="88">
      <c r="A88" s="397"/>
    </row>
    <row r="89">
      <c r="A89" s="397"/>
    </row>
    <row r="90">
      <c r="A90" s="397"/>
    </row>
    <row r="91">
      <c r="A91" s="397"/>
    </row>
    <row r="92">
      <c r="A92" s="397"/>
    </row>
    <row r="93">
      <c r="A93" s="397"/>
    </row>
    <row r="94">
      <c r="A94" s="397"/>
    </row>
    <row r="95">
      <c r="A95" s="397"/>
    </row>
    <row r="96">
      <c r="A96" s="397"/>
    </row>
    <row r="97">
      <c r="A97" s="397"/>
    </row>
    <row r="98">
      <c r="A98" s="397"/>
    </row>
    <row r="99">
      <c r="A99" s="397"/>
    </row>
    <row r="100">
      <c r="A100" s="397"/>
    </row>
    <row r="101">
      <c r="A101" s="397"/>
    </row>
    <row r="102">
      <c r="A102" s="397"/>
    </row>
    <row r="103">
      <c r="A103" s="397"/>
    </row>
    <row r="104">
      <c r="A104" s="397"/>
    </row>
    <row r="105">
      <c r="A105" s="397"/>
    </row>
    <row r="106">
      <c r="A106" s="397"/>
    </row>
    <row r="107">
      <c r="A107" s="397"/>
    </row>
    <row r="108">
      <c r="A108" s="397"/>
    </row>
    <row r="109">
      <c r="A109" s="397"/>
    </row>
    <row r="110">
      <c r="A110" s="397"/>
    </row>
    <row r="111">
      <c r="A111" s="397"/>
    </row>
    <row r="112">
      <c r="A112" s="397"/>
    </row>
    <row r="113">
      <c r="A113" s="397"/>
    </row>
    <row r="114">
      <c r="A114" s="397"/>
    </row>
    <row r="115">
      <c r="A115" s="397"/>
    </row>
    <row r="116">
      <c r="A116" s="397"/>
    </row>
    <row r="117">
      <c r="A117" s="397"/>
    </row>
    <row r="118">
      <c r="A118" s="397"/>
    </row>
    <row r="119">
      <c r="A119" s="397"/>
    </row>
    <row r="120">
      <c r="A120" s="397"/>
    </row>
    <row r="121">
      <c r="A121" s="397"/>
    </row>
    <row r="122">
      <c r="A122" s="397"/>
    </row>
    <row r="123">
      <c r="A123" s="397"/>
    </row>
    <row r="124">
      <c r="A124" s="397"/>
    </row>
    <row r="125">
      <c r="A125" s="397"/>
    </row>
    <row r="126">
      <c r="A126" s="397"/>
    </row>
    <row r="127">
      <c r="A127" s="397"/>
    </row>
    <row r="128">
      <c r="A128" s="397"/>
    </row>
    <row r="129">
      <c r="A129" s="397"/>
    </row>
    <row r="130">
      <c r="A130" s="397"/>
    </row>
    <row r="131">
      <c r="A131" s="397"/>
    </row>
    <row r="132">
      <c r="A132" s="397"/>
    </row>
    <row r="133">
      <c r="A133" s="397"/>
    </row>
    <row r="134">
      <c r="A134" s="397"/>
    </row>
    <row r="135">
      <c r="A135" s="397"/>
    </row>
    <row r="136">
      <c r="A136" s="397"/>
    </row>
    <row r="137">
      <c r="A137" s="397"/>
    </row>
    <row r="138">
      <c r="A138" s="397"/>
    </row>
    <row r="139">
      <c r="A139" s="397"/>
    </row>
    <row r="140">
      <c r="A140" s="397"/>
    </row>
    <row r="141">
      <c r="A141" s="397"/>
    </row>
    <row r="142">
      <c r="A142" s="397"/>
    </row>
    <row r="143">
      <c r="A143" s="397"/>
    </row>
    <row r="144">
      <c r="A144" s="397"/>
    </row>
    <row r="145">
      <c r="A145" s="397"/>
    </row>
    <row r="146">
      <c r="A146" s="397"/>
    </row>
    <row r="147">
      <c r="A147" s="397"/>
    </row>
    <row r="148">
      <c r="A148" s="397"/>
    </row>
    <row r="149">
      <c r="A149" s="397"/>
    </row>
    <row r="150">
      <c r="A150" s="397"/>
    </row>
    <row r="151">
      <c r="A151" s="397"/>
    </row>
    <row r="152">
      <c r="A152" s="397"/>
    </row>
    <row r="153">
      <c r="A153" s="397"/>
    </row>
    <row r="154">
      <c r="A154" s="397"/>
    </row>
    <row r="155">
      <c r="A155" s="397"/>
    </row>
    <row r="156">
      <c r="A156" s="397"/>
    </row>
    <row r="157">
      <c r="A157" s="397"/>
    </row>
    <row r="158">
      <c r="A158" s="397"/>
    </row>
    <row r="159">
      <c r="A159" s="397"/>
    </row>
    <row r="160">
      <c r="A160" s="397"/>
    </row>
    <row r="161">
      <c r="A161" s="397"/>
    </row>
    <row r="162">
      <c r="A162" s="397"/>
    </row>
    <row r="163">
      <c r="A163" s="397"/>
    </row>
    <row r="164">
      <c r="A164" s="397"/>
    </row>
    <row r="165">
      <c r="A165" s="397"/>
    </row>
    <row r="166">
      <c r="A166" s="397"/>
    </row>
    <row r="167">
      <c r="A167" s="397"/>
    </row>
    <row r="168">
      <c r="A168" s="397"/>
    </row>
    <row r="169">
      <c r="A169" s="397"/>
    </row>
    <row r="170">
      <c r="A170" s="397"/>
    </row>
    <row r="171">
      <c r="A171" s="397"/>
    </row>
    <row r="172">
      <c r="A172" s="397"/>
    </row>
    <row r="173">
      <c r="A173" s="397"/>
    </row>
    <row r="174">
      <c r="A174" s="397"/>
    </row>
    <row r="175">
      <c r="A175" s="397"/>
    </row>
    <row r="176">
      <c r="A176" s="397"/>
    </row>
    <row r="177">
      <c r="A177" s="397"/>
    </row>
    <row r="178">
      <c r="A178" s="397"/>
    </row>
    <row r="179">
      <c r="A179" s="397"/>
    </row>
    <row r="180">
      <c r="A180" s="397"/>
    </row>
    <row r="181">
      <c r="A181" s="397"/>
    </row>
    <row r="182">
      <c r="A182" s="397"/>
    </row>
    <row r="183">
      <c r="A183" s="397"/>
    </row>
    <row r="184">
      <c r="A184" s="397"/>
    </row>
    <row r="185">
      <c r="A185" s="397"/>
    </row>
    <row r="186">
      <c r="A186" s="397"/>
    </row>
    <row r="187">
      <c r="A187" s="397"/>
    </row>
    <row r="188">
      <c r="A188" s="397"/>
    </row>
    <row r="189">
      <c r="A189" s="397"/>
    </row>
    <row r="190">
      <c r="A190" s="397"/>
    </row>
    <row r="191">
      <c r="A191" s="397"/>
    </row>
    <row r="192">
      <c r="A192" s="397"/>
    </row>
    <row r="193">
      <c r="A193" s="397"/>
    </row>
    <row r="194">
      <c r="A194" s="397"/>
    </row>
    <row r="195">
      <c r="A195" s="397"/>
    </row>
    <row r="196">
      <c r="A196" s="397"/>
    </row>
    <row r="197">
      <c r="A197" s="397"/>
    </row>
    <row r="198">
      <c r="A198" s="397"/>
    </row>
    <row r="199">
      <c r="A199" s="397"/>
    </row>
    <row r="200">
      <c r="A200" s="397"/>
    </row>
    <row r="201">
      <c r="A201" s="397"/>
    </row>
    <row r="202">
      <c r="A202" s="397"/>
    </row>
    <row r="203">
      <c r="A203" s="397"/>
    </row>
    <row r="204">
      <c r="A204" s="397"/>
    </row>
    <row r="205">
      <c r="A205" s="397"/>
    </row>
    <row r="206">
      <c r="A206" s="397"/>
    </row>
    <row r="207">
      <c r="A207" s="397"/>
    </row>
    <row r="208">
      <c r="A208" s="397"/>
    </row>
    <row r="209">
      <c r="A209" s="397"/>
    </row>
    <row r="210">
      <c r="A210" s="397"/>
    </row>
    <row r="211">
      <c r="A211" s="397"/>
    </row>
    <row r="212">
      <c r="A212" s="397"/>
    </row>
    <row r="213">
      <c r="A213" s="397"/>
    </row>
    <row r="214">
      <c r="A214" s="397"/>
    </row>
    <row r="215">
      <c r="A215" s="397"/>
    </row>
    <row r="216">
      <c r="A216" s="397"/>
    </row>
    <row r="217">
      <c r="A217" s="397"/>
    </row>
    <row r="218">
      <c r="A218" s="397"/>
    </row>
    <row r="219">
      <c r="A219" s="397"/>
    </row>
    <row r="220">
      <c r="A220" s="397"/>
    </row>
    <row r="221">
      <c r="A221" s="397"/>
    </row>
    <row r="222">
      <c r="A222" s="397"/>
    </row>
    <row r="223">
      <c r="A223" s="397"/>
    </row>
    <row r="224">
      <c r="A224" s="397"/>
    </row>
    <row r="225">
      <c r="A225" s="397"/>
    </row>
    <row r="226">
      <c r="A226" s="397"/>
    </row>
    <row r="227">
      <c r="A227" s="397"/>
    </row>
    <row r="228">
      <c r="A228" s="397"/>
    </row>
    <row r="229">
      <c r="A229" s="397"/>
    </row>
    <row r="230">
      <c r="A230" s="397"/>
    </row>
    <row r="231">
      <c r="A231" s="397"/>
    </row>
    <row r="232">
      <c r="A232" s="397"/>
    </row>
    <row r="233">
      <c r="A233" s="397"/>
    </row>
    <row r="234">
      <c r="A234" s="397"/>
    </row>
    <row r="235">
      <c r="A235" s="397"/>
    </row>
    <row r="236">
      <c r="A236" s="397"/>
    </row>
    <row r="237">
      <c r="A237" s="397"/>
    </row>
    <row r="238">
      <c r="A238" s="397"/>
    </row>
    <row r="239">
      <c r="A239" s="397"/>
    </row>
    <row r="240">
      <c r="A240" s="397"/>
    </row>
    <row r="241">
      <c r="A241" s="397"/>
    </row>
    <row r="242">
      <c r="A242" s="397"/>
    </row>
    <row r="243">
      <c r="A243" s="397"/>
    </row>
    <row r="244">
      <c r="A244" s="397"/>
    </row>
    <row r="245">
      <c r="A245" s="397"/>
    </row>
    <row r="246">
      <c r="A246" s="397"/>
    </row>
    <row r="247">
      <c r="A247" s="397"/>
    </row>
    <row r="248">
      <c r="A248" s="397"/>
    </row>
    <row r="249">
      <c r="A249" s="397"/>
    </row>
    <row r="250">
      <c r="A250" s="397"/>
    </row>
    <row r="251">
      <c r="A251" s="397"/>
    </row>
    <row r="252">
      <c r="A252" s="397"/>
    </row>
    <row r="253">
      <c r="A253" s="397"/>
    </row>
    <row r="254">
      <c r="A254" s="397"/>
    </row>
    <row r="255">
      <c r="A255" s="397"/>
    </row>
    <row r="256">
      <c r="A256" s="397"/>
    </row>
    <row r="257">
      <c r="A257" s="397"/>
    </row>
    <row r="258">
      <c r="A258" s="397"/>
    </row>
    <row r="259">
      <c r="A259" s="397"/>
    </row>
    <row r="260">
      <c r="A260" s="397"/>
    </row>
    <row r="261">
      <c r="A261" s="397"/>
    </row>
    <row r="262">
      <c r="A262" s="397"/>
    </row>
    <row r="263">
      <c r="A263" s="397"/>
    </row>
    <row r="264">
      <c r="A264" s="397"/>
    </row>
    <row r="265">
      <c r="A265" s="397"/>
    </row>
    <row r="266">
      <c r="A266" s="397"/>
    </row>
    <row r="267">
      <c r="A267" s="397"/>
    </row>
    <row r="268">
      <c r="A268" s="397"/>
    </row>
    <row r="269">
      <c r="A269" s="397"/>
    </row>
    <row r="270">
      <c r="A270" s="397"/>
    </row>
    <row r="271">
      <c r="A271" s="397"/>
    </row>
    <row r="272">
      <c r="A272" s="397"/>
    </row>
    <row r="273">
      <c r="A273" s="397"/>
    </row>
    <row r="274">
      <c r="A274" s="397"/>
    </row>
    <row r="275">
      <c r="A275" s="397"/>
    </row>
    <row r="276">
      <c r="A276" s="397"/>
    </row>
    <row r="277">
      <c r="A277" s="397"/>
    </row>
    <row r="278">
      <c r="A278" s="397"/>
    </row>
    <row r="279">
      <c r="A279" s="397"/>
    </row>
    <row r="280">
      <c r="A280" s="397"/>
    </row>
    <row r="281">
      <c r="A281" s="397"/>
    </row>
    <row r="282">
      <c r="A282" s="397"/>
    </row>
    <row r="283">
      <c r="A283" s="397"/>
    </row>
    <row r="284">
      <c r="A284" s="397"/>
    </row>
    <row r="285">
      <c r="A285" s="397"/>
    </row>
    <row r="286">
      <c r="A286" s="397"/>
    </row>
    <row r="287">
      <c r="A287" s="397"/>
    </row>
    <row r="288">
      <c r="A288" s="397"/>
    </row>
    <row r="289">
      <c r="A289" s="397"/>
    </row>
    <row r="290">
      <c r="A290" s="397"/>
    </row>
    <row r="291">
      <c r="A291" s="397"/>
    </row>
    <row r="292">
      <c r="A292" s="397"/>
    </row>
    <row r="293">
      <c r="A293" s="397"/>
    </row>
    <row r="294">
      <c r="A294" s="397"/>
    </row>
    <row r="295">
      <c r="A295" s="397"/>
    </row>
    <row r="296">
      <c r="A296" s="397"/>
    </row>
    <row r="297">
      <c r="A297" s="397"/>
    </row>
    <row r="298">
      <c r="A298" s="397"/>
    </row>
    <row r="299">
      <c r="A299" s="397"/>
    </row>
    <row r="300">
      <c r="A300" s="397"/>
    </row>
    <row r="301">
      <c r="A301" s="397"/>
    </row>
    <row r="302">
      <c r="A302" s="397"/>
    </row>
    <row r="303">
      <c r="A303" s="397"/>
    </row>
    <row r="304">
      <c r="A304" s="397"/>
    </row>
    <row r="305">
      <c r="A305" s="397"/>
    </row>
    <row r="306">
      <c r="A306" s="397"/>
    </row>
    <row r="307">
      <c r="A307" s="397"/>
    </row>
    <row r="308">
      <c r="A308" s="397"/>
    </row>
    <row r="309">
      <c r="A309" s="397"/>
    </row>
    <row r="310">
      <c r="A310" s="397"/>
    </row>
    <row r="311">
      <c r="A311" s="397"/>
    </row>
    <row r="312">
      <c r="A312" s="397"/>
    </row>
    <row r="313">
      <c r="A313" s="397"/>
    </row>
    <row r="314">
      <c r="A314" s="397"/>
    </row>
    <row r="315">
      <c r="A315" s="397"/>
    </row>
    <row r="316">
      <c r="A316" s="397"/>
    </row>
    <row r="317">
      <c r="A317" s="397"/>
    </row>
    <row r="318">
      <c r="A318" s="397"/>
    </row>
    <row r="319">
      <c r="A319" s="397"/>
    </row>
    <row r="320">
      <c r="A320" s="397"/>
    </row>
    <row r="321">
      <c r="A321" s="397"/>
    </row>
    <row r="322">
      <c r="A322" s="397"/>
    </row>
    <row r="323">
      <c r="A323" s="397"/>
    </row>
    <row r="324">
      <c r="A324" s="397"/>
    </row>
    <row r="325">
      <c r="A325" s="397"/>
    </row>
    <row r="326">
      <c r="A326" s="397"/>
    </row>
    <row r="327">
      <c r="A327" s="397"/>
    </row>
    <row r="328">
      <c r="A328" s="397"/>
    </row>
    <row r="329">
      <c r="A329" s="397"/>
    </row>
    <row r="330">
      <c r="A330" s="397"/>
    </row>
    <row r="331">
      <c r="A331" s="397"/>
    </row>
    <row r="332">
      <c r="A332" s="397"/>
    </row>
    <row r="333">
      <c r="A333" s="397"/>
    </row>
    <row r="334">
      <c r="A334" s="397"/>
    </row>
    <row r="335">
      <c r="A335" s="397"/>
    </row>
    <row r="336">
      <c r="A336" s="397"/>
    </row>
    <row r="337">
      <c r="A337" s="397"/>
    </row>
    <row r="338">
      <c r="A338" s="397"/>
    </row>
    <row r="339">
      <c r="A339" s="397"/>
    </row>
    <row r="340">
      <c r="A340" s="397"/>
    </row>
    <row r="341">
      <c r="A341" s="397"/>
    </row>
    <row r="342">
      <c r="A342" s="397"/>
    </row>
    <row r="343">
      <c r="A343" s="397"/>
    </row>
    <row r="344">
      <c r="A344" s="397"/>
    </row>
    <row r="345">
      <c r="A345" s="397"/>
    </row>
    <row r="346">
      <c r="A346" s="397"/>
    </row>
    <row r="347">
      <c r="A347" s="397"/>
    </row>
    <row r="348">
      <c r="A348" s="397"/>
    </row>
    <row r="349">
      <c r="A349" s="397"/>
    </row>
    <row r="350">
      <c r="A350" s="397"/>
    </row>
    <row r="351">
      <c r="A351" s="397"/>
    </row>
    <row r="352">
      <c r="A352" s="397"/>
    </row>
    <row r="353">
      <c r="A353" s="397"/>
    </row>
    <row r="354">
      <c r="A354" s="397"/>
    </row>
    <row r="355">
      <c r="A355" s="397"/>
    </row>
    <row r="356">
      <c r="A356" s="397"/>
    </row>
    <row r="357">
      <c r="A357" s="397"/>
    </row>
    <row r="358">
      <c r="A358" s="397"/>
    </row>
    <row r="359">
      <c r="A359" s="397"/>
    </row>
    <row r="360">
      <c r="A360" s="397"/>
    </row>
    <row r="361">
      <c r="A361" s="397"/>
    </row>
    <row r="362">
      <c r="A362" s="397"/>
    </row>
    <row r="363">
      <c r="A363" s="397"/>
    </row>
    <row r="364">
      <c r="A364" s="397"/>
    </row>
    <row r="365">
      <c r="A365" s="397"/>
    </row>
    <row r="366">
      <c r="A366" s="397"/>
    </row>
    <row r="367">
      <c r="A367" s="397"/>
    </row>
    <row r="368">
      <c r="A368" s="397"/>
    </row>
    <row r="369">
      <c r="A369" s="397"/>
    </row>
    <row r="370">
      <c r="A370" s="397"/>
    </row>
    <row r="371">
      <c r="A371" s="397"/>
    </row>
    <row r="372">
      <c r="A372" s="397"/>
    </row>
    <row r="373">
      <c r="A373" s="397"/>
    </row>
    <row r="374">
      <c r="A374" s="397"/>
    </row>
    <row r="375">
      <c r="A375" s="397"/>
    </row>
    <row r="376">
      <c r="A376" s="397"/>
    </row>
    <row r="377">
      <c r="A377" s="397"/>
    </row>
    <row r="378">
      <c r="A378" s="397"/>
    </row>
    <row r="379">
      <c r="A379" s="397"/>
    </row>
    <row r="380">
      <c r="A380" s="397"/>
    </row>
    <row r="381">
      <c r="A381" s="397"/>
    </row>
    <row r="382">
      <c r="A382" s="397"/>
    </row>
    <row r="383">
      <c r="A383" s="397"/>
    </row>
    <row r="384">
      <c r="A384" s="397"/>
    </row>
    <row r="385">
      <c r="A385" s="397"/>
    </row>
    <row r="386">
      <c r="A386" s="397"/>
    </row>
    <row r="387">
      <c r="A387" s="397"/>
    </row>
    <row r="388">
      <c r="A388" s="397"/>
    </row>
    <row r="389">
      <c r="A389" s="397"/>
    </row>
    <row r="390">
      <c r="A390" s="397"/>
    </row>
    <row r="391">
      <c r="A391" s="397"/>
    </row>
    <row r="392">
      <c r="A392" s="397"/>
    </row>
    <row r="393">
      <c r="A393" s="397"/>
    </row>
    <row r="394">
      <c r="A394" s="397"/>
    </row>
    <row r="395">
      <c r="A395" s="397"/>
    </row>
    <row r="396">
      <c r="A396" s="397"/>
    </row>
    <row r="397">
      <c r="A397" s="397"/>
    </row>
    <row r="398">
      <c r="A398" s="397"/>
    </row>
    <row r="399">
      <c r="A399" s="397"/>
    </row>
    <row r="400">
      <c r="A400" s="397"/>
    </row>
    <row r="401">
      <c r="A401" s="397"/>
    </row>
    <row r="402">
      <c r="A402" s="397"/>
    </row>
    <row r="403">
      <c r="A403" s="397"/>
    </row>
    <row r="404">
      <c r="A404" s="397"/>
    </row>
    <row r="405">
      <c r="A405" s="397"/>
    </row>
    <row r="406">
      <c r="A406" s="397"/>
    </row>
    <row r="407">
      <c r="A407" s="397"/>
    </row>
    <row r="408">
      <c r="A408" s="397"/>
    </row>
    <row r="409">
      <c r="A409" s="397"/>
    </row>
    <row r="410">
      <c r="A410" s="397"/>
    </row>
    <row r="411">
      <c r="A411" s="397"/>
    </row>
    <row r="412">
      <c r="A412" s="397"/>
    </row>
    <row r="413">
      <c r="A413" s="397"/>
    </row>
    <row r="414">
      <c r="A414" s="397"/>
    </row>
    <row r="415">
      <c r="A415" s="397"/>
    </row>
    <row r="416">
      <c r="A416" s="397"/>
    </row>
    <row r="417">
      <c r="A417" s="397"/>
    </row>
    <row r="418">
      <c r="A418" s="397"/>
    </row>
    <row r="419">
      <c r="A419" s="397"/>
    </row>
    <row r="420">
      <c r="A420" s="397"/>
    </row>
    <row r="421">
      <c r="A421" s="397"/>
    </row>
    <row r="422">
      <c r="A422" s="397"/>
    </row>
    <row r="423">
      <c r="A423" s="397"/>
    </row>
    <row r="424">
      <c r="A424" s="397"/>
    </row>
    <row r="425">
      <c r="A425" s="397"/>
    </row>
    <row r="426">
      <c r="A426" s="397"/>
    </row>
    <row r="427">
      <c r="A427" s="397"/>
    </row>
    <row r="428">
      <c r="A428" s="397"/>
    </row>
    <row r="429">
      <c r="A429" s="397"/>
    </row>
    <row r="430">
      <c r="A430" s="397"/>
    </row>
    <row r="431">
      <c r="A431" s="397"/>
    </row>
    <row r="432">
      <c r="A432" s="397"/>
    </row>
    <row r="433">
      <c r="A433" s="397"/>
    </row>
    <row r="434">
      <c r="A434" s="397"/>
    </row>
    <row r="435">
      <c r="A435" s="397"/>
    </row>
    <row r="436">
      <c r="A436" s="397"/>
    </row>
    <row r="437">
      <c r="A437" s="397"/>
    </row>
    <row r="438">
      <c r="A438" s="397"/>
    </row>
    <row r="439">
      <c r="A439" s="397"/>
    </row>
    <row r="440">
      <c r="A440" s="397"/>
    </row>
    <row r="441">
      <c r="A441" s="397"/>
    </row>
    <row r="442">
      <c r="A442" s="397"/>
    </row>
    <row r="443">
      <c r="A443" s="397"/>
    </row>
    <row r="444">
      <c r="A444" s="397"/>
    </row>
    <row r="445">
      <c r="A445" s="397"/>
    </row>
    <row r="446">
      <c r="A446" s="397"/>
    </row>
    <row r="447">
      <c r="A447" s="397"/>
    </row>
    <row r="448">
      <c r="A448" s="397"/>
    </row>
    <row r="449">
      <c r="A449" s="397"/>
    </row>
    <row r="450">
      <c r="A450" s="397"/>
    </row>
    <row r="451">
      <c r="A451" s="397"/>
    </row>
    <row r="452">
      <c r="A452" s="397"/>
    </row>
    <row r="453">
      <c r="A453" s="397"/>
    </row>
    <row r="454">
      <c r="A454" s="397"/>
    </row>
    <row r="455">
      <c r="A455" s="397"/>
    </row>
    <row r="456">
      <c r="A456" s="397"/>
    </row>
    <row r="457">
      <c r="A457" s="397"/>
    </row>
    <row r="458">
      <c r="A458" s="397"/>
    </row>
    <row r="459">
      <c r="A459" s="397"/>
    </row>
    <row r="460">
      <c r="A460" s="397"/>
    </row>
    <row r="461">
      <c r="A461" s="397"/>
    </row>
    <row r="462">
      <c r="A462" s="397"/>
    </row>
    <row r="463">
      <c r="A463" s="397"/>
    </row>
    <row r="464">
      <c r="A464" s="397"/>
    </row>
    <row r="465">
      <c r="A465" s="397"/>
    </row>
    <row r="466">
      <c r="A466" s="397"/>
    </row>
    <row r="467">
      <c r="A467" s="397"/>
    </row>
    <row r="468">
      <c r="A468" s="397"/>
    </row>
    <row r="469">
      <c r="A469" s="397"/>
    </row>
    <row r="470">
      <c r="A470" s="397"/>
    </row>
    <row r="471">
      <c r="A471" s="397"/>
    </row>
    <row r="472">
      <c r="A472" s="397"/>
    </row>
    <row r="473">
      <c r="A473" s="397"/>
    </row>
    <row r="474">
      <c r="A474" s="397"/>
    </row>
    <row r="475">
      <c r="A475" s="397"/>
    </row>
    <row r="476">
      <c r="A476" s="397"/>
    </row>
    <row r="477">
      <c r="A477" s="397"/>
    </row>
    <row r="478">
      <c r="A478" s="397"/>
    </row>
    <row r="479">
      <c r="A479" s="397"/>
    </row>
    <row r="480">
      <c r="A480" s="397"/>
    </row>
    <row r="481">
      <c r="A481" s="397"/>
    </row>
    <row r="482">
      <c r="A482" s="397"/>
    </row>
    <row r="483">
      <c r="A483" s="397"/>
    </row>
    <row r="484">
      <c r="A484" s="397"/>
    </row>
    <row r="485">
      <c r="A485" s="397"/>
    </row>
    <row r="486">
      <c r="A486" s="397"/>
    </row>
    <row r="487">
      <c r="A487" s="397"/>
    </row>
    <row r="488">
      <c r="A488" s="397"/>
    </row>
    <row r="489">
      <c r="A489" s="397"/>
    </row>
    <row r="490">
      <c r="A490" s="397"/>
    </row>
    <row r="491">
      <c r="A491" s="397"/>
    </row>
    <row r="492">
      <c r="A492" s="397"/>
    </row>
    <row r="493">
      <c r="A493" s="397"/>
    </row>
    <row r="494">
      <c r="A494" s="397"/>
    </row>
    <row r="495">
      <c r="A495" s="397"/>
    </row>
    <row r="496">
      <c r="A496" s="397"/>
    </row>
    <row r="497">
      <c r="A497" s="397"/>
    </row>
    <row r="498">
      <c r="A498" s="397"/>
    </row>
    <row r="499">
      <c r="A499" s="397"/>
    </row>
    <row r="500">
      <c r="A500" s="397"/>
    </row>
    <row r="501">
      <c r="A501" s="397"/>
    </row>
    <row r="502">
      <c r="A502" s="397"/>
    </row>
    <row r="503">
      <c r="A503" s="397"/>
    </row>
    <row r="504">
      <c r="A504" s="397"/>
    </row>
    <row r="505">
      <c r="A505" s="397"/>
    </row>
    <row r="506">
      <c r="A506" s="397"/>
    </row>
    <row r="507">
      <c r="A507" s="397"/>
    </row>
    <row r="508">
      <c r="A508" s="397"/>
    </row>
    <row r="509">
      <c r="A509" s="397"/>
    </row>
    <row r="510">
      <c r="A510" s="397"/>
    </row>
    <row r="511">
      <c r="A511" s="397"/>
    </row>
    <row r="512">
      <c r="A512" s="397"/>
    </row>
    <row r="513">
      <c r="A513" s="397"/>
    </row>
    <row r="514">
      <c r="A514" s="397"/>
    </row>
    <row r="515">
      <c r="A515" s="397"/>
    </row>
    <row r="516">
      <c r="A516" s="397"/>
    </row>
    <row r="517">
      <c r="A517" s="397"/>
    </row>
    <row r="518">
      <c r="A518" s="397"/>
    </row>
    <row r="519">
      <c r="A519" s="397"/>
    </row>
    <row r="520">
      <c r="A520" s="397"/>
    </row>
    <row r="521">
      <c r="A521" s="397"/>
    </row>
    <row r="522">
      <c r="A522" s="397"/>
    </row>
    <row r="523">
      <c r="A523" s="397"/>
    </row>
    <row r="524">
      <c r="A524" s="397"/>
    </row>
    <row r="525">
      <c r="A525" s="397"/>
    </row>
    <row r="526">
      <c r="A526" s="397"/>
    </row>
    <row r="527">
      <c r="A527" s="397"/>
    </row>
    <row r="528">
      <c r="A528" s="397"/>
    </row>
    <row r="529">
      <c r="A529" s="397"/>
    </row>
    <row r="530">
      <c r="A530" s="397"/>
    </row>
    <row r="531">
      <c r="A531" s="397"/>
    </row>
    <row r="532">
      <c r="A532" s="397"/>
    </row>
    <row r="533">
      <c r="A533" s="397"/>
    </row>
    <row r="534">
      <c r="A534" s="397"/>
    </row>
    <row r="535">
      <c r="A535" s="397"/>
    </row>
    <row r="536">
      <c r="A536" s="397"/>
    </row>
    <row r="537">
      <c r="A537" s="397"/>
    </row>
    <row r="538">
      <c r="A538" s="397"/>
    </row>
    <row r="539">
      <c r="A539" s="397"/>
    </row>
    <row r="540">
      <c r="A540" s="397"/>
    </row>
    <row r="541">
      <c r="A541" s="397"/>
    </row>
    <row r="542">
      <c r="A542" s="397"/>
    </row>
    <row r="543">
      <c r="A543" s="397"/>
    </row>
    <row r="544">
      <c r="A544" s="397"/>
    </row>
    <row r="545">
      <c r="A545" s="397"/>
    </row>
    <row r="546">
      <c r="A546" s="397"/>
    </row>
    <row r="547">
      <c r="A547" s="397"/>
    </row>
    <row r="548">
      <c r="A548" s="397"/>
    </row>
    <row r="549">
      <c r="A549" s="397"/>
    </row>
    <row r="550">
      <c r="A550" s="397"/>
    </row>
    <row r="551">
      <c r="A551" s="397"/>
    </row>
    <row r="552">
      <c r="A552" s="397"/>
    </row>
    <row r="553">
      <c r="A553" s="397"/>
    </row>
    <row r="554">
      <c r="A554" s="397"/>
    </row>
    <row r="555">
      <c r="A555" s="397"/>
    </row>
    <row r="556">
      <c r="A556" s="397"/>
    </row>
    <row r="557">
      <c r="A557" s="397"/>
    </row>
    <row r="558">
      <c r="A558" s="397"/>
    </row>
    <row r="559">
      <c r="A559" s="397"/>
    </row>
    <row r="560">
      <c r="A560" s="397"/>
    </row>
    <row r="561">
      <c r="A561" s="397"/>
    </row>
    <row r="562">
      <c r="A562" s="397"/>
    </row>
    <row r="563">
      <c r="A563" s="397"/>
    </row>
    <row r="564">
      <c r="A564" s="397"/>
    </row>
    <row r="565">
      <c r="A565" s="397"/>
    </row>
    <row r="566">
      <c r="A566" s="397"/>
    </row>
    <row r="567">
      <c r="A567" s="397"/>
    </row>
    <row r="568">
      <c r="A568" s="397"/>
    </row>
    <row r="569">
      <c r="A569" s="397"/>
    </row>
    <row r="570">
      <c r="A570" s="397"/>
    </row>
    <row r="571">
      <c r="A571" s="397"/>
    </row>
    <row r="572">
      <c r="A572" s="397"/>
    </row>
    <row r="573">
      <c r="A573" s="397"/>
    </row>
    <row r="574">
      <c r="A574" s="397"/>
    </row>
    <row r="575">
      <c r="A575" s="397"/>
    </row>
    <row r="576">
      <c r="A576" s="397"/>
    </row>
    <row r="577">
      <c r="A577" s="397"/>
    </row>
    <row r="578">
      <c r="A578" s="397"/>
    </row>
    <row r="579">
      <c r="A579" s="397"/>
    </row>
    <row r="580">
      <c r="A580" s="397"/>
    </row>
    <row r="581">
      <c r="A581" s="397"/>
    </row>
    <row r="582">
      <c r="A582" s="397"/>
    </row>
    <row r="583">
      <c r="A583" s="397"/>
    </row>
    <row r="584">
      <c r="A584" s="397"/>
    </row>
    <row r="585">
      <c r="A585" s="397"/>
    </row>
    <row r="586">
      <c r="A586" s="397"/>
    </row>
    <row r="587">
      <c r="A587" s="397"/>
    </row>
    <row r="588">
      <c r="A588" s="397"/>
    </row>
    <row r="589">
      <c r="A589" s="397"/>
    </row>
    <row r="590">
      <c r="A590" s="397"/>
    </row>
    <row r="591">
      <c r="A591" s="397"/>
    </row>
    <row r="592">
      <c r="A592" s="397"/>
    </row>
    <row r="593">
      <c r="A593" s="397"/>
    </row>
    <row r="594">
      <c r="A594" s="397"/>
    </row>
    <row r="595">
      <c r="A595" s="397"/>
    </row>
    <row r="596">
      <c r="A596" s="397"/>
    </row>
    <row r="597">
      <c r="A597" s="397"/>
    </row>
    <row r="598">
      <c r="A598" s="397"/>
    </row>
    <row r="599">
      <c r="A599" s="397"/>
    </row>
    <row r="600">
      <c r="A600" s="397"/>
    </row>
    <row r="601">
      <c r="A601" s="397"/>
    </row>
    <row r="602">
      <c r="A602" s="397"/>
    </row>
    <row r="603">
      <c r="A603" s="397"/>
    </row>
    <row r="604">
      <c r="A604" s="397"/>
    </row>
    <row r="605">
      <c r="A605" s="397"/>
    </row>
    <row r="606">
      <c r="A606" s="397"/>
    </row>
    <row r="607">
      <c r="A607" s="397"/>
    </row>
    <row r="608">
      <c r="A608" s="397"/>
    </row>
    <row r="609">
      <c r="A609" s="397"/>
    </row>
    <row r="610">
      <c r="A610" s="397"/>
    </row>
    <row r="611">
      <c r="A611" s="397"/>
    </row>
    <row r="612">
      <c r="A612" s="397"/>
    </row>
    <row r="613">
      <c r="A613" s="397"/>
    </row>
    <row r="614">
      <c r="A614" s="397"/>
    </row>
    <row r="615">
      <c r="A615" s="397"/>
    </row>
    <row r="616">
      <c r="A616" s="397"/>
    </row>
    <row r="617">
      <c r="A617" s="397"/>
    </row>
    <row r="618">
      <c r="A618" s="397"/>
    </row>
    <row r="619">
      <c r="A619" s="397"/>
    </row>
    <row r="620">
      <c r="A620" s="397"/>
    </row>
    <row r="621">
      <c r="A621" s="397"/>
    </row>
    <row r="622">
      <c r="A622" s="397"/>
    </row>
    <row r="623">
      <c r="A623" s="397"/>
    </row>
    <row r="624">
      <c r="A624" s="397"/>
    </row>
    <row r="625">
      <c r="A625" s="397"/>
    </row>
    <row r="626">
      <c r="A626" s="397"/>
    </row>
    <row r="627">
      <c r="A627" s="397"/>
    </row>
    <row r="628">
      <c r="A628" s="397"/>
    </row>
    <row r="629">
      <c r="A629" s="397"/>
    </row>
    <row r="630">
      <c r="A630" s="397"/>
    </row>
    <row r="631">
      <c r="A631" s="397"/>
    </row>
    <row r="632">
      <c r="A632" s="397"/>
    </row>
    <row r="633">
      <c r="A633" s="397"/>
    </row>
    <row r="634">
      <c r="A634" s="397"/>
    </row>
    <row r="635">
      <c r="A635" s="397"/>
    </row>
    <row r="636">
      <c r="A636" s="397"/>
    </row>
    <row r="637">
      <c r="A637" s="397"/>
    </row>
    <row r="638">
      <c r="A638" s="397"/>
    </row>
    <row r="639">
      <c r="A639" s="397"/>
    </row>
    <row r="640">
      <c r="A640" s="397"/>
    </row>
    <row r="641">
      <c r="A641" s="397"/>
    </row>
    <row r="642">
      <c r="A642" s="397"/>
    </row>
    <row r="643">
      <c r="A643" s="397"/>
    </row>
    <row r="644">
      <c r="A644" s="397"/>
    </row>
    <row r="645">
      <c r="A645" s="397"/>
    </row>
    <row r="646">
      <c r="A646" s="397"/>
    </row>
    <row r="647">
      <c r="A647" s="397"/>
    </row>
    <row r="648">
      <c r="A648" s="397"/>
    </row>
    <row r="649">
      <c r="A649" s="397"/>
    </row>
    <row r="650">
      <c r="A650" s="397"/>
    </row>
    <row r="651">
      <c r="A651" s="397"/>
    </row>
    <row r="652">
      <c r="A652" s="397"/>
    </row>
    <row r="653">
      <c r="A653" s="397"/>
    </row>
    <row r="654">
      <c r="A654" s="397"/>
    </row>
    <row r="655">
      <c r="A655" s="397"/>
    </row>
    <row r="656">
      <c r="A656" s="397"/>
    </row>
    <row r="657">
      <c r="A657" s="397"/>
    </row>
    <row r="658">
      <c r="A658" s="397"/>
    </row>
    <row r="659">
      <c r="A659" s="397"/>
    </row>
    <row r="660">
      <c r="A660" s="397"/>
    </row>
    <row r="661">
      <c r="A661" s="397"/>
    </row>
    <row r="662">
      <c r="A662" s="397"/>
    </row>
    <row r="663">
      <c r="A663" s="397"/>
    </row>
    <row r="664">
      <c r="A664" s="397"/>
    </row>
    <row r="665">
      <c r="A665" s="397"/>
    </row>
    <row r="666">
      <c r="A666" s="397"/>
    </row>
    <row r="667">
      <c r="A667" s="397"/>
    </row>
    <row r="668">
      <c r="A668" s="397"/>
    </row>
    <row r="669">
      <c r="A669" s="397"/>
    </row>
    <row r="670">
      <c r="A670" s="397"/>
    </row>
    <row r="671">
      <c r="A671" s="397"/>
    </row>
    <row r="672">
      <c r="A672" s="397"/>
    </row>
    <row r="673">
      <c r="A673" s="397"/>
    </row>
    <row r="674">
      <c r="A674" s="397"/>
    </row>
    <row r="675">
      <c r="A675" s="397"/>
    </row>
    <row r="676">
      <c r="A676" s="397"/>
    </row>
    <row r="677">
      <c r="A677" s="397"/>
    </row>
    <row r="678">
      <c r="A678" s="397"/>
    </row>
    <row r="679">
      <c r="A679" s="397"/>
    </row>
    <row r="680">
      <c r="A680" s="397"/>
    </row>
    <row r="681">
      <c r="A681" s="397"/>
    </row>
    <row r="682">
      <c r="A682" s="397"/>
    </row>
    <row r="683">
      <c r="A683" s="397"/>
    </row>
    <row r="684">
      <c r="A684" s="397"/>
    </row>
    <row r="685">
      <c r="A685" s="397"/>
    </row>
    <row r="686">
      <c r="A686" s="397"/>
    </row>
    <row r="687">
      <c r="A687" s="397"/>
    </row>
    <row r="688">
      <c r="A688" s="397"/>
    </row>
    <row r="689">
      <c r="A689" s="397"/>
    </row>
    <row r="690">
      <c r="A690" s="397"/>
    </row>
    <row r="691">
      <c r="A691" s="397"/>
    </row>
    <row r="692">
      <c r="A692" s="397"/>
    </row>
    <row r="693">
      <c r="A693" s="397"/>
    </row>
    <row r="694">
      <c r="A694" s="397"/>
    </row>
    <row r="695">
      <c r="A695" s="397"/>
    </row>
    <row r="696">
      <c r="A696" s="397"/>
    </row>
    <row r="697">
      <c r="A697" s="397"/>
    </row>
    <row r="698">
      <c r="A698" s="397"/>
    </row>
    <row r="699">
      <c r="A699" s="397"/>
    </row>
    <row r="700">
      <c r="A700" s="397"/>
    </row>
    <row r="701">
      <c r="A701" s="397"/>
    </row>
    <row r="702">
      <c r="A702" s="397"/>
    </row>
    <row r="703">
      <c r="A703" s="397"/>
    </row>
    <row r="704">
      <c r="A704" s="397"/>
    </row>
    <row r="705">
      <c r="A705" s="397"/>
    </row>
    <row r="706">
      <c r="A706" s="397"/>
    </row>
    <row r="707">
      <c r="A707" s="397"/>
    </row>
    <row r="708">
      <c r="A708" s="397"/>
    </row>
    <row r="709">
      <c r="A709" s="397"/>
    </row>
    <row r="710">
      <c r="A710" s="397"/>
    </row>
    <row r="711">
      <c r="A711" s="397"/>
    </row>
    <row r="712">
      <c r="A712" s="397"/>
    </row>
    <row r="713">
      <c r="A713" s="397"/>
    </row>
    <row r="714">
      <c r="A714" s="397"/>
    </row>
    <row r="715">
      <c r="A715" s="397"/>
    </row>
    <row r="716">
      <c r="A716" s="397"/>
    </row>
    <row r="717">
      <c r="A717" s="397"/>
    </row>
    <row r="718">
      <c r="A718" s="397"/>
    </row>
    <row r="719">
      <c r="A719" s="397"/>
    </row>
    <row r="720">
      <c r="A720" s="397"/>
    </row>
    <row r="721">
      <c r="A721" s="397"/>
    </row>
    <row r="722">
      <c r="A722" s="397"/>
    </row>
    <row r="723">
      <c r="A723" s="397"/>
    </row>
    <row r="724">
      <c r="A724" s="397"/>
    </row>
    <row r="725">
      <c r="A725" s="397"/>
    </row>
    <row r="726">
      <c r="A726" s="397"/>
    </row>
    <row r="727">
      <c r="A727" s="397"/>
    </row>
    <row r="728">
      <c r="A728" s="397"/>
    </row>
    <row r="729">
      <c r="A729" s="397"/>
    </row>
    <row r="730">
      <c r="A730" s="397"/>
    </row>
    <row r="731">
      <c r="A731" s="397"/>
    </row>
    <row r="732">
      <c r="A732" s="397"/>
    </row>
    <row r="733">
      <c r="A733" s="397"/>
    </row>
    <row r="734">
      <c r="A734" s="397"/>
    </row>
    <row r="735">
      <c r="A735" s="397"/>
    </row>
    <row r="736">
      <c r="A736" s="397"/>
    </row>
    <row r="737">
      <c r="A737" s="397"/>
    </row>
    <row r="738">
      <c r="A738" s="397"/>
    </row>
    <row r="739">
      <c r="A739" s="397"/>
    </row>
    <row r="740">
      <c r="A740" s="397"/>
    </row>
    <row r="741">
      <c r="A741" s="397"/>
    </row>
    <row r="742">
      <c r="A742" s="397"/>
    </row>
    <row r="743">
      <c r="A743" s="397"/>
    </row>
    <row r="744">
      <c r="A744" s="397"/>
    </row>
    <row r="745">
      <c r="A745" s="397"/>
    </row>
    <row r="746">
      <c r="A746" s="397"/>
    </row>
    <row r="747">
      <c r="A747" s="397"/>
    </row>
    <row r="748">
      <c r="A748" s="397"/>
    </row>
    <row r="749">
      <c r="A749" s="397"/>
    </row>
    <row r="750">
      <c r="A750" s="397"/>
    </row>
    <row r="751">
      <c r="A751" s="397"/>
    </row>
    <row r="752">
      <c r="A752" s="397"/>
    </row>
    <row r="753">
      <c r="A753" s="397"/>
    </row>
    <row r="754">
      <c r="A754" s="397"/>
    </row>
    <row r="755">
      <c r="A755" s="397"/>
    </row>
    <row r="756">
      <c r="A756" s="397"/>
    </row>
    <row r="757">
      <c r="A757" s="397"/>
    </row>
    <row r="758">
      <c r="A758" s="397"/>
    </row>
    <row r="759">
      <c r="A759" s="397"/>
    </row>
    <row r="760">
      <c r="A760" s="397"/>
    </row>
    <row r="761">
      <c r="A761" s="397"/>
    </row>
    <row r="762">
      <c r="A762" s="397"/>
    </row>
    <row r="763">
      <c r="A763" s="397"/>
    </row>
    <row r="764">
      <c r="A764" s="397"/>
    </row>
    <row r="765">
      <c r="A765" s="397"/>
    </row>
    <row r="766">
      <c r="A766" s="397"/>
    </row>
    <row r="767">
      <c r="A767" s="397"/>
    </row>
    <row r="768">
      <c r="A768" s="397"/>
    </row>
    <row r="769">
      <c r="A769" s="397"/>
    </row>
    <row r="770">
      <c r="A770" s="397"/>
    </row>
    <row r="771">
      <c r="A771" s="397"/>
    </row>
    <row r="772">
      <c r="A772" s="397"/>
    </row>
    <row r="773">
      <c r="A773" s="397"/>
    </row>
    <row r="774">
      <c r="A774" s="397"/>
    </row>
    <row r="775">
      <c r="A775" s="397"/>
    </row>
    <row r="776">
      <c r="A776" s="397"/>
    </row>
    <row r="777">
      <c r="A777" s="397"/>
    </row>
    <row r="778">
      <c r="A778" s="397"/>
    </row>
    <row r="779">
      <c r="A779" s="397"/>
    </row>
    <row r="780">
      <c r="A780" s="397"/>
    </row>
    <row r="781">
      <c r="A781" s="397"/>
    </row>
    <row r="782">
      <c r="A782" s="397"/>
    </row>
    <row r="783">
      <c r="A783" s="397"/>
    </row>
    <row r="784">
      <c r="A784" s="397"/>
    </row>
    <row r="785">
      <c r="A785" s="397"/>
    </row>
    <row r="786">
      <c r="A786" s="397"/>
    </row>
    <row r="787">
      <c r="A787" s="397"/>
    </row>
    <row r="788">
      <c r="A788" s="397"/>
    </row>
    <row r="789">
      <c r="A789" s="397"/>
    </row>
    <row r="790">
      <c r="A790" s="397"/>
    </row>
    <row r="791">
      <c r="A791" s="397"/>
    </row>
    <row r="792">
      <c r="A792" s="397"/>
    </row>
    <row r="793">
      <c r="A793" s="397"/>
    </row>
    <row r="794">
      <c r="A794" s="397"/>
    </row>
    <row r="795">
      <c r="A795" s="397"/>
    </row>
    <row r="796">
      <c r="A796" s="397"/>
    </row>
    <row r="797">
      <c r="A797" s="397"/>
    </row>
    <row r="798">
      <c r="A798" s="397"/>
    </row>
    <row r="799">
      <c r="A799" s="397"/>
    </row>
    <row r="800">
      <c r="A800" s="397"/>
    </row>
    <row r="801">
      <c r="A801" s="397"/>
    </row>
    <row r="802">
      <c r="A802" s="397"/>
    </row>
    <row r="803">
      <c r="A803" s="397"/>
    </row>
    <row r="804">
      <c r="A804" s="397"/>
    </row>
    <row r="805">
      <c r="A805" s="397"/>
    </row>
    <row r="806">
      <c r="A806" s="397"/>
    </row>
    <row r="807">
      <c r="A807" s="397"/>
    </row>
    <row r="808">
      <c r="A808" s="397"/>
    </row>
    <row r="809">
      <c r="A809" s="397"/>
    </row>
    <row r="810">
      <c r="A810" s="397"/>
    </row>
    <row r="811">
      <c r="A811" s="397"/>
    </row>
    <row r="812">
      <c r="A812" s="397"/>
    </row>
    <row r="813">
      <c r="A813" s="397"/>
    </row>
    <row r="814">
      <c r="A814" s="397"/>
    </row>
    <row r="815">
      <c r="A815" s="397"/>
    </row>
    <row r="816">
      <c r="A816" s="397"/>
    </row>
    <row r="817">
      <c r="A817" s="397"/>
    </row>
    <row r="818">
      <c r="A818" s="397"/>
    </row>
    <row r="819">
      <c r="A819" s="397"/>
    </row>
    <row r="820">
      <c r="A820" s="397"/>
    </row>
    <row r="821">
      <c r="A821" s="397"/>
    </row>
    <row r="822">
      <c r="A822" s="397"/>
    </row>
    <row r="823">
      <c r="A823" s="397"/>
    </row>
    <row r="824">
      <c r="A824" s="397"/>
    </row>
    <row r="825">
      <c r="A825" s="397"/>
    </row>
    <row r="826">
      <c r="A826" s="397"/>
    </row>
    <row r="827">
      <c r="A827" s="397"/>
    </row>
    <row r="828">
      <c r="A828" s="397"/>
    </row>
    <row r="829">
      <c r="A829" s="397"/>
    </row>
    <row r="830">
      <c r="A830" s="397"/>
    </row>
    <row r="831">
      <c r="A831" s="397"/>
    </row>
    <row r="832">
      <c r="A832" s="397"/>
    </row>
    <row r="833">
      <c r="A833" s="397"/>
    </row>
    <row r="834">
      <c r="A834" s="397"/>
    </row>
    <row r="835">
      <c r="A835" s="397"/>
    </row>
    <row r="836">
      <c r="A836" s="397"/>
    </row>
    <row r="837">
      <c r="A837" s="397"/>
    </row>
    <row r="838">
      <c r="A838" s="397"/>
    </row>
    <row r="839">
      <c r="A839" s="397"/>
    </row>
    <row r="840">
      <c r="A840" s="397"/>
    </row>
    <row r="841">
      <c r="A841" s="397"/>
    </row>
    <row r="842">
      <c r="A842" s="397"/>
    </row>
    <row r="843">
      <c r="A843" s="397"/>
    </row>
    <row r="844">
      <c r="A844" s="397"/>
    </row>
    <row r="845">
      <c r="A845" s="397"/>
    </row>
    <row r="846">
      <c r="A846" s="397"/>
    </row>
    <row r="847">
      <c r="A847" s="397"/>
    </row>
    <row r="848">
      <c r="A848" s="397"/>
    </row>
    <row r="849">
      <c r="A849" s="397"/>
    </row>
    <row r="850">
      <c r="A850" s="397"/>
    </row>
    <row r="851">
      <c r="A851" s="397"/>
    </row>
    <row r="852">
      <c r="A852" s="397"/>
    </row>
    <row r="853">
      <c r="A853" s="397"/>
    </row>
    <row r="854">
      <c r="A854" s="397"/>
    </row>
    <row r="855">
      <c r="A855" s="397"/>
    </row>
    <row r="856">
      <c r="A856" s="397"/>
    </row>
    <row r="857">
      <c r="A857" s="397"/>
    </row>
    <row r="858">
      <c r="A858" s="397"/>
    </row>
    <row r="859">
      <c r="A859" s="397"/>
    </row>
    <row r="860">
      <c r="A860" s="397"/>
    </row>
    <row r="861">
      <c r="A861" s="397"/>
    </row>
    <row r="862">
      <c r="A862" s="397"/>
    </row>
    <row r="863">
      <c r="A863" s="397"/>
    </row>
    <row r="864">
      <c r="A864" s="397"/>
    </row>
    <row r="865">
      <c r="A865" s="397"/>
    </row>
    <row r="866">
      <c r="A866" s="397"/>
    </row>
    <row r="867">
      <c r="A867" s="397"/>
    </row>
    <row r="868">
      <c r="A868" s="397"/>
    </row>
    <row r="869">
      <c r="A869" s="397"/>
    </row>
    <row r="870">
      <c r="A870" s="397"/>
    </row>
    <row r="871">
      <c r="A871" s="397"/>
    </row>
    <row r="872">
      <c r="A872" s="397"/>
    </row>
    <row r="873">
      <c r="A873" s="397"/>
    </row>
    <row r="874">
      <c r="A874" s="397"/>
    </row>
    <row r="875">
      <c r="A875" s="397"/>
    </row>
    <row r="876">
      <c r="A876" s="397"/>
    </row>
    <row r="877">
      <c r="A877" s="397"/>
    </row>
    <row r="878">
      <c r="A878" s="397"/>
    </row>
    <row r="879">
      <c r="A879" s="397"/>
    </row>
    <row r="880">
      <c r="A880" s="397"/>
    </row>
    <row r="881">
      <c r="A881" s="397"/>
    </row>
    <row r="882">
      <c r="A882" s="397"/>
    </row>
    <row r="883">
      <c r="A883" s="397"/>
    </row>
    <row r="884">
      <c r="A884" s="397"/>
    </row>
    <row r="885">
      <c r="A885" s="397"/>
    </row>
    <row r="886">
      <c r="A886" s="397"/>
    </row>
    <row r="887">
      <c r="A887" s="397"/>
    </row>
    <row r="888">
      <c r="A888" s="397"/>
    </row>
    <row r="889">
      <c r="A889" s="397"/>
    </row>
    <row r="890">
      <c r="A890" s="397"/>
    </row>
    <row r="891">
      <c r="A891" s="397"/>
    </row>
    <row r="892">
      <c r="A892" s="397"/>
    </row>
    <row r="893">
      <c r="A893" s="397"/>
    </row>
    <row r="894">
      <c r="A894" s="397"/>
    </row>
    <row r="895">
      <c r="A895" s="397"/>
    </row>
    <row r="896">
      <c r="A896" s="397"/>
    </row>
    <row r="897">
      <c r="A897" s="397"/>
    </row>
    <row r="898">
      <c r="A898" s="397"/>
    </row>
    <row r="899">
      <c r="A899" s="397"/>
    </row>
    <row r="900">
      <c r="A900" s="397"/>
    </row>
    <row r="901">
      <c r="A901" s="397"/>
    </row>
    <row r="902">
      <c r="A902" s="397"/>
    </row>
    <row r="903">
      <c r="A903" s="397"/>
    </row>
    <row r="904">
      <c r="A904" s="397"/>
    </row>
    <row r="905">
      <c r="A905" s="397"/>
    </row>
    <row r="906">
      <c r="A906" s="397"/>
    </row>
    <row r="907">
      <c r="A907" s="397"/>
    </row>
    <row r="908">
      <c r="A908" s="397"/>
    </row>
    <row r="909">
      <c r="A909" s="397"/>
    </row>
    <row r="910">
      <c r="A910" s="397"/>
    </row>
    <row r="911">
      <c r="A911" s="397"/>
    </row>
    <row r="912">
      <c r="A912" s="397"/>
    </row>
    <row r="913">
      <c r="A913" s="397"/>
    </row>
    <row r="914">
      <c r="A914" s="397"/>
    </row>
    <row r="915">
      <c r="A915" s="397"/>
    </row>
    <row r="916">
      <c r="A916" s="397"/>
    </row>
    <row r="917">
      <c r="A917" s="397"/>
    </row>
    <row r="918">
      <c r="A918" s="397"/>
    </row>
    <row r="919">
      <c r="A919" s="397"/>
    </row>
    <row r="920">
      <c r="A920" s="397"/>
    </row>
    <row r="921">
      <c r="A921" s="397"/>
    </row>
    <row r="922">
      <c r="A922" s="397"/>
    </row>
    <row r="923">
      <c r="A923" s="397"/>
    </row>
    <row r="924">
      <c r="A924" s="397"/>
    </row>
    <row r="925">
      <c r="A925" s="397"/>
    </row>
    <row r="926">
      <c r="A926" s="397"/>
    </row>
    <row r="927">
      <c r="A927" s="397"/>
    </row>
    <row r="928">
      <c r="A928" s="397"/>
    </row>
    <row r="929">
      <c r="A929" s="397"/>
    </row>
    <row r="930">
      <c r="A930" s="397"/>
    </row>
    <row r="931">
      <c r="A931" s="397"/>
    </row>
    <row r="932">
      <c r="A932" s="397"/>
    </row>
    <row r="933">
      <c r="A933" s="397"/>
    </row>
    <row r="934">
      <c r="A934" s="397"/>
    </row>
    <row r="935">
      <c r="A935" s="397"/>
    </row>
    <row r="936">
      <c r="A936" s="397"/>
    </row>
    <row r="937">
      <c r="A937" s="397"/>
    </row>
    <row r="938">
      <c r="A938" s="397"/>
    </row>
    <row r="939">
      <c r="A939" s="397"/>
    </row>
    <row r="940">
      <c r="A940" s="397"/>
    </row>
    <row r="941">
      <c r="A941" s="397"/>
    </row>
    <row r="942">
      <c r="A942" s="397"/>
    </row>
    <row r="943">
      <c r="A943" s="397"/>
    </row>
    <row r="944">
      <c r="A944" s="397"/>
    </row>
    <row r="945">
      <c r="A945" s="397"/>
    </row>
    <row r="946">
      <c r="A946" s="397"/>
    </row>
    <row r="947">
      <c r="A947" s="397"/>
    </row>
    <row r="948">
      <c r="A948" s="397"/>
    </row>
    <row r="949">
      <c r="A949" s="397"/>
    </row>
    <row r="950">
      <c r="A950" s="397"/>
    </row>
    <row r="951">
      <c r="A951" s="397"/>
    </row>
    <row r="952">
      <c r="A952" s="397"/>
    </row>
    <row r="953">
      <c r="A953" s="397"/>
    </row>
    <row r="954">
      <c r="A954" s="397"/>
    </row>
    <row r="955">
      <c r="A955" s="397"/>
    </row>
    <row r="956">
      <c r="A956" s="397"/>
    </row>
    <row r="957">
      <c r="A957" s="397"/>
    </row>
    <row r="958">
      <c r="A958" s="397"/>
    </row>
    <row r="959">
      <c r="A959" s="397"/>
    </row>
    <row r="960">
      <c r="A960" s="397"/>
    </row>
    <row r="961">
      <c r="A961" s="397"/>
    </row>
    <row r="962">
      <c r="A962" s="397"/>
    </row>
    <row r="963">
      <c r="A963" s="397"/>
    </row>
    <row r="964">
      <c r="A964" s="397"/>
    </row>
    <row r="965">
      <c r="A965" s="397"/>
    </row>
    <row r="966">
      <c r="A966" s="397"/>
    </row>
    <row r="967">
      <c r="A967" s="397"/>
    </row>
    <row r="968">
      <c r="A968" s="397"/>
    </row>
    <row r="969">
      <c r="A969" s="397"/>
    </row>
    <row r="970">
      <c r="A970" s="397"/>
    </row>
    <row r="971">
      <c r="A971" s="397"/>
    </row>
    <row r="972">
      <c r="A972" s="397"/>
    </row>
    <row r="973">
      <c r="A973" s="397"/>
    </row>
    <row r="974">
      <c r="A974" s="397"/>
    </row>
    <row r="975">
      <c r="A975" s="397"/>
    </row>
    <row r="976">
      <c r="A976" s="397"/>
    </row>
    <row r="977">
      <c r="A977" s="397"/>
    </row>
    <row r="978">
      <c r="A978" s="397"/>
    </row>
    <row r="979">
      <c r="A979" s="397"/>
    </row>
    <row r="980">
      <c r="A980" s="397"/>
    </row>
    <row r="981">
      <c r="A981" s="397"/>
    </row>
    <row r="982">
      <c r="A982" s="397"/>
    </row>
    <row r="983">
      <c r="A983" s="397"/>
    </row>
    <row r="984">
      <c r="A984" s="397"/>
    </row>
    <row r="985">
      <c r="A985" s="397"/>
    </row>
    <row r="986">
      <c r="A986" s="397"/>
    </row>
    <row r="987">
      <c r="A987" s="397"/>
    </row>
    <row r="988">
      <c r="A988" s="397"/>
    </row>
    <row r="989">
      <c r="A989" s="397"/>
    </row>
    <row r="990">
      <c r="A990" s="397"/>
    </row>
    <row r="991">
      <c r="A991" s="397"/>
    </row>
    <row r="992">
      <c r="A992" s="397"/>
    </row>
    <row r="993">
      <c r="A993" s="397"/>
    </row>
    <row r="994">
      <c r="A994" s="397"/>
    </row>
    <row r="995">
      <c r="A995" s="397"/>
    </row>
    <row r="996">
      <c r="A996" s="397"/>
    </row>
    <row r="997">
      <c r="A997" s="397"/>
    </row>
    <row r="998">
      <c r="A998" s="397"/>
    </row>
    <row r="999">
      <c r="A999" s="397"/>
    </row>
    <row r="1000">
      <c r="A1000" s="39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1.71"/>
    <col customWidth="1" min="17" max="17" width="28.14"/>
  </cols>
  <sheetData>
    <row r="1">
      <c r="A1" s="398" t="s">
        <v>1426</v>
      </c>
      <c r="B1" s="399"/>
      <c r="C1" s="399"/>
      <c r="D1" s="399"/>
      <c r="E1" s="399"/>
      <c r="F1" s="399"/>
      <c r="G1" s="399"/>
      <c r="H1" s="400"/>
      <c r="I1" s="353"/>
      <c r="J1" s="401"/>
      <c r="K1" s="402"/>
      <c r="L1" s="403"/>
      <c r="M1" s="404"/>
      <c r="N1" s="405"/>
      <c r="O1" s="310"/>
      <c r="P1" s="406"/>
      <c r="Q1" s="265"/>
      <c r="R1" s="407" t="s">
        <v>1427</v>
      </c>
      <c r="S1" s="408" t="s">
        <v>1190</v>
      </c>
      <c r="T1" s="409" t="s">
        <v>1214</v>
      </c>
      <c r="U1" s="410" t="s">
        <v>1120</v>
      </c>
      <c r="V1" s="411" t="s">
        <v>1188</v>
      </c>
      <c r="W1" s="412" t="s">
        <v>1428</v>
      </c>
      <c r="X1" s="413" t="s">
        <v>1429</v>
      </c>
      <c r="Y1" s="414" t="s">
        <v>1430</v>
      </c>
      <c r="Z1" s="415" t="s">
        <v>1178</v>
      </c>
      <c r="AA1" s="416" t="s">
        <v>1145</v>
      </c>
      <c r="AB1" s="417" t="s">
        <v>1301</v>
      </c>
      <c r="AC1" s="418" t="s">
        <v>1130</v>
      </c>
      <c r="AD1" s="419" t="s">
        <v>1314</v>
      </c>
      <c r="AE1" s="420" t="s">
        <v>1431</v>
      </c>
      <c r="AF1" s="421" t="s">
        <v>1432</v>
      </c>
      <c r="AG1" s="422" t="s">
        <v>1433</v>
      </c>
      <c r="AH1" s="423" t="s">
        <v>1095</v>
      </c>
      <c r="AI1" s="424" t="s">
        <v>1103</v>
      </c>
      <c r="AJ1" s="425" t="s">
        <v>1090</v>
      </c>
      <c r="AK1" s="426" t="s">
        <v>1296</v>
      </c>
      <c r="AL1" s="427" t="s">
        <v>1270</v>
      </c>
      <c r="AM1" s="428" t="s">
        <v>1434</v>
      </c>
      <c r="AN1" s="429" t="s">
        <v>1435</v>
      </c>
      <c r="AO1" s="430" t="s">
        <v>1436</v>
      </c>
      <c r="AP1" s="431" t="s">
        <v>1115</v>
      </c>
      <c r="AQ1" s="432" t="s">
        <v>1089</v>
      </c>
      <c r="AR1" s="433" t="s">
        <v>1182</v>
      </c>
      <c r="AS1" s="434" t="s">
        <v>1298</v>
      </c>
      <c r="AT1" s="435" t="s">
        <v>1437</v>
      </c>
      <c r="AU1" s="436" t="s">
        <v>1438</v>
      </c>
      <c r="AV1" s="437" t="s">
        <v>1439</v>
      </c>
      <c r="AW1" s="438" t="s">
        <v>1440</v>
      </c>
      <c r="AX1" s="439" t="s">
        <v>1163</v>
      </c>
      <c r="AY1" s="440" t="s">
        <v>1223</v>
      </c>
      <c r="AZ1" s="441" t="s">
        <v>1441</v>
      </c>
      <c r="BA1" s="442" t="s">
        <v>1442</v>
      </c>
      <c r="BB1" s="443" t="s">
        <v>1443</v>
      </c>
      <c r="BC1" s="444" t="s">
        <v>1444</v>
      </c>
      <c r="BD1" s="445" t="s">
        <v>1445</v>
      </c>
      <c r="BE1" s="446" t="s">
        <v>1446</v>
      </c>
      <c r="BF1" s="447" t="s">
        <v>1129</v>
      </c>
      <c r="BG1" s="448" t="s">
        <v>1447</v>
      </c>
      <c r="BH1" s="449" t="s">
        <v>1448</v>
      </c>
      <c r="BI1" s="450" t="s">
        <v>1449</v>
      </c>
      <c r="BJ1" s="451" t="s">
        <v>1450</v>
      </c>
      <c r="BK1" s="452" t="s">
        <v>1451</v>
      </c>
      <c r="BL1" s="453" t="s">
        <v>1452</v>
      </c>
      <c r="BM1" s="454" t="s">
        <v>1453</v>
      </c>
      <c r="BN1" s="455" t="s">
        <v>1454</v>
      </c>
      <c r="BO1" s="456" t="s">
        <v>1455</v>
      </c>
      <c r="BP1" s="457" t="s">
        <v>1456</v>
      </c>
      <c r="BQ1" s="458" t="s">
        <v>1457</v>
      </c>
      <c r="BR1" s="459" t="s">
        <v>1458</v>
      </c>
      <c r="BS1" s="460" t="s">
        <v>1459</v>
      </c>
      <c r="BT1" s="461" t="s">
        <v>1460</v>
      </c>
      <c r="BU1" s="462" t="s">
        <v>1461</v>
      </c>
    </row>
    <row r="2">
      <c r="A2" s="310" t="s">
        <v>1462</v>
      </c>
      <c r="B2" s="345" t="s">
        <v>389</v>
      </c>
      <c r="C2" s="346" t="s">
        <v>420</v>
      </c>
      <c r="D2" s="347" t="s">
        <v>358</v>
      </c>
      <c r="E2" s="348" t="s">
        <v>363</v>
      </c>
      <c r="F2" s="349" t="s">
        <v>413</v>
      </c>
      <c r="G2" s="350" t="s">
        <v>357</v>
      </c>
      <c r="H2" s="351" t="s">
        <v>380</v>
      </c>
      <c r="I2" s="352" t="s">
        <v>387</v>
      </c>
      <c r="Q2" s="310" t="s">
        <v>1463</v>
      </c>
      <c r="R2" s="235">
        <f>Coinfections!J97</f>
        <v>1</v>
      </c>
      <c r="S2" s="235">
        <f>Coinfections!K97</f>
        <v>4</v>
      </c>
      <c r="T2" s="235">
        <f>Coinfections!L97</f>
        <v>1</v>
      </c>
      <c r="U2" s="235">
        <f>Coinfections!M97</f>
        <v>0</v>
      </c>
      <c r="V2" s="235">
        <f>Coinfections!N97</f>
        <v>4</v>
      </c>
      <c r="W2" s="235">
        <f>Coinfections!O97</f>
        <v>0</v>
      </c>
      <c r="X2" s="235">
        <f>Coinfections!P97</f>
        <v>0</v>
      </c>
      <c r="Y2" s="235">
        <f>Coinfections!Q97</f>
        <v>1</v>
      </c>
      <c r="Z2" s="235">
        <f>Coinfections!R97</f>
        <v>6</v>
      </c>
      <c r="AA2" s="235">
        <f>Coinfections!S97</f>
        <v>2</v>
      </c>
      <c r="AB2" s="235">
        <f>Coinfections!T97</f>
        <v>1</v>
      </c>
      <c r="AC2" s="235">
        <f>Coinfections!U97</f>
        <v>2</v>
      </c>
      <c r="AD2" s="235">
        <f>Coinfections!V97</f>
        <v>2</v>
      </c>
      <c r="AE2" s="235">
        <f>Coinfections!W97</f>
        <v>0</v>
      </c>
      <c r="AF2" s="235">
        <f>Coinfections!X97</f>
        <v>4</v>
      </c>
      <c r="AG2" s="235">
        <f>Coinfections!Y97</f>
        <v>6</v>
      </c>
      <c r="AH2" s="235">
        <f>Coinfections!Z97</f>
        <v>9</v>
      </c>
      <c r="AI2" s="235">
        <f>Coinfections!AA97</f>
        <v>12</v>
      </c>
      <c r="AJ2" s="235">
        <f>Coinfections!AB97</f>
        <v>14</v>
      </c>
      <c r="AK2" s="235">
        <f>Coinfections!AC97</f>
        <v>5</v>
      </c>
      <c r="AL2" s="235">
        <f>Coinfections!AD97</f>
        <v>0</v>
      </c>
      <c r="AM2" s="235">
        <f>Coinfections!AE97</f>
        <v>1</v>
      </c>
      <c r="AN2" s="235">
        <f>Coinfections!AF97</f>
        <v>2</v>
      </c>
      <c r="AO2" s="235">
        <f>Coinfections!AG97</f>
        <v>9</v>
      </c>
      <c r="AP2" s="235">
        <f>Coinfections!AH97</f>
        <v>2</v>
      </c>
      <c r="AQ2" s="235">
        <f>Coinfections!AI97</f>
        <v>17</v>
      </c>
      <c r="AR2" s="235">
        <f>Coinfections!AJ97</f>
        <v>1</v>
      </c>
      <c r="AS2" s="235">
        <f>Coinfections!AK97</f>
        <v>1</v>
      </c>
      <c r="AT2" s="235">
        <f>Coinfections!AL97</f>
        <v>0</v>
      </c>
      <c r="AU2" s="235">
        <f>Coinfections!AM97</f>
        <v>1</v>
      </c>
      <c r="AV2" s="235">
        <f>Coinfections!AN97</f>
        <v>12</v>
      </c>
      <c r="AW2" s="235">
        <f>Coinfections!AO97</f>
        <v>2</v>
      </c>
      <c r="AX2" s="235">
        <f>Coinfections!AP97</f>
        <v>9</v>
      </c>
      <c r="AY2" s="235">
        <f>Coinfections!AQ97</f>
        <v>2</v>
      </c>
      <c r="AZ2" s="235">
        <f>Coinfections!AR97</f>
        <v>0</v>
      </c>
      <c r="BA2" s="235">
        <f>Coinfections!AS97</f>
        <v>4</v>
      </c>
      <c r="BB2" s="235">
        <f>Coinfections!AT97</f>
        <v>2</v>
      </c>
      <c r="BC2" s="235">
        <f>Coinfections!AU97</f>
        <v>14</v>
      </c>
      <c r="BD2" s="235">
        <f>Coinfections!AV97</f>
        <v>17</v>
      </c>
      <c r="BE2" s="235">
        <f>Coinfections!AW97</f>
        <v>9</v>
      </c>
      <c r="BF2" s="235">
        <f>Coinfections!AX97</f>
        <v>7</v>
      </c>
      <c r="BG2" s="235">
        <f>Coinfections!AY97</f>
        <v>1</v>
      </c>
      <c r="BH2" s="235">
        <f>Coinfections!AZ97</f>
        <v>0</v>
      </c>
      <c r="BI2" s="235">
        <f>Coinfections!BA97</f>
        <v>2</v>
      </c>
      <c r="BJ2" s="235">
        <f>Coinfections!BB97</f>
        <v>5</v>
      </c>
      <c r="BK2" s="235">
        <f>Coinfections!BC97</f>
        <v>1</v>
      </c>
      <c r="BL2" s="235">
        <f>Coinfections!BD97</f>
        <v>2</v>
      </c>
      <c r="BM2" s="235">
        <f>Coinfections!BE97</f>
        <v>7</v>
      </c>
      <c r="BN2" s="235">
        <f>Coinfections!BF97</f>
        <v>0</v>
      </c>
      <c r="BO2" s="235">
        <f>Coinfections!BG97</f>
        <v>0</v>
      </c>
      <c r="BP2" s="235">
        <f>Coinfections!BH97</f>
        <v>0</v>
      </c>
      <c r="BQ2" s="235">
        <f>Coinfections!BI97</f>
        <v>0</v>
      </c>
      <c r="BR2" s="235">
        <f>Coinfections!BJ97</f>
        <v>1</v>
      </c>
      <c r="BS2" s="235">
        <f>Coinfections!BK97</f>
        <v>0</v>
      </c>
      <c r="BT2" s="235">
        <f>Coinfections!BL97</f>
        <v>1</v>
      </c>
      <c r="BU2" s="235">
        <f>Coinfections!BM97</f>
        <v>0</v>
      </c>
    </row>
    <row r="3">
      <c r="A3" s="463">
        <v>40022.0</v>
      </c>
      <c r="B3" s="464">
        <f>'07-28-09'!J23</f>
        <v>0</v>
      </c>
      <c r="C3" s="464">
        <f>'07-28-09'!K23</f>
        <v>0</v>
      </c>
      <c r="D3" s="464">
        <f>'07-28-09'!L23</f>
        <v>6</v>
      </c>
      <c r="E3" s="464">
        <f>'07-28-09'!M23</f>
        <v>3</v>
      </c>
      <c r="F3" s="464">
        <f>'07-28-09'!N23</f>
        <v>1</v>
      </c>
      <c r="G3" s="464">
        <f>'07-28-09'!O23</f>
        <v>3</v>
      </c>
      <c r="H3" s="464">
        <f>'07-28-09'!P23</f>
        <v>0</v>
      </c>
      <c r="I3" s="464">
        <f>'07-28-09'!Q23</f>
        <v>0</v>
      </c>
      <c r="Q3" s="310" t="s">
        <v>1464</v>
      </c>
      <c r="R3" s="182">
        <f>Coinfections!J98</f>
        <v>0.1</v>
      </c>
      <c r="S3" s="182">
        <f>Coinfections!K98</f>
        <v>0.4</v>
      </c>
      <c r="T3" s="182">
        <f>Coinfections!L98</f>
        <v>0.1</v>
      </c>
      <c r="U3" s="182">
        <f>Coinfections!M98</f>
        <v>0</v>
      </c>
      <c r="V3" s="182">
        <f>Coinfections!N98</f>
        <v>0.4</v>
      </c>
      <c r="W3" s="182">
        <f>Coinfections!O98</f>
        <v>0</v>
      </c>
      <c r="X3" s="182">
        <f>Coinfections!P98</f>
        <v>0</v>
      </c>
      <c r="Y3" s="182">
        <f>Coinfections!Q98</f>
        <v>0.07142857143</v>
      </c>
      <c r="Z3" s="182">
        <f>Coinfections!R98</f>
        <v>0.4285714286</v>
      </c>
      <c r="AA3" s="182">
        <f>Coinfections!S98</f>
        <v>0.1428571429</v>
      </c>
      <c r="AB3" s="182">
        <f>Coinfections!T98</f>
        <v>0.07142857143</v>
      </c>
      <c r="AC3" s="182">
        <f>Coinfections!U98</f>
        <v>0.1428571429</v>
      </c>
      <c r="AD3" s="182">
        <f>Coinfections!V98</f>
        <v>0.1428571429</v>
      </c>
      <c r="AE3" s="182">
        <f>Coinfections!W98</f>
        <v>0</v>
      </c>
      <c r="AF3" s="182">
        <f>Coinfections!X98</f>
        <v>0.08</v>
      </c>
      <c r="AG3" s="182">
        <f>Coinfections!Y98</f>
        <v>0.12</v>
      </c>
      <c r="AH3" s="182">
        <f>Coinfections!Z98</f>
        <v>0.18</v>
      </c>
      <c r="AI3" s="182">
        <f>Coinfections!AA98</f>
        <v>0.24</v>
      </c>
      <c r="AJ3" s="182">
        <f>Coinfections!AB98</f>
        <v>0.28</v>
      </c>
      <c r="AK3" s="182">
        <f>Coinfections!AC98</f>
        <v>0.1</v>
      </c>
      <c r="AL3" s="182">
        <f>Coinfections!AD98</f>
        <v>0</v>
      </c>
      <c r="AM3" s="182">
        <f>Coinfections!AE98</f>
        <v>0.0303030303</v>
      </c>
      <c r="AN3" s="182">
        <f>Coinfections!AF98</f>
        <v>0.06060606061</v>
      </c>
      <c r="AO3" s="182">
        <f>Coinfections!AG98</f>
        <v>0.2727272727</v>
      </c>
      <c r="AP3" s="182">
        <f>Coinfections!AH98</f>
        <v>0.06060606061</v>
      </c>
      <c r="AQ3" s="182">
        <f>Coinfections!AI98</f>
        <v>0.5151515152</v>
      </c>
      <c r="AR3" s="182">
        <f>Coinfections!AJ98</f>
        <v>0.0303030303</v>
      </c>
      <c r="AS3" s="182">
        <f>Coinfections!AK98</f>
        <v>0.0303030303</v>
      </c>
      <c r="AT3" s="182">
        <f>Coinfections!AL98</f>
        <v>0</v>
      </c>
      <c r="AU3" s="182">
        <f>Coinfections!AM98</f>
        <v>0.03846153846</v>
      </c>
      <c r="AV3" s="182">
        <f>Coinfections!AN98</f>
        <v>0.4615384615</v>
      </c>
      <c r="AW3" s="182">
        <f>Coinfections!AO98</f>
        <v>0.07692307692</v>
      </c>
      <c r="AX3" s="182">
        <f>Coinfections!AP98</f>
        <v>0.3461538462</v>
      </c>
      <c r="AY3" s="182">
        <f>Coinfections!AQ98</f>
        <v>0.07692307692</v>
      </c>
      <c r="AZ3" s="182">
        <f>Coinfections!AR98</f>
        <v>0</v>
      </c>
      <c r="BA3" s="182">
        <f>Coinfections!AS98</f>
        <v>0.07407407407</v>
      </c>
      <c r="BB3" s="182">
        <f>Coinfections!AT98</f>
        <v>0.03703703704</v>
      </c>
      <c r="BC3" s="182">
        <f>Coinfections!AU98</f>
        <v>0.2592592593</v>
      </c>
      <c r="BD3" s="182">
        <f>Coinfections!AV98</f>
        <v>0.3148148148</v>
      </c>
      <c r="BE3" s="182">
        <f>Coinfections!AW98</f>
        <v>0.1666666667</v>
      </c>
      <c r="BF3" s="182">
        <f>Coinfections!AX98</f>
        <v>0.1296296296</v>
      </c>
      <c r="BG3" s="182">
        <f>Coinfections!AY98</f>
        <v>0.01851851852</v>
      </c>
      <c r="BH3" s="182">
        <f>Coinfections!AZ98</f>
        <v>0</v>
      </c>
      <c r="BI3" s="182">
        <f>Coinfections!BA98</f>
        <v>0.1176470588</v>
      </c>
      <c r="BJ3" s="182">
        <f>Coinfections!BB98</f>
        <v>0.2941176471</v>
      </c>
      <c r="BK3" s="182">
        <f>Coinfections!BC98</f>
        <v>0.05882352941</v>
      </c>
      <c r="BL3" s="182">
        <f>Coinfections!BD98</f>
        <v>0.1176470588</v>
      </c>
      <c r="BM3" s="182">
        <f>Coinfections!BE98</f>
        <v>0.4117647059</v>
      </c>
      <c r="BN3" s="182">
        <f>Coinfections!BF98</f>
        <v>0</v>
      </c>
      <c r="BO3" s="182">
        <f>Coinfections!BG98</f>
        <v>0</v>
      </c>
      <c r="BP3" s="182">
        <f>Coinfections!BH98</f>
        <v>0</v>
      </c>
      <c r="BQ3" s="182">
        <f>Coinfections!BI98</f>
        <v>0</v>
      </c>
      <c r="BR3" s="182">
        <f>Coinfections!BJ98</f>
        <v>0.5</v>
      </c>
      <c r="BS3" s="182">
        <f>Coinfections!BK98</f>
        <v>0</v>
      </c>
      <c r="BT3" s="182">
        <f>Coinfections!BL98</f>
        <v>0.5</v>
      </c>
      <c r="BU3" s="182">
        <f>Coinfections!BM98</f>
        <v>0</v>
      </c>
    </row>
    <row r="4">
      <c r="A4" s="463">
        <v>40122.0</v>
      </c>
      <c r="B4" s="464">
        <f>'11-05-09'!I33</f>
        <v>0</v>
      </c>
      <c r="C4" s="464">
        <f>'11-05-09'!J33</f>
        <v>0</v>
      </c>
      <c r="D4" s="464">
        <f>'11-05-09'!K33</f>
        <v>5</v>
      </c>
      <c r="E4" s="464">
        <f>'11-05-09'!L33</f>
        <v>4</v>
      </c>
      <c r="F4" s="464">
        <f>'11-05-09'!M33</f>
        <v>3</v>
      </c>
      <c r="G4" s="464">
        <f>'11-05-09'!N33</f>
        <v>2</v>
      </c>
      <c r="H4" s="464">
        <f>'11-05-09'!O33</f>
        <v>2</v>
      </c>
      <c r="I4" s="464">
        <f>'11-05-09'!P33</f>
        <v>0</v>
      </c>
      <c r="Q4" s="310" t="s">
        <v>1465</v>
      </c>
      <c r="R4" s="182">
        <f>Coinfections!J99</f>
        <v>0.2952755906</v>
      </c>
      <c r="S4" s="182">
        <f>Coinfections!K99</f>
        <v>1.535433071</v>
      </c>
      <c r="T4" s="182">
        <f>Coinfections!L99</f>
        <v>1.161417323</v>
      </c>
      <c r="U4" s="182">
        <f>Coinfections!M99</f>
        <v>1.062992126</v>
      </c>
      <c r="V4" s="182">
        <f>Coinfections!N99</f>
        <v>3.799212598</v>
      </c>
      <c r="W4" s="182">
        <f>Coinfections!O99</f>
        <v>0.8661417323</v>
      </c>
      <c r="X4" s="182">
        <f>Coinfections!P99</f>
        <v>0.1377952756</v>
      </c>
      <c r="Y4" s="182">
        <f>Coinfections!Q99</f>
        <v>0.3835616438</v>
      </c>
      <c r="Z4" s="182">
        <f>Coinfections!R99</f>
        <v>2.136986301</v>
      </c>
      <c r="AA4" s="182">
        <f>Coinfections!S99</f>
        <v>1.616438356</v>
      </c>
      <c r="AB4" s="182">
        <f>Coinfections!T99</f>
        <v>1.479452055</v>
      </c>
      <c r="AC4" s="182">
        <f>Coinfections!U99</f>
        <v>5.287671233</v>
      </c>
      <c r="AD4" s="182">
        <f>Coinfections!V99</f>
        <v>1.205479452</v>
      </c>
      <c r="AE4" s="182">
        <f>Coinfections!W99</f>
        <v>0.1917808219</v>
      </c>
      <c r="AF4" s="182">
        <f>Coinfections!X99</f>
        <v>1.446280992</v>
      </c>
      <c r="AG4" s="182">
        <f>Coinfections!Y99</f>
        <v>1.549586777</v>
      </c>
      <c r="AH4" s="182">
        <f>Coinfections!Z99</f>
        <v>6.095041322</v>
      </c>
      <c r="AI4" s="182">
        <f>Coinfections!AA99</f>
        <v>5.578512397</v>
      </c>
      <c r="AJ4" s="182">
        <f>Coinfections!AB99</f>
        <v>19.93801653</v>
      </c>
      <c r="AK4" s="182">
        <f>Coinfections!AC99</f>
        <v>4.545454545</v>
      </c>
      <c r="AL4" s="182">
        <f>Coinfections!AD99</f>
        <v>0.7231404959</v>
      </c>
      <c r="AM4" s="182">
        <f>Coinfections!AE99</f>
        <v>0.950617284</v>
      </c>
      <c r="AN4" s="182">
        <f>Coinfections!AF99</f>
        <v>1.018518519</v>
      </c>
      <c r="AO4" s="182">
        <f>Coinfections!AG99</f>
        <v>5.296296296</v>
      </c>
      <c r="AP4" s="182">
        <f>Coinfections!AH99</f>
        <v>3.666666667</v>
      </c>
      <c r="AQ4" s="182">
        <f>Coinfections!AI99</f>
        <v>13.10493827</v>
      </c>
      <c r="AR4" s="182">
        <f>Coinfections!AJ99</f>
        <v>2.987654321</v>
      </c>
      <c r="AS4" s="182">
        <f>Coinfections!AK99</f>
        <v>0.475308642</v>
      </c>
      <c r="AT4" s="182">
        <f>Coinfections!AL99</f>
        <v>0.7520661157</v>
      </c>
      <c r="AU4" s="182">
        <f>Coinfections!AM99</f>
        <v>0.805785124</v>
      </c>
      <c r="AV4" s="182">
        <f>Coinfections!AN99</f>
        <v>4.190082645</v>
      </c>
      <c r="AW4" s="182">
        <f>Coinfections!AO99</f>
        <v>3.169421488</v>
      </c>
      <c r="AX4" s="182">
        <f>Coinfections!AP99</f>
        <v>10.3677686</v>
      </c>
      <c r="AY4" s="182">
        <f>Coinfections!AQ99</f>
        <v>2.363636364</v>
      </c>
      <c r="AZ4" s="182">
        <f>Coinfections!AR99</f>
        <v>0.3760330579</v>
      </c>
      <c r="BA4" s="182">
        <f>Coinfections!AS99</f>
        <v>2.026809651</v>
      </c>
      <c r="BB4" s="182">
        <f>Coinfections!AT99</f>
        <v>2.171581769</v>
      </c>
      <c r="BC4" s="182">
        <f>Coinfections!AU99</f>
        <v>11.2922252</v>
      </c>
      <c r="BD4" s="182">
        <f>Coinfections!AV99</f>
        <v>8.54155496</v>
      </c>
      <c r="BE4" s="182">
        <f>Coinfections!AW99</f>
        <v>7.81769437</v>
      </c>
      <c r="BF4" s="182">
        <f>Coinfections!AX99</f>
        <v>6.36997319</v>
      </c>
      <c r="BG4" s="182">
        <f>Coinfections!AY99</f>
        <v>1.013404826</v>
      </c>
      <c r="BH4" s="182">
        <f>Coinfections!AZ99</f>
        <v>0.4907216495</v>
      </c>
      <c r="BI4" s="182">
        <f>Coinfections!BA99</f>
        <v>0.5257731959</v>
      </c>
      <c r="BJ4" s="182">
        <f>Coinfections!BB99</f>
        <v>2.734020619</v>
      </c>
      <c r="BK4" s="182">
        <f>Coinfections!BC99</f>
        <v>2.068041237</v>
      </c>
      <c r="BL4" s="182">
        <f>Coinfections!BD99</f>
        <v>1.892783505</v>
      </c>
      <c r="BM4" s="182">
        <f>Coinfections!BE99</f>
        <v>6.764948454</v>
      </c>
      <c r="BN4" s="182">
        <f>Coinfections!BF99</f>
        <v>0.2453608247</v>
      </c>
      <c r="BO4" s="182">
        <f>Coinfections!BG99</f>
        <v>0.05522682446</v>
      </c>
      <c r="BP4" s="182">
        <f>Coinfections!BH99</f>
        <v>0.05917159763</v>
      </c>
      <c r="BQ4" s="182">
        <f>Coinfections!BI99</f>
        <v>0.3076923077</v>
      </c>
      <c r="BR4" s="182">
        <f>Coinfections!BJ99</f>
        <v>0.2327416174</v>
      </c>
      <c r="BS4" s="182">
        <f>Coinfections!BK99</f>
        <v>0.2130177515</v>
      </c>
      <c r="BT4" s="182">
        <f>Coinfections!BL99</f>
        <v>0.7613412229</v>
      </c>
      <c r="BU4" s="182">
        <f>Coinfections!BM99</f>
        <v>0.1735700197</v>
      </c>
    </row>
    <row r="5">
      <c r="A5" s="463">
        <v>40206.0</v>
      </c>
      <c r="B5" s="464">
        <f>'01-28-10'!K84</f>
        <v>3</v>
      </c>
      <c r="C5" s="464">
        <f>'01-28-10'!L84</f>
        <v>3</v>
      </c>
      <c r="D5" s="464">
        <f>'01-28-10'!M84</f>
        <v>24</v>
      </c>
      <c r="E5" s="464">
        <f>'01-28-10'!N84</f>
        <v>10</v>
      </c>
      <c r="F5" s="464">
        <f>'01-28-10'!O84</f>
        <v>12</v>
      </c>
      <c r="G5" s="464">
        <f>'01-28-10'!P84</f>
        <v>31</v>
      </c>
      <c r="H5" s="464">
        <f>'01-28-10'!Q84</f>
        <v>6</v>
      </c>
      <c r="I5" s="464">
        <f>'01-28-10'!R84</f>
        <v>3</v>
      </c>
      <c r="Q5" s="310" t="s">
        <v>1466</v>
      </c>
      <c r="R5" s="182">
        <f t="shared" ref="R5:W5" si="1">R4/sum($R$4:$W$4)</f>
        <v>0.03386004515</v>
      </c>
      <c r="S5" s="182">
        <f t="shared" si="1"/>
        <v>0.1760722348</v>
      </c>
      <c r="T5" s="182">
        <f t="shared" si="1"/>
        <v>0.1331828442</v>
      </c>
      <c r="U5" s="182">
        <f t="shared" si="1"/>
        <v>0.1218961625</v>
      </c>
      <c r="V5" s="182">
        <f t="shared" si="1"/>
        <v>0.4356659142</v>
      </c>
      <c r="W5" s="182">
        <f t="shared" si="1"/>
        <v>0.0993227991</v>
      </c>
      <c r="X5" s="182"/>
      <c r="Y5" s="182">
        <f t="shared" ref="Y5:AD5" si="2">Y4/sum($Y$4:$AD$4)</f>
        <v>0.03167420814</v>
      </c>
      <c r="Z5" s="182">
        <f t="shared" si="2"/>
        <v>0.1764705882</v>
      </c>
      <c r="AA5" s="182">
        <f t="shared" si="2"/>
        <v>0.1334841629</v>
      </c>
      <c r="AB5" s="182">
        <f t="shared" si="2"/>
        <v>0.1221719457</v>
      </c>
      <c r="AC5" s="182">
        <f t="shared" si="2"/>
        <v>0.4366515837</v>
      </c>
      <c r="AD5" s="182">
        <f t="shared" si="2"/>
        <v>0.09954751131</v>
      </c>
      <c r="AE5" s="182"/>
      <c r="AF5" s="182">
        <f t="shared" ref="AF5:AK5" si="3">AF4/sum($AF$4:$AK$4)</f>
        <v>0.03693931398</v>
      </c>
      <c r="AG5" s="182">
        <f t="shared" si="3"/>
        <v>0.03957783641</v>
      </c>
      <c r="AH5" s="182">
        <f t="shared" si="3"/>
        <v>0.1556728232</v>
      </c>
      <c r="AI5" s="182">
        <f t="shared" si="3"/>
        <v>0.1424802111</v>
      </c>
      <c r="AJ5" s="182">
        <f t="shared" si="3"/>
        <v>0.5092348285</v>
      </c>
      <c r="AK5" s="182">
        <f t="shared" si="3"/>
        <v>0.1160949868</v>
      </c>
      <c r="AL5" s="182"/>
      <c r="AM5" s="182">
        <f t="shared" ref="AM5:AR5" si="4">AM4/sum($AM$4:$AR$4)</f>
        <v>0.0351758794</v>
      </c>
      <c r="AN5" s="182">
        <f t="shared" si="4"/>
        <v>0.03768844221</v>
      </c>
      <c r="AO5" s="182">
        <f t="shared" si="4"/>
        <v>0.1959798995</v>
      </c>
      <c r="AP5" s="182">
        <f t="shared" si="4"/>
        <v>0.135678392</v>
      </c>
      <c r="AQ5" s="182">
        <f t="shared" si="4"/>
        <v>0.4849246231</v>
      </c>
      <c r="AR5" s="182">
        <f t="shared" si="4"/>
        <v>0.1105527638</v>
      </c>
      <c r="AS5" s="182"/>
      <c r="AT5" s="182">
        <f t="shared" ref="AT5:AY5" si="5">AT4/sum($AT$4:$AY$4)</f>
        <v>0.03473945409</v>
      </c>
      <c r="AU5" s="182">
        <f t="shared" si="5"/>
        <v>0.03722084367</v>
      </c>
      <c r="AV5" s="182">
        <f t="shared" si="5"/>
        <v>0.1935483871</v>
      </c>
      <c r="AW5" s="182">
        <f t="shared" si="5"/>
        <v>0.1464019851</v>
      </c>
      <c r="AX5" s="182">
        <f t="shared" si="5"/>
        <v>0.4789081886</v>
      </c>
      <c r="AY5" s="182">
        <f t="shared" si="5"/>
        <v>0.1091811414</v>
      </c>
      <c r="AZ5" s="182"/>
      <c r="BA5" s="182">
        <f t="shared" ref="BA5:BF5" si="6">BA4/sum($BA$4:$BF$4)</f>
        <v>0.05303030303</v>
      </c>
      <c r="BB5" s="182">
        <f t="shared" si="6"/>
        <v>0.05681818182</v>
      </c>
      <c r="BC5" s="182">
        <f t="shared" si="6"/>
        <v>0.2954545455</v>
      </c>
      <c r="BD5" s="182">
        <f t="shared" si="6"/>
        <v>0.2234848485</v>
      </c>
      <c r="BE5" s="182">
        <f t="shared" si="6"/>
        <v>0.2045454545</v>
      </c>
      <c r="BF5" s="182">
        <f t="shared" si="6"/>
        <v>0.1666666667</v>
      </c>
      <c r="BG5" s="182"/>
      <c r="BH5" s="182">
        <f t="shared" ref="BH5:BM5" si="7">BH4/sum($BH$4:$BM$4)</f>
        <v>0.03389830508</v>
      </c>
      <c r="BI5" s="182">
        <f t="shared" si="7"/>
        <v>0.03631961259</v>
      </c>
      <c r="BJ5" s="182">
        <f t="shared" si="7"/>
        <v>0.1888619855</v>
      </c>
      <c r="BK5" s="182">
        <f t="shared" si="7"/>
        <v>0.1428571429</v>
      </c>
      <c r="BL5" s="182">
        <f t="shared" si="7"/>
        <v>0.1307506053</v>
      </c>
      <c r="BM5" s="182">
        <f t="shared" si="7"/>
        <v>0.4673123487</v>
      </c>
      <c r="BN5" s="182"/>
      <c r="BO5" s="182">
        <f>Coinfections!BG100</f>
        <v>0.0306345733</v>
      </c>
      <c r="BP5" s="182">
        <f>Coinfections!BH100</f>
        <v>0.03282275711</v>
      </c>
      <c r="BQ5" s="182">
        <f>Coinfections!BI100</f>
        <v>0.170678337</v>
      </c>
      <c r="BR5" s="182">
        <f>Coinfections!BJ100</f>
        <v>0.1291028446</v>
      </c>
      <c r="BS5" s="182">
        <f>Coinfections!BK100</f>
        <v>0.1181619256</v>
      </c>
      <c r="BT5" s="182">
        <f>Coinfections!BL100</f>
        <v>0.4223194748</v>
      </c>
      <c r="BU5" s="182">
        <f>Coinfections!BM100</f>
        <v>0.09628008753</v>
      </c>
    </row>
    <row r="6">
      <c r="A6" s="463">
        <v>40243.0</v>
      </c>
      <c r="B6" s="464">
        <f>'03-06-10'!N72</f>
        <v>3</v>
      </c>
      <c r="C6" s="464">
        <f>'03-06-10'!O72</f>
        <v>5</v>
      </c>
      <c r="D6" s="464">
        <f>'03-06-10'!P72</f>
        <v>12</v>
      </c>
      <c r="E6" s="464">
        <f>'03-06-10'!Q72</f>
        <v>15</v>
      </c>
      <c r="F6" s="464">
        <f>'03-06-10'!R72</f>
        <v>7</v>
      </c>
      <c r="G6" s="464">
        <f>'03-06-10'!S72</f>
        <v>32</v>
      </c>
      <c r="H6" s="464">
        <f>'03-06-10'!T72</f>
        <v>3</v>
      </c>
      <c r="I6" s="464">
        <f>'03-06-10'!U72</f>
        <v>2</v>
      </c>
      <c r="Q6" s="313" t="s">
        <v>1467</v>
      </c>
      <c r="R6" s="265">
        <f>Coinfections!J103</f>
        <v>5.821601</v>
      </c>
      <c r="S6" s="265" t="str">
        <f>Coinfections!K103</f>
        <v/>
      </c>
      <c r="T6" s="265" t="str">
        <f>Coinfections!L103</f>
        <v/>
      </c>
      <c r="U6" s="265" t="str">
        <f>Coinfections!M103</f>
        <v/>
      </c>
      <c r="V6" s="265" t="str">
        <f>Coinfections!N103</f>
        <v/>
      </c>
      <c r="W6" s="265" t="str">
        <f>Coinfections!O103</f>
        <v/>
      </c>
      <c r="X6" s="265" t="str">
        <f>Coinfections!P103</f>
        <v/>
      </c>
      <c r="Y6" s="265">
        <f>Coinfections!Q103</f>
        <v>7.139288</v>
      </c>
      <c r="Z6" s="265" t="str">
        <f>Coinfections!R103</f>
        <v/>
      </c>
      <c r="AA6" s="265" t="str">
        <f>Coinfections!S103</f>
        <v/>
      </c>
      <c r="AB6" s="265" t="str">
        <f>Coinfections!T103</f>
        <v/>
      </c>
      <c r="AC6" s="265" t="str">
        <f>Coinfections!U103</f>
        <v/>
      </c>
      <c r="AD6" s="265" t="str">
        <f>Coinfections!V103</f>
        <v/>
      </c>
      <c r="AE6" s="265" t="str">
        <f>Coinfections!W103</f>
        <v/>
      </c>
      <c r="AF6" s="265">
        <f>Coinfections!X103</f>
        <v>17.02052</v>
      </c>
      <c r="AG6" s="265" t="str">
        <f>Coinfections!Y103</f>
        <v/>
      </c>
      <c r="AH6" s="265" t="str">
        <f>Coinfections!Z103</f>
        <v/>
      </c>
      <c r="AI6" s="265" t="str">
        <f>Coinfections!AA103</f>
        <v/>
      </c>
      <c r="AJ6" s="265" t="str">
        <f>Coinfections!AB103</f>
        <v/>
      </c>
      <c r="AK6" s="265" t="str">
        <f>Coinfections!AC103</f>
        <v/>
      </c>
      <c r="AL6" s="265" t="str">
        <f>Coinfections!AD103</f>
        <v/>
      </c>
      <c r="AM6" s="265">
        <f>Coinfections!AE103</f>
        <v>5.434579</v>
      </c>
      <c r="AN6" s="265" t="str">
        <f>Coinfections!AF103</f>
        <v/>
      </c>
      <c r="AO6" s="265" t="str">
        <f>Coinfections!AG103</f>
        <v/>
      </c>
      <c r="AP6" s="265" t="str">
        <f>Coinfections!AH103</f>
        <v/>
      </c>
      <c r="AQ6" s="265" t="str">
        <f>Coinfections!AI103</f>
        <v/>
      </c>
      <c r="AR6" s="265" t="str">
        <f>Coinfections!AJ103</f>
        <v/>
      </c>
      <c r="AS6" s="265" t="str">
        <f>Coinfections!AK103</f>
        <v/>
      </c>
      <c r="AT6" s="265">
        <f>Coinfections!AL103</f>
        <v>10.51817</v>
      </c>
      <c r="AU6" s="265" t="str">
        <f>Coinfections!AM103</f>
        <v/>
      </c>
      <c r="AV6" s="265" t="str">
        <f>Coinfections!AN103</f>
        <v/>
      </c>
      <c r="AW6" s="265" t="str">
        <f>Coinfections!AO103</f>
        <v/>
      </c>
      <c r="AX6" s="265" t="str">
        <f>Coinfections!AP103</f>
        <v/>
      </c>
      <c r="AY6" s="265" t="str">
        <f>Coinfections!AQ103</f>
        <v/>
      </c>
      <c r="AZ6" s="265" t="str">
        <f>Coinfections!AR103</f>
        <v/>
      </c>
      <c r="BA6" s="265">
        <f>Coinfections!AS103</f>
        <v>3.68848</v>
      </c>
      <c r="BB6" s="265" t="str">
        <f>Coinfections!AT103</f>
        <v/>
      </c>
      <c r="BC6" s="265" t="str">
        <f>Coinfections!AU103</f>
        <v/>
      </c>
      <c r="BD6" s="265" t="str">
        <f>Coinfections!AV103</f>
        <v/>
      </c>
      <c r="BE6" s="265" t="str">
        <f>Coinfections!AW103</f>
        <v/>
      </c>
      <c r="BF6" s="265" t="str">
        <f>Coinfections!AX103</f>
        <v/>
      </c>
      <c r="BG6" s="265" t="str">
        <f>Coinfections!AY103</f>
        <v/>
      </c>
      <c r="BH6" s="265">
        <f>Coinfections!AZ103</f>
        <v>4.707246</v>
      </c>
      <c r="BI6" s="265" t="str">
        <f>Coinfections!BA103</f>
        <v/>
      </c>
      <c r="BJ6" s="265" t="str">
        <f>Coinfections!BB103</f>
        <v/>
      </c>
      <c r="BK6" s="265" t="str">
        <f>Coinfections!BC103</f>
        <v/>
      </c>
      <c r="BL6" s="265" t="str">
        <f>Coinfections!BD103</f>
        <v/>
      </c>
      <c r="BM6" s="265" t="str">
        <f>Coinfections!BE103</f>
        <v/>
      </c>
      <c r="BN6" s="265" t="str">
        <f>Coinfections!BF103</f>
        <v/>
      </c>
      <c r="BO6" s="265">
        <f>Coinfections!BG103</f>
        <v>1.345901</v>
      </c>
      <c r="BP6" s="265" t="str">
        <f>Coinfections!BH103</f>
        <v/>
      </c>
      <c r="BQ6" s="265" t="str">
        <f>Coinfections!BI103</f>
        <v/>
      </c>
      <c r="BR6" s="265" t="str">
        <f>Coinfections!BJ103</f>
        <v/>
      </c>
      <c r="BS6" s="265" t="str">
        <f>Coinfections!BK103</f>
        <v/>
      </c>
      <c r="BT6" s="265" t="str">
        <f>Coinfections!BL103</f>
        <v/>
      </c>
      <c r="BU6" s="265" t="str">
        <f>Coinfections!BM103</f>
        <v/>
      </c>
    </row>
    <row r="7">
      <c r="A7" s="463">
        <v>40319.0</v>
      </c>
      <c r="B7" s="464">
        <f>'05-21-10'!O83</f>
        <v>0</v>
      </c>
      <c r="C7" s="464">
        <f>'05-21-10'!P83</f>
        <v>0</v>
      </c>
      <c r="D7" s="464">
        <f>'05-21-10'!Q83</f>
        <v>3</v>
      </c>
      <c r="E7" s="464">
        <f>'05-21-10'!R83</f>
        <v>10</v>
      </c>
      <c r="F7" s="464">
        <f>'05-21-10'!S83</f>
        <v>1</v>
      </c>
      <c r="G7" s="464">
        <f>'05-21-10'!T83</f>
        <v>24</v>
      </c>
      <c r="H7" s="464">
        <f>'05-21-10'!U83</f>
        <v>6</v>
      </c>
      <c r="I7" s="464">
        <f>'05-21-10'!V83</f>
        <v>1</v>
      </c>
      <c r="Q7" s="310" t="s">
        <v>1468</v>
      </c>
      <c r="R7" s="265">
        <f>Coinfections!J105</f>
        <v>0.68098895</v>
      </c>
      <c r="S7" s="265">
        <f>Coinfections!K105</f>
        <v>2.12626748</v>
      </c>
      <c r="T7" s="265">
        <f>Coinfections!L105</f>
        <v>0.06838662</v>
      </c>
      <c r="U7" s="265">
        <f>Coinfections!M105</f>
        <v>1.91123222</v>
      </c>
      <c r="V7" s="265">
        <f>Coinfections!N105</f>
        <v>0.02562878</v>
      </c>
      <c r="W7" s="265">
        <f>Coinfections!O105</f>
        <v>1.53837089</v>
      </c>
      <c r="X7" s="265">
        <f>Coinfections!P105</f>
        <v>0.23439842</v>
      </c>
      <c r="Y7" s="265">
        <f>Coinfections!Q105</f>
        <v>0.4455057</v>
      </c>
      <c r="Z7" s="265">
        <f>Coinfections!R105</f>
        <v>3.964574</v>
      </c>
      <c r="AA7" s="265">
        <f>Coinfections!S105</f>
        <v>0.0126215</v>
      </c>
      <c r="AB7" s="265">
        <f>Coinfections!T105</f>
        <v>0.2913669</v>
      </c>
      <c r="AC7" s="265">
        <f>Coinfections!U105</f>
        <v>4.3203388</v>
      </c>
      <c r="AD7" s="265">
        <f>Coinfections!V105</f>
        <v>0.2275983</v>
      </c>
      <c r="AE7" s="265">
        <f>Coinfections!W105</f>
        <v>0.3534149</v>
      </c>
      <c r="AF7" s="265">
        <f>Coinfections!X105</f>
        <v>1.92168383</v>
      </c>
      <c r="AG7" s="265">
        <f>Coinfections!Y105</f>
        <v>5.39170176</v>
      </c>
      <c r="AH7" s="265">
        <f>Coinfections!Z105</f>
        <v>0.25419892</v>
      </c>
      <c r="AI7" s="265">
        <f>Coinfections!AA105</f>
        <v>3.31778848</v>
      </c>
      <c r="AJ7" s="265">
        <f>Coinfections!AB105</f>
        <v>9.36434581</v>
      </c>
      <c r="AK7" s="265">
        <f>Coinfections!AC105</f>
        <v>0.09400148</v>
      </c>
      <c r="AL7" s="265">
        <f>Coinfections!AD105</f>
        <v>1.71046835</v>
      </c>
      <c r="AM7" s="265">
        <f>Coinfections!AE105</f>
        <v>0.01688758</v>
      </c>
      <c r="AN7" s="265">
        <f>Coinfections!AF105</f>
        <v>0.39055039</v>
      </c>
      <c r="AO7" s="265">
        <f>Coinfections!AG105</f>
        <v>1.12137945</v>
      </c>
      <c r="AP7" s="265">
        <f>Coinfections!AH105</f>
        <v>1.65947714</v>
      </c>
      <c r="AQ7" s="265">
        <f>Coinfections!AI105</f>
        <v>0.17738548</v>
      </c>
      <c r="AR7" s="265">
        <f>Coinfections!AJ105</f>
        <v>2.55617946</v>
      </c>
      <c r="AS7" s="265">
        <f>Coinfections!AK105</f>
        <v>0.24268097</v>
      </c>
      <c r="AT7" s="265">
        <f>Coinfections!AL105</f>
        <v>1.583580917</v>
      </c>
      <c r="AU7" s="265">
        <f>Coinfections!AM105</f>
        <v>0.002239485</v>
      </c>
      <c r="AV7" s="265">
        <f>Coinfections!AN105</f>
        <v>8.630143114</v>
      </c>
      <c r="AW7" s="265">
        <f>Coinfections!AO105</f>
        <v>0.973338574</v>
      </c>
      <c r="AX7" s="265">
        <f>Coinfections!AP105</f>
        <v>1.449367044</v>
      </c>
      <c r="AY7" s="265">
        <f>Coinfections!AQ105</f>
        <v>0.241193497</v>
      </c>
      <c r="AZ7" s="265">
        <f>Coinfections!AR105</f>
        <v>0.78491352</v>
      </c>
      <c r="BA7" s="265">
        <f>Coinfections!AS105</f>
        <v>0.4697853</v>
      </c>
      <c r="BB7" s="265">
        <f>Coinfections!AT105</f>
        <v>0.3728831</v>
      </c>
      <c r="BC7" s="265">
        <f>Coinfections!AU105</f>
        <v>0.2099114</v>
      </c>
      <c r="BD7" s="265">
        <f>Coinfections!AV105</f>
        <v>2.6132662</v>
      </c>
      <c r="BE7" s="265">
        <f>Coinfections!AW105</f>
        <v>0.3594071</v>
      </c>
      <c r="BF7" s="265">
        <f>Coinfections!AX105</f>
        <v>0.4315935</v>
      </c>
      <c r="BG7" s="265">
        <f>Coinfections!AY105</f>
        <v>0.1215471</v>
      </c>
      <c r="BH7" s="265">
        <f>Coinfections!AZ105</f>
        <v>0.9462964</v>
      </c>
      <c r="BI7" s="265">
        <f>Coinfections!BA105</f>
        <v>1.7278917</v>
      </c>
      <c r="BJ7" s="265">
        <f>Coinfections!BB105</f>
        <v>0.9597164</v>
      </c>
      <c r="BK7" s="265">
        <f>Coinfections!BC105</f>
        <v>0.9548537</v>
      </c>
      <c r="BL7" s="265">
        <f>Coinfections!BD105</f>
        <v>0.0152414</v>
      </c>
      <c r="BM7" s="265">
        <f>Coinfections!BE105</f>
        <v>0.1290466</v>
      </c>
      <c r="BN7" s="265">
        <f>Coinfections!BF105</f>
        <v>0.4691383</v>
      </c>
      <c r="BO7" s="265">
        <f>Coinfections!BG105</f>
        <v>0.05499688</v>
      </c>
      <c r="BP7" s="265">
        <f>Coinfections!BH105</f>
        <v>0.05899149</v>
      </c>
      <c r="BQ7" s="265">
        <f>Coinfections!BI105</f>
        <v>0.33080406</v>
      </c>
      <c r="BR7" s="265">
        <f>Coinfections!BJ105</f>
        <v>0.70623528</v>
      </c>
      <c r="BS7" s="265">
        <f>Coinfections!BK105</f>
        <v>0.22227191</v>
      </c>
      <c r="BT7" s="265">
        <f>Coinfections!BL105</f>
        <v>0.02159417</v>
      </c>
      <c r="BU7" s="265">
        <f>Coinfections!BM105</f>
        <v>0.17894585</v>
      </c>
    </row>
    <row r="8">
      <c r="A8" s="463">
        <v>40373.0</v>
      </c>
      <c r="B8" s="464">
        <f>'07-14-10'!I75</f>
        <v>1</v>
      </c>
      <c r="C8" s="464">
        <f>'07-14-10'!J75</f>
        <v>1</v>
      </c>
      <c r="D8" s="464">
        <f>'07-14-10'!K75</f>
        <v>4</v>
      </c>
      <c r="E8" s="464">
        <f>'07-14-10'!L75</f>
        <v>8</v>
      </c>
      <c r="F8" s="464">
        <f>'07-14-10'!M75</f>
        <v>4</v>
      </c>
      <c r="G8" s="464">
        <f>'07-14-10'!N75</f>
        <v>28</v>
      </c>
      <c r="H8" s="464">
        <f>'07-14-10'!O75</f>
        <v>5</v>
      </c>
      <c r="I8" s="464">
        <f>'07-14-10'!P75</f>
        <v>1</v>
      </c>
      <c r="Q8" s="310" t="s">
        <v>1469</v>
      </c>
      <c r="R8" s="182">
        <f>Coinfections!J176</f>
        <v>2</v>
      </c>
      <c r="S8" s="182">
        <f>Coinfections!K176</f>
        <v>3</v>
      </c>
      <c r="T8" s="182">
        <f>Coinfections!L176</f>
        <v>1</v>
      </c>
      <c r="U8" s="182">
        <f>Coinfections!M176</f>
        <v>11</v>
      </c>
      <c r="V8" s="182">
        <f>Coinfections!N176</f>
        <v>4</v>
      </c>
      <c r="W8" s="182">
        <f>Coinfections!O176</f>
        <v>0</v>
      </c>
      <c r="X8" s="235"/>
      <c r="Y8" s="182">
        <f>Coinfections!Q176</f>
        <v>2</v>
      </c>
      <c r="Z8" s="182">
        <f>Coinfections!R176</f>
        <v>2</v>
      </c>
      <c r="AA8" s="182">
        <f>Coinfections!S176</f>
        <v>0</v>
      </c>
      <c r="AB8" s="182">
        <f>Coinfections!T176</f>
        <v>4</v>
      </c>
      <c r="AC8" s="182">
        <f>Coinfections!U176</f>
        <v>2</v>
      </c>
      <c r="AD8" s="182">
        <f>Coinfections!V176</f>
        <v>0</v>
      </c>
      <c r="AE8" s="235"/>
      <c r="AF8" s="182">
        <f>Coinfections!X176</f>
        <v>3</v>
      </c>
      <c r="AG8" s="182">
        <f>Coinfections!Y176</f>
        <v>2</v>
      </c>
      <c r="AH8" s="182">
        <f>Coinfections!Z176</f>
        <v>0</v>
      </c>
      <c r="AI8" s="182">
        <f>Coinfections!AA176</f>
        <v>11</v>
      </c>
      <c r="AJ8" s="182">
        <f>Coinfections!AB176</f>
        <v>6</v>
      </c>
      <c r="AK8" s="182">
        <f>Coinfections!AC176</f>
        <v>1</v>
      </c>
      <c r="AL8" s="235"/>
      <c r="AM8" s="182">
        <f>Coinfections!AE176</f>
        <v>1</v>
      </c>
      <c r="AN8" s="182">
        <f>Coinfections!AF176</f>
        <v>0</v>
      </c>
      <c r="AO8" s="182">
        <f>Coinfections!AG176</f>
        <v>0</v>
      </c>
      <c r="AP8" s="182">
        <f>Coinfections!AH176</f>
        <v>1</v>
      </c>
      <c r="AQ8" s="182">
        <f>Coinfections!AI176</f>
        <v>0</v>
      </c>
      <c r="AR8" s="182">
        <f>Coinfections!AJ176</f>
        <v>0</v>
      </c>
      <c r="AS8" s="235"/>
      <c r="AT8" s="182">
        <f>Coinfections!AL176</f>
        <v>11</v>
      </c>
      <c r="AU8" s="182">
        <f>Coinfections!AM176</f>
        <v>4</v>
      </c>
      <c r="AV8" s="182">
        <f>Coinfections!AN176</f>
        <v>11</v>
      </c>
      <c r="AW8" s="182">
        <f>Coinfections!AO176</f>
        <v>1</v>
      </c>
      <c r="AX8" s="182">
        <f>Coinfections!AP176</f>
        <v>5</v>
      </c>
      <c r="AY8" s="182">
        <f>Coinfections!AQ176</f>
        <v>0</v>
      </c>
      <c r="AZ8" s="235"/>
      <c r="BA8" s="182">
        <f>Coinfections!AS176</f>
        <v>4</v>
      </c>
      <c r="BB8" s="182">
        <f>Coinfections!AT176</f>
        <v>2</v>
      </c>
      <c r="BC8" s="182">
        <f>Coinfections!AU176</f>
        <v>6</v>
      </c>
      <c r="BD8" s="182">
        <f>Coinfections!AV176</f>
        <v>0</v>
      </c>
      <c r="BE8" s="182">
        <f>Coinfections!AW176</f>
        <v>5</v>
      </c>
      <c r="BF8" s="182">
        <f>Coinfections!AX176</f>
        <v>0</v>
      </c>
      <c r="BG8" s="235"/>
      <c r="BH8" s="182">
        <f>Coinfections!AZ176</f>
        <v>0</v>
      </c>
      <c r="BI8" s="182">
        <f>Coinfections!BA176</f>
        <v>0</v>
      </c>
      <c r="BJ8" s="182">
        <f>Coinfections!BB176</f>
        <v>1</v>
      </c>
      <c r="BK8" s="182">
        <f>Coinfections!BC176</f>
        <v>0</v>
      </c>
      <c r="BL8" s="182">
        <f>Coinfections!BD176</f>
        <v>0</v>
      </c>
      <c r="BM8" s="182">
        <f>Coinfections!BE176</f>
        <v>0</v>
      </c>
      <c r="BN8" s="235"/>
      <c r="BO8" s="235"/>
      <c r="BP8" s="235"/>
      <c r="BQ8" s="235"/>
      <c r="BR8" s="235"/>
      <c r="BS8" s="235"/>
      <c r="BT8" s="235"/>
      <c r="BU8" s="235"/>
    </row>
    <row r="9">
      <c r="A9" s="463">
        <v>40444.0</v>
      </c>
      <c r="B9" s="464">
        <f>'09-23-10'!I80</f>
        <v>0</v>
      </c>
      <c r="C9" s="464">
        <f>'09-23-10'!J80</f>
        <v>0</v>
      </c>
      <c r="D9" s="464">
        <f>'09-23-10'!K80</f>
        <v>4</v>
      </c>
      <c r="E9" s="464">
        <f>'09-23-10'!L80</f>
        <v>2</v>
      </c>
      <c r="F9" s="464">
        <f>'09-23-10'!M80</f>
        <v>12</v>
      </c>
      <c r="G9" s="464">
        <f>'09-23-10'!N80</f>
        <v>23</v>
      </c>
      <c r="H9" s="464">
        <f>'09-23-10'!O80</f>
        <v>8</v>
      </c>
      <c r="I9" s="464">
        <f>'09-23-10'!P80</f>
        <v>0</v>
      </c>
      <c r="Q9" s="310" t="s">
        <v>1470</v>
      </c>
      <c r="R9" s="182">
        <f>Coinfections!J177</f>
        <v>0.09523809524</v>
      </c>
      <c r="S9" s="182">
        <f>Coinfections!K177</f>
        <v>0.1428571429</v>
      </c>
      <c r="T9" s="182">
        <f>Coinfections!L177</f>
        <v>0.04761904762</v>
      </c>
      <c r="U9" s="182">
        <f>Coinfections!M177</f>
        <v>0.5238095238</v>
      </c>
      <c r="V9" s="182">
        <f>Coinfections!N177</f>
        <v>0.1904761905</v>
      </c>
      <c r="W9" s="182">
        <f>Coinfections!O177</f>
        <v>0</v>
      </c>
      <c r="X9" s="235"/>
      <c r="Y9" s="182">
        <f>Coinfections!Q177</f>
        <v>0.2</v>
      </c>
      <c r="Z9" s="182">
        <f>Coinfections!R177</f>
        <v>0.2</v>
      </c>
      <c r="AA9" s="182">
        <f>Coinfections!S177</f>
        <v>0</v>
      </c>
      <c r="AB9" s="182">
        <f>Coinfections!T177</f>
        <v>0.4</v>
      </c>
      <c r="AC9" s="182">
        <f>Coinfections!U177</f>
        <v>0.2</v>
      </c>
      <c r="AD9" s="182">
        <f>Coinfections!V177</f>
        <v>0</v>
      </c>
      <c r="AE9" s="235"/>
      <c r="AF9" s="182">
        <f>Coinfections!X177</f>
        <v>0.1304347826</v>
      </c>
      <c r="AG9" s="182">
        <f>Coinfections!Y177</f>
        <v>0.08695652174</v>
      </c>
      <c r="AH9" s="182">
        <f>Coinfections!Z177</f>
        <v>0</v>
      </c>
      <c r="AI9" s="182">
        <f>Coinfections!AA177</f>
        <v>0.4782608696</v>
      </c>
      <c r="AJ9" s="182">
        <f>Coinfections!AB177</f>
        <v>0.2608695652</v>
      </c>
      <c r="AK9" s="182">
        <f>Coinfections!AC177</f>
        <v>0.04347826087</v>
      </c>
      <c r="AL9" s="235"/>
      <c r="AM9" s="182">
        <f>Coinfections!AE177</f>
        <v>0.5</v>
      </c>
      <c r="AN9" s="182">
        <f>Coinfections!AF177</f>
        <v>0</v>
      </c>
      <c r="AO9" s="182">
        <f>Coinfections!AG177</f>
        <v>0</v>
      </c>
      <c r="AP9" s="182">
        <f>Coinfections!AH177</f>
        <v>0.5</v>
      </c>
      <c r="AQ9" s="182">
        <f>Coinfections!AI177</f>
        <v>0</v>
      </c>
      <c r="AR9" s="182">
        <f>Coinfections!AJ177</f>
        <v>0</v>
      </c>
      <c r="AS9" s="235"/>
      <c r="AT9" s="182">
        <f>Coinfections!AL177</f>
        <v>0.34375</v>
      </c>
      <c r="AU9" s="182">
        <f>Coinfections!AM177</f>
        <v>0.125</v>
      </c>
      <c r="AV9" s="182">
        <f>Coinfections!AN177</f>
        <v>0.34375</v>
      </c>
      <c r="AW9" s="182">
        <f>Coinfections!AO177</f>
        <v>0.03125</v>
      </c>
      <c r="AX9" s="182">
        <f>Coinfections!AP177</f>
        <v>0.15625</v>
      </c>
      <c r="AY9" s="182">
        <f>Coinfections!AQ177</f>
        <v>0</v>
      </c>
      <c r="AZ9" s="235"/>
      <c r="BA9" s="182">
        <f>Coinfections!AS177</f>
        <v>0.2352941176</v>
      </c>
      <c r="BB9" s="182">
        <f>Coinfections!AT177</f>
        <v>0.1176470588</v>
      </c>
      <c r="BC9" s="182">
        <f>Coinfections!AU177</f>
        <v>0.3529411765</v>
      </c>
      <c r="BD9" s="182">
        <f>Coinfections!AV177</f>
        <v>0</v>
      </c>
      <c r="BE9" s="182">
        <f>Coinfections!AW177</f>
        <v>0.2941176471</v>
      </c>
      <c r="BF9" s="182">
        <f>Coinfections!AX177</f>
        <v>0</v>
      </c>
      <c r="BG9" s="235"/>
      <c r="BH9" s="182">
        <f>Coinfections!AZ177</f>
        <v>0</v>
      </c>
      <c r="BI9" s="182">
        <f>Coinfections!BA177</f>
        <v>0</v>
      </c>
      <c r="BJ9" s="182">
        <f>Coinfections!BB177</f>
        <v>1</v>
      </c>
      <c r="BK9" s="182">
        <f>Coinfections!BC177</f>
        <v>0</v>
      </c>
      <c r="BL9" s="182">
        <f>Coinfections!BD177</f>
        <v>0</v>
      </c>
      <c r="BM9" s="182">
        <f>Coinfections!BE177</f>
        <v>0</v>
      </c>
      <c r="BN9" s="235"/>
      <c r="BO9" s="235"/>
      <c r="BP9" s="235"/>
      <c r="BQ9" s="235"/>
      <c r="BR9" s="235"/>
      <c r="BS9" s="235"/>
      <c r="BT9" s="235"/>
      <c r="BU9" s="235"/>
    </row>
    <row r="10">
      <c r="A10" s="463">
        <v>40487.0</v>
      </c>
      <c r="B10" s="464">
        <f>'11-05-10'!L78</f>
        <v>1</v>
      </c>
      <c r="C10" s="464">
        <f>'11-05-10'!M78</f>
        <v>2</v>
      </c>
      <c r="D10" s="464">
        <f>'11-05-10'!N78</f>
        <v>4</v>
      </c>
      <c r="E10" s="464">
        <f>'11-05-10'!O78</f>
        <v>2</v>
      </c>
      <c r="F10" s="464">
        <f>'11-05-10'!P78</f>
        <v>5</v>
      </c>
      <c r="G10" s="464">
        <f>'11-05-10'!Q78</f>
        <v>27</v>
      </c>
      <c r="H10" s="464">
        <f>'11-05-10'!R78</f>
        <v>6</v>
      </c>
      <c r="I10" s="464">
        <f>'11-05-10'!S78</f>
        <v>0</v>
      </c>
      <c r="Q10" s="310" t="s">
        <v>1471</v>
      </c>
      <c r="R10" s="182">
        <f>Coinfections!J178</f>
        <v>1.041666667</v>
      </c>
      <c r="S10" s="182">
        <f>Coinfections!K178</f>
        <v>1.708333333</v>
      </c>
      <c r="T10" s="182">
        <f>Coinfections!L178</f>
        <v>0.25</v>
      </c>
      <c r="U10" s="182">
        <f>Coinfections!M178</f>
        <v>2.458333333</v>
      </c>
      <c r="V10" s="182">
        <f>Coinfections!N178</f>
        <v>1.791666667</v>
      </c>
      <c r="W10" s="182">
        <f>Coinfections!O178</f>
        <v>0.04166666667</v>
      </c>
      <c r="X10" s="235"/>
      <c r="Y10" s="182">
        <f>Coinfections!Q178</f>
        <v>0.583501006</v>
      </c>
      <c r="Z10" s="182">
        <f>Coinfections!R178</f>
        <v>0.8249496982</v>
      </c>
      <c r="AA10" s="182">
        <f>Coinfections!S178</f>
        <v>0.1207243461</v>
      </c>
      <c r="AB10" s="182">
        <f>Coinfections!T178</f>
        <v>1.187122736</v>
      </c>
      <c r="AC10" s="182">
        <f>Coinfections!U178</f>
        <v>0.8651911469</v>
      </c>
      <c r="AD10" s="182">
        <f>Coinfections!V178</f>
        <v>0.02012072435</v>
      </c>
      <c r="AE10" s="235"/>
      <c r="AF10" s="182">
        <f>Coinfections!X178</f>
        <v>1.350202429</v>
      </c>
      <c r="AG10" s="182">
        <f>Coinfections!Y178</f>
        <v>1.163967611</v>
      </c>
      <c r="AH10" s="182">
        <f>Coinfections!Z178</f>
        <v>0.2793522267</v>
      </c>
      <c r="AI10" s="182">
        <f>Coinfections!AA178</f>
        <v>2.746963563</v>
      </c>
      <c r="AJ10" s="182">
        <f>Coinfections!AB178</f>
        <v>2.002024291</v>
      </c>
      <c r="AK10" s="182">
        <f>Coinfections!AC178</f>
        <v>0.04655870445</v>
      </c>
      <c r="AL10" s="235"/>
      <c r="AM10" s="182">
        <f>Coinfections!AE178</f>
        <v>0.1141732283</v>
      </c>
      <c r="AN10" s="182">
        <f>Coinfections!AF178</f>
        <v>0.09842519685</v>
      </c>
      <c r="AO10" s="182">
        <f>Coinfections!AG178</f>
        <v>0.1614173228</v>
      </c>
      <c r="AP10" s="182">
        <f>Coinfections!AH178</f>
        <v>0.2322834646</v>
      </c>
      <c r="AQ10" s="182">
        <f>Coinfections!AI178</f>
        <v>0.1692913386</v>
      </c>
      <c r="AR10" s="182">
        <f>Coinfections!AJ178</f>
        <v>0.003937007874</v>
      </c>
      <c r="AS10" s="235"/>
      <c r="AT10" s="182">
        <f>Coinfections!AL178</f>
        <v>1.913402062</v>
      </c>
      <c r="AU10" s="182">
        <f>Coinfections!AM178</f>
        <v>1.649484536</v>
      </c>
      <c r="AV10" s="182">
        <f>Coinfections!AN178</f>
        <v>2.705154639</v>
      </c>
      <c r="AW10" s="182">
        <f>Coinfections!AO178</f>
        <v>0.3958762887</v>
      </c>
      <c r="AX10" s="182">
        <f>Coinfections!AP178</f>
        <v>2.837113402</v>
      </c>
      <c r="AY10" s="182">
        <f>Coinfections!AQ178</f>
        <v>0.06597938144</v>
      </c>
      <c r="AZ10" s="235"/>
      <c r="BA10" s="182">
        <f>Coinfections!AS178</f>
        <v>1.014403292</v>
      </c>
      <c r="BB10" s="182">
        <f>Coinfections!AT178</f>
        <v>0.8744855967</v>
      </c>
      <c r="BC10" s="182">
        <f>Coinfections!AU178</f>
        <v>1.434156379</v>
      </c>
      <c r="BD10" s="182">
        <f>Coinfections!AV178</f>
        <v>0.2098765432</v>
      </c>
      <c r="BE10" s="182">
        <f>Coinfections!AW178</f>
        <v>2.063786008</v>
      </c>
      <c r="BF10" s="182">
        <f>Coinfections!AX178</f>
        <v>0.03497942387</v>
      </c>
      <c r="BG10" s="235"/>
      <c r="BH10" s="182">
        <f>Coinfections!AZ178</f>
        <v>0.056640625</v>
      </c>
      <c r="BI10" s="182">
        <f>Coinfections!BA178</f>
        <v>0.048828125</v>
      </c>
      <c r="BJ10" s="182">
        <f>Coinfections!BB178</f>
        <v>0.080078125</v>
      </c>
      <c r="BK10" s="182">
        <f>Coinfections!BC178</f>
        <v>0.01171875</v>
      </c>
      <c r="BL10" s="182">
        <f>Coinfections!BD178</f>
        <v>0.115234375</v>
      </c>
      <c r="BM10" s="182">
        <f>Coinfections!BE178</f>
        <v>0.083984375</v>
      </c>
      <c r="BN10" s="235"/>
      <c r="BO10" s="235"/>
      <c r="BP10" s="235"/>
      <c r="BQ10" s="235"/>
      <c r="BR10" s="235"/>
      <c r="BS10" s="235"/>
      <c r="BT10" s="235"/>
      <c r="BU10" s="235"/>
    </row>
    <row r="11">
      <c r="A11" s="463">
        <v>40606.0</v>
      </c>
      <c r="B11" s="464">
        <f>'03-04-11'!E70</f>
        <v>0</v>
      </c>
      <c r="C11" s="464">
        <f>'03-04-11'!F70</f>
        <v>0</v>
      </c>
      <c r="D11" s="464">
        <f>'03-04-11'!G70</f>
        <v>2</v>
      </c>
      <c r="E11" s="464">
        <f>'03-04-11'!H70</f>
        <v>1</v>
      </c>
      <c r="F11" s="464">
        <f>'03-04-11'!I70</f>
        <v>0</v>
      </c>
      <c r="G11" s="464">
        <f>'03-04-11'!J70</f>
        <v>4</v>
      </c>
      <c r="H11" s="464">
        <f>'03-04-11'!K70</f>
        <v>3</v>
      </c>
      <c r="I11" s="464">
        <f>'03-04-11'!L70</f>
        <v>0</v>
      </c>
      <c r="Q11" s="310" t="s">
        <v>1472</v>
      </c>
      <c r="R11" s="182">
        <f>Coinfections!J179</f>
        <v>0.1428571429</v>
      </c>
      <c r="S11" s="182">
        <f>Coinfections!K179</f>
        <v>0.2342857143</v>
      </c>
      <c r="T11" s="182">
        <f>Coinfections!L179</f>
        <v>0.03428571429</v>
      </c>
      <c r="U11" s="182">
        <f>Coinfections!M179</f>
        <v>0.3371428571</v>
      </c>
      <c r="V11" s="182">
        <f>Coinfections!N179</f>
        <v>0.2457142857</v>
      </c>
      <c r="W11" s="182">
        <f>Coinfections!O179</f>
        <v>0.005714285714</v>
      </c>
      <c r="X11" s="235"/>
      <c r="Y11" s="182">
        <f>Coinfections!Q179</f>
        <v>0.1620111732</v>
      </c>
      <c r="Z11" s="182">
        <f>Coinfections!R179</f>
        <v>0.2290502793</v>
      </c>
      <c r="AA11" s="182">
        <f>Coinfections!S179</f>
        <v>0.03351955307</v>
      </c>
      <c r="AB11" s="182">
        <f>Coinfections!T179</f>
        <v>0.3296089385</v>
      </c>
      <c r="AC11" s="182">
        <f>Coinfections!U179</f>
        <v>0.2402234637</v>
      </c>
      <c r="AD11" s="182">
        <f>Coinfections!V179</f>
        <v>0.005586592179</v>
      </c>
      <c r="AE11" s="235"/>
      <c r="AF11" s="182">
        <f>Coinfections!X179</f>
        <v>0.1779141104</v>
      </c>
      <c r="AG11" s="182">
        <f>Coinfections!Y179</f>
        <v>0.1533742331</v>
      </c>
      <c r="AH11" s="182">
        <f>Coinfections!Z179</f>
        <v>0.03680981595</v>
      </c>
      <c r="AI11" s="182">
        <f>Coinfections!AA179</f>
        <v>0.3619631902</v>
      </c>
      <c r="AJ11" s="182">
        <f>Coinfections!AB179</f>
        <v>0.263803681</v>
      </c>
      <c r="AK11" s="182">
        <f>Coinfections!AC179</f>
        <v>0.006134969325</v>
      </c>
      <c r="AL11" s="235"/>
      <c r="AM11" s="182">
        <f>Coinfections!AE179</f>
        <v>0.1464646465</v>
      </c>
      <c r="AN11" s="182">
        <f>Coinfections!AF179</f>
        <v>0.1262626263</v>
      </c>
      <c r="AO11" s="182">
        <f>Coinfections!AG179</f>
        <v>0.2070707071</v>
      </c>
      <c r="AP11" s="182">
        <f>Coinfections!AH179</f>
        <v>0.297979798</v>
      </c>
      <c r="AQ11" s="182">
        <f>Coinfections!AI179</f>
        <v>0.2171717172</v>
      </c>
      <c r="AR11" s="182">
        <f>Coinfections!AJ179</f>
        <v>0.005050505051</v>
      </c>
      <c r="AS11" s="235"/>
      <c r="AT11" s="182">
        <f>Coinfections!AL179</f>
        <v>0.2</v>
      </c>
      <c r="AU11" s="182">
        <f>Coinfections!AM179</f>
        <v>0.1724137931</v>
      </c>
      <c r="AV11" s="182">
        <f>Coinfections!AN179</f>
        <v>0.2827586207</v>
      </c>
      <c r="AW11" s="182">
        <f>Coinfections!AO179</f>
        <v>0.04137931034</v>
      </c>
      <c r="AX11" s="182">
        <f>Coinfections!AP179</f>
        <v>0.2965517241</v>
      </c>
      <c r="AY11" s="182">
        <f>Coinfections!AQ179</f>
        <v>0.006896551724</v>
      </c>
      <c r="AZ11" s="235"/>
      <c r="BA11" s="182">
        <f>Coinfections!AS179</f>
        <v>0.1801242236</v>
      </c>
      <c r="BB11" s="182">
        <f>Coinfections!AT179</f>
        <v>0.1552795031</v>
      </c>
      <c r="BC11" s="182">
        <f>Coinfections!AU179</f>
        <v>0.2546583851</v>
      </c>
      <c r="BD11" s="182">
        <f>Coinfections!AV179</f>
        <v>0.03726708075</v>
      </c>
      <c r="BE11" s="182">
        <f>Coinfections!AW179</f>
        <v>0.3664596273</v>
      </c>
      <c r="BF11" s="182">
        <f>Coinfections!AX179</f>
        <v>0.006211180124</v>
      </c>
      <c r="BG11" s="235"/>
      <c r="BH11" s="182">
        <f>Coinfections!AZ179</f>
        <v>0.1428571429</v>
      </c>
      <c r="BI11" s="182">
        <f>Coinfections!BA179</f>
        <v>0.1231527094</v>
      </c>
      <c r="BJ11" s="182">
        <f>Coinfections!BB179</f>
        <v>0.2019704433</v>
      </c>
      <c r="BK11" s="182">
        <f>Coinfections!BC179</f>
        <v>0.02955665025</v>
      </c>
      <c r="BL11" s="182">
        <f>Coinfections!BD179</f>
        <v>0.2906403941</v>
      </c>
      <c r="BM11" s="182">
        <f>Coinfections!BE179</f>
        <v>0.2118226601</v>
      </c>
      <c r="BN11" s="235"/>
      <c r="BO11" s="235"/>
      <c r="BP11" s="235"/>
      <c r="BQ11" s="235"/>
      <c r="BR11" s="235"/>
      <c r="BS11" s="235"/>
      <c r="BT11" s="235"/>
      <c r="BU11" s="235"/>
    </row>
    <row r="12">
      <c r="A12" s="463">
        <v>40737.0</v>
      </c>
      <c r="B12" s="464">
        <f>'07-13-11'!J92</f>
        <v>3</v>
      </c>
      <c r="C12" s="464">
        <f>'07-13-11'!K92</f>
        <v>0</v>
      </c>
      <c r="D12" s="464">
        <f>'07-13-11'!L92</f>
        <v>2</v>
      </c>
      <c r="E12" s="464">
        <f>'07-13-11'!M92</f>
        <v>3</v>
      </c>
      <c r="F12" s="464">
        <f>'07-13-11'!N92</f>
        <v>2</v>
      </c>
      <c r="G12" s="464">
        <f>'07-13-11'!O92</f>
        <v>9</v>
      </c>
      <c r="H12" s="464">
        <f>'07-13-11'!P92</f>
        <v>1</v>
      </c>
      <c r="I12" s="464">
        <f>'07-13-11'!Q92</f>
        <v>0</v>
      </c>
      <c r="Q12" s="313" t="s">
        <v>1473</v>
      </c>
      <c r="R12" s="265">
        <f>Coinfections!J182</f>
        <v>2.771279</v>
      </c>
      <c r="S12" s="265" t="str">
        <f>Coinfections!K182</f>
        <v/>
      </c>
      <c r="T12" s="265" t="str">
        <f>Coinfections!L182</f>
        <v/>
      </c>
      <c r="U12" s="265" t="str">
        <f>Coinfections!M182</f>
        <v/>
      </c>
      <c r="V12" s="265" t="str">
        <f>Coinfections!N182</f>
        <v/>
      </c>
      <c r="W12" s="265" t="str">
        <f>Coinfections!O182</f>
        <v/>
      </c>
      <c r="X12" s="265" t="str">
        <f>Coinfections!P182</f>
        <v/>
      </c>
      <c r="Y12" s="265">
        <f>Coinfections!Q182</f>
        <v>0.6428919</v>
      </c>
      <c r="Z12" s="265" t="str">
        <f>Coinfections!R182</f>
        <v/>
      </c>
      <c r="AA12" s="265" t="str">
        <f>Coinfections!S182</f>
        <v/>
      </c>
      <c r="AB12" s="265" t="str">
        <f>Coinfections!T182</f>
        <v/>
      </c>
      <c r="AC12" s="265" t="str">
        <f>Coinfections!U182</f>
        <v/>
      </c>
      <c r="AD12" s="265" t="str">
        <f>Coinfections!V182</f>
        <v/>
      </c>
      <c r="AE12" s="265" t="str">
        <f>Coinfections!W182</f>
        <v/>
      </c>
      <c r="AF12" s="265">
        <f>Coinfections!X182</f>
        <v>4.466259</v>
      </c>
      <c r="AG12" s="265" t="str">
        <f>Coinfections!Y182</f>
        <v/>
      </c>
      <c r="AH12" s="265" t="str">
        <f>Coinfections!Z182</f>
        <v/>
      </c>
      <c r="AI12" s="265" t="str">
        <f>Coinfections!AA182</f>
        <v/>
      </c>
      <c r="AJ12" s="265" t="str">
        <f>Coinfections!AB182</f>
        <v/>
      </c>
      <c r="AK12" s="265" t="str">
        <f>Coinfections!AC182</f>
        <v/>
      </c>
      <c r="AL12" s="265" t="str">
        <f>Coinfections!AD182</f>
        <v/>
      </c>
      <c r="AM12" s="265">
        <f>Coinfections!AE182</f>
        <v>0.7492691</v>
      </c>
      <c r="AN12" s="265" t="str">
        <f>Coinfections!AF182</f>
        <v/>
      </c>
      <c r="AO12" s="265" t="str">
        <f>Coinfections!AG182</f>
        <v/>
      </c>
      <c r="AP12" s="265" t="str">
        <f>Coinfections!AH182</f>
        <v/>
      </c>
      <c r="AQ12" s="265" t="str">
        <f>Coinfections!AI182</f>
        <v/>
      </c>
      <c r="AR12" s="265" t="str">
        <f>Coinfections!AJ182</f>
        <v/>
      </c>
      <c r="AS12" s="265" t="str">
        <f>Coinfections!AK182</f>
        <v/>
      </c>
      <c r="AT12" s="265">
        <f>Coinfections!AL182</f>
        <v>5.612842</v>
      </c>
      <c r="AU12" s="265" t="str">
        <f>Coinfections!AM182</f>
        <v/>
      </c>
      <c r="AV12" s="265" t="str">
        <f>Coinfections!AN182</f>
        <v/>
      </c>
      <c r="AW12" s="265" t="str">
        <f>Coinfections!AO182</f>
        <v/>
      </c>
      <c r="AX12" s="265" t="str">
        <f>Coinfections!AP182</f>
        <v/>
      </c>
      <c r="AY12" s="265" t="str">
        <f>Coinfections!AQ182</f>
        <v/>
      </c>
      <c r="AZ12" s="265" t="str">
        <f>Coinfections!AR182</f>
        <v/>
      </c>
      <c r="BA12" s="265">
        <f>Coinfections!AS182</f>
        <v>1.970299</v>
      </c>
      <c r="BB12" s="265" t="str">
        <f>Coinfections!AT182</f>
        <v/>
      </c>
      <c r="BC12" s="265" t="str">
        <f>Coinfections!AU182</f>
        <v/>
      </c>
      <c r="BD12" s="265" t="str">
        <f>Coinfections!AV182</f>
        <v/>
      </c>
      <c r="BE12" s="265" t="str">
        <f>Coinfections!AW182</f>
        <v/>
      </c>
      <c r="BF12" s="265" t="str">
        <f>Coinfections!AX182</f>
        <v/>
      </c>
      <c r="BG12" s="265" t="str">
        <f>Coinfections!AY182</f>
        <v/>
      </c>
      <c r="BH12" s="265">
        <f>Coinfections!AZ182</f>
        <v>1.115166</v>
      </c>
      <c r="BI12" s="265" t="str">
        <f>Coinfections!BA182</f>
        <v/>
      </c>
      <c r="BJ12" s="265" t="str">
        <f>Coinfections!BB182</f>
        <v/>
      </c>
      <c r="BK12" s="265" t="str">
        <f>Coinfections!BC182</f>
        <v/>
      </c>
      <c r="BL12" s="265" t="str">
        <f>Coinfections!BD182</f>
        <v/>
      </c>
      <c r="BM12" s="265" t="str">
        <f>Coinfections!BE182</f>
        <v/>
      </c>
      <c r="BN12" s="265" t="str">
        <f>Coinfections!BF182</f>
        <v/>
      </c>
      <c r="BO12" s="265" t="str">
        <f>Coinfections!BG182</f>
        <v/>
      </c>
      <c r="BP12" s="265" t="str">
        <f>Coinfections!BH182</f>
        <v/>
      </c>
      <c r="BQ12" s="265" t="str">
        <f>Coinfections!BI182</f>
        <v/>
      </c>
      <c r="BR12" s="265" t="str">
        <f>Coinfections!BJ182</f>
        <v/>
      </c>
      <c r="BS12" s="265" t="str">
        <f>Coinfections!BK182</f>
        <v/>
      </c>
      <c r="BT12" s="265" t="str">
        <f>Coinfections!BL182</f>
        <v/>
      </c>
      <c r="BU12" s="265" t="str">
        <f>Coinfections!BM182</f>
        <v/>
      </c>
    </row>
    <row r="13">
      <c r="A13" s="463">
        <v>40925.0</v>
      </c>
      <c r="B13" s="464">
        <f>'01-17-12'!K99</f>
        <v>6</v>
      </c>
      <c r="C13" s="464">
        <f>'01-17-12'!L99</f>
        <v>6</v>
      </c>
      <c r="D13" s="464">
        <f>'01-17-12'!M99</f>
        <v>7</v>
      </c>
      <c r="E13" s="464">
        <f>'01-17-12'!N99</f>
        <v>2</v>
      </c>
      <c r="F13" s="464">
        <f>'01-17-12'!O99</f>
        <v>11</v>
      </c>
      <c r="G13" s="464">
        <f>'01-17-12'!P99</f>
        <v>6</v>
      </c>
      <c r="H13" s="464">
        <f>'01-17-12'!Q99</f>
        <v>0</v>
      </c>
      <c r="I13" s="464">
        <f>'01-17-12'!R99</f>
        <v>0</v>
      </c>
      <c r="Q13" s="310" t="s">
        <v>1474</v>
      </c>
      <c r="R13" s="265">
        <f>Coinfections!J184</f>
        <v>0.3220397</v>
      </c>
      <c r="S13" s="265">
        <f>Coinfections!K184</f>
        <v>0.8130818</v>
      </c>
      <c r="T13" s="265">
        <f>Coinfections!L184</f>
        <v>0.0750905</v>
      </c>
      <c r="U13" s="265">
        <f>Coinfections!M184</f>
        <v>2.291477</v>
      </c>
      <c r="V13" s="265">
        <f>Coinfections!N184</f>
        <v>0.2722608</v>
      </c>
      <c r="W13" s="265">
        <f>Coinfections!O184</f>
        <v>0.1791363</v>
      </c>
      <c r="X13" s="265" t="str">
        <f>Coinfections!P184</f>
        <v/>
      </c>
      <c r="Y13" s="265">
        <f>Coinfections!Q184</f>
        <v>0.05781352</v>
      </c>
      <c r="Z13" s="265">
        <f>Coinfections!R184</f>
        <v>0.02842302</v>
      </c>
      <c r="AA13" s="265">
        <f>Coinfections!S184</f>
        <v>0.39296529</v>
      </c>
      <c r="AB13" s="265">
        <f>Coinfections!T184</f>
        <v>0.12521833</v>
      </c>
      <c r="AC13" s="265">
        <f>Coinfections!U184</f>
        <v>0.05324317</v>
      </c>
      <c r="AD13" s="265">
        <f>Coinfections!V184</f>
        <v>0.06457084</v>
      </c>
      <c r="AE13" s="265" t="str">
        <f>Coinfections!W184</f>
        <v/>
      </c>
      <c r="AF13" s="265">
        <f>Coinfections!X184</f>
        <v>0.2962694523</v>
      </c>
      <c r="AG13" s="265">
        <f>Coinfections!Y184</f>
        <v>0.6971774037</v>
      </c>
      <c r="AH13" s="265">
        <f>Coinfections!Z184</f>
        <v>1.333230843</v>
      </c>
      <c r="AI13" s="265">
        <f>Coinfections!AA184</f>
        <v>1.004655672</v>
      </c>
      <c r="AJ13" s="265">
        <f>Coinfections!AB184</f>
        <v>0.0007897908</v>
      </c>
      <c r="AK13" s="265">
        <f>Coinfections!AC184</f>
        <v>1.724422402</v>
      </c>
      <c r="AL13" s="265" t="str">
        <f>Coinfections!AD184</f>
        <v/>
      </c>
      <c r="AM13" s="265">
        <f>Coinfections!AE184</f>
        <v>0.297510842</v>
      </c>
      <c r="AN13" s="265">
        <f>Coinfections!AF184</f>
        <v>0.115884673</v>
      </c>
      <c r="AO13" s="265">
        <f>Coinfections!AG184</f>
        <v>0.199204423</v>
      </c>
      <c r="AP13" s="265">
        <f>Coinfections!AH184</f>
        <v>0.076509962</v>
      </c>
      <c r="AQ13" s="265">
        <f>Coinfections!AI184</f>
        <v>0.210211769</v>
      </c>
      <c r="AR13" s="265">
        <f>Coinfections!AJ184</f>
        <v>0.004347155</v>
      </c>
      <c r="AS13" s="265" t="str">
        <f>Coinfections!AK184</f>
        <v/>
      </c>
      <c r="AT13" s="265">
        <f>Coinfections!AL184</f>
        <v>3.02605863</v>
      </c>
      <c r="AU13" s="265">
        <f>Coinfections!AM184</f>
        <v>0.46038334</v>
      </c>
      <c r="AV13" s="265">
        <f>Coinfections!AN184</f>
        <v>0.47500107</v>
      </c>
      <c r="AW13" s="265">
        <f>Coinfections!AO184</f>
        <v>0.07587069</v>
      </c>
      <c r="AX13" s="265">
        <f>Coinfections!AP184</f>
        <v>2.87181472</v>
      </c>
      <c r="AY13" s="265">
        <f>Coinfections!AQ184</f>
        <v>0.37268928</v>
      </c>
      <c r="AZ13" s="265" t="str">
        <f>Coinfections!AR184</f>
        <v/>
      </c>
      <c r="BA13" s="265">
        <f>Coinfections!AS184</f>
        <v>0.2342376</v>
      </c>
      <c r="BB13" s="265">
        <f>Coinfections!AT184</f>
        <v>0.1417269</v>
      </c>
      <c r="BC13" s="265">
        <f>Coinfections!AU184</f>
        <v>0.5782941</v>
      </c>
      <c r="BD13" s="265">
        <f>Coinfections!AV184</f>
        <v>0.926922</v>
      </c>
      <c r="BE13" s="265">
        <f>Coinfections!AW184</f>
        <v>0.2841947</v>
      </c>
      <c r="BF13" s="265">
        <f>Coinfections!AX184</f>
        <v>0.1520629</v>
      </c>
      <c r="BG13" s="265" t="str">
        <f>Coinfections!AY184</f>
        <v/>
      </c>
      <c r="BH13" s="265">
        <f>Coinfections!AZ184</f>
        <v>0.10746431</v>
      </c>
      <c r="BI13" s="265">
        <f>Coinfections!BA184</f>
        <v>0.09161958</v>
      </c>
      <c r="BJ13" s="265">
        <f>Coinfections!BB184</f>
        <v>1.11516575</v>
      </c>
      <c r="BK13" s="265">
        <f>Coinfections!BC184</f>
        <v>0.02091571</v>
      </c>
      <c r="BL13" s="265">
        <f>Coinfections!BD184</f>
        <v>0.23939212</v>
      </c>
      <c r="BM13" s="265">
        <f>Coinfections!BE184</f>
        <v>0.16594129</v>
      </c>
      <c r="BN13" s="265" t="str">
        <f>Coinfections!BF184</f>
        <v/>
      </c>
      <c r="BO13" s="265" t="str">
        <f>Coinfections!BG184</f>
        <v/>
      </c>
      <c r="BP13" s="265" t="str">
        <f>Coinfections!BH184</f>
        <v/>
      </c>
      <c r="BQ13" s="265" t="str">
        <f>Coinfections!BI184</f>
        <v/>
      </c>
      <c r="BR13" s="265" t="str">
        <f>Coinfections!BJ184</f>
        <v/>
      </c>
      <c r="BS13" s="265" t="str">
        <f>Coinfections!BK184</f>
        <v/>
      </c>
      <c r="BT13" s="265" t="str">
        <f>Coinfections!BL184</f>
        <v/>
      </c>
      <c r="BU13" s="265" t="str">
        <f>Coinfections!BM184</f>
        <v/>
      </c>
    </row>
    <row r="14">
      <c r="A14" s="463">
        <v>40939.0</v>
      </c>
      <c r="B14" s="464">
        <f>'01-31-12'!O101</f>
        <v>8</v>
      </c>
      <c r="C14" s="464">
        <f>'01-31-12'!P101</f>
        <v>8</v>
      </c>
      <c r="D14" s="464">
        <f>'01-31-12'!Q101</f>
        <v>8</v>
      </c>
      <c r="E14" s="464">
        <f>'01-31-12'!R101</f>
        <v>0</v>
      </c>
      <c r="F14" s="464">
        <f>'01-31-12'!S101</f>
        <v>12</v>
      </c>
      <c r="G14" s="464">
        <f>'01-31-12'!T101</f>
        <v>11</v>
      </c>
      <c r="H14" s="464">
        <f>'01-31-12'!U101</f>
        <v>0</v>
      </c>
      <c r="I14" s="464">
        <f>'01-31-12'!V101</f>
        <v>0</v>
      </c>
      <c r="Q14" s="310" t="s">
        <v>1475</v>
      </c>
      <c r="R14" s="235">
        <f>ln(R12)-ln(R6)</f>
        <v>-0.7422663633</v>
      </c>
      <c r="S14" s="182"/>
      <c r="T14" s="182"/>
      <c r="U14" s="182"/>
      <c r="V14" s="182"/>
      <c r="W14" s="182"/>
      <c r="X14" s="182"/>
      <c r="Y14" s="235">
        <f>ln(Y12)-ln(Y6)</f>
        <v>-2.407391739</v>
      </c>
      <c r="Z14" s="182"/>
      <c r="AA14" s="182"/>
      <c r="AB14" s="182"/>
      <c r="AC14" s="182"/>
      <c r="AD14" s="182"/>
      <c r="AE14" s="182"/>
      <c r="AF14" s="235">
        <f>ln(AF12)-ln(AF6)</f>
        <v>-1.33786853</v>
      </c>
      <c r="AG14" s="182"/>
      <c r="AH14" s="182"/>
      <c r="AI14" s="182"/>
      <c r="AJ14" s="182"/>
      <c r="AK14" s="182"/>
      <c r="AL14" s="182"/>
      <c r="AM14" s="235">
        <f>ln(AM12)-ln(AM6)</f>
        <v>-1.981439138</v>
      </c>
      <c r="AN14" s="182"/>
      <c r="AO14" s="182"/>
      <c r="AP14" s="182"/>
      <c r="AQ14" s="182"/>
      <c r="AR14" s="182"/>
      <c r="AS14" s="182"/>
      <c r="AT14" s="235">
        <f>ln(AT12)-ln(AT6)</f>
        <v>-0.6280470512</v>
      </c>
      <c r="AU14" s="182"/>
      <c r="AV14" s="182"/>
      <c r="AW14" s="182"/>
      <c r="AX14" s="182"/>
      <c r="AY14" s="182"/>
      <c r="AZ14" s="182"/>
      <c r="BA14" s="235">
        <f>ln(BA12)-ln(BA6)</f>
        <v>-0.6270291412</v>
      </c>
      <c r="BB14" s="182"/>
      <c r="BC14" s="182"/>
      <c r="BD14" s="182"/>
      <c r="BE14" s="182"/>
      <c r="BF14" s="182"/>
      <c r="BG14" s="182"/>
      <c r="BH14" s="235">
        <f>ln(BH12)-ln(BH6)</f>
        <v>-1.440099751</v>
      </c>
      <c r="BI14" s="182"/>
      <c r="BJ14" s="182"/>
      <c r="BK14" s="182"/>
      <c r="BL14" s="182"/>
      <c r="BM14" s="182"/>
      <c r="BN14" s="182"/>
      <c r="BO14" s="182"/>
      <c r="BP14" s="182"/>
      <c r="BQ14" s="182"/>
      <c r="BR14" s="182"/>
      <c r="BS14" s="182"/>
      <c r="BT14" s="182"/>
      <c r="BU14" s="182"/>
    </row>
    <row r="15">
      <c r="A15" s="463">
        <v>40953.0</v>
      </c>
      <c r="B15" s="464">
        <f>'02-14-12'!J102</f>
        <v>7</v>
      </c>
      <c r="C15" s="464">
        <f>'02-14-12'!K102</f>
        <v>3</v>
      </c>
      <c r="D15" s="464">
        <f>'02-14-12'!L102</f>
        <v>5</v>
      </c>
      <c r="E15" s="464">
        <f>'02-14-12'!M102</f>
        <v>4</v>
      </c>
      <c r="F15" s="464">
        <f>'02-14-12'!N102</f>
        <v>13</v>
      </c>
      <c r="G15" s="464">
        <f>'02-14-12'!O102</f>
        <v>9</v>
      </c>
      <c r="H15" s="464">
        <f>'02-14-12'!P102</f>
        <v>0</v>
      </c>
      <c r="I15" s="464">
        <f>'02-14-12'!Q102</f>
        <v>0</v>
      </c>
      <c r="Q15" s="313" t="s">
        <v>1476</v>
      </c>
      <c r="R15" s="157">
        <v>0.8667539</v>
      </c>
      <c r="S15" s="265"/>
      <c r="T15" s="265"/>
      <c r="U15" s="265"/>
      <c r="V15" s="265"/>
      <c r="W15" s="265"/>
      <c r="X15" s="182"/>
      <c r="Y15" s="235">
        <v>0.6239987</v>
      </c>
      <c r="Z15" s="182"/>
      <c r="AA15" s="182"/>
      <c r="AB15" s="182"/>
      <c r="AC15" s="182"/>
      <c r="AD15" s="182"/>
      <c r="AE15" s="182"/>
      <c r="AF15" s="235">
        <v>0.7438039</v>
      </c>
      <c r="AG15" s="182"/>
      <c r="AH15" s="182"/>
      <c r="AI15" s="182"/>
      <c r="AJ15" s="182"/>
      <c r="AK15" s="182"/>
      <c r="AL15" s="182"/>
      <c r="AM15" s="235">
        <v>0.6844825</v>
      </c>
      <c r="AN15" s="182"/>
      <c r="AO15" s="182"/>
      <c r="AP15" s="182"/>
      <c r="AQ15" s="182"/>
      <c r="AR15" s="182"/>
      <c r="AS15" s="182"/>
      <c r="AT15" s="235">
        <v>0.8987462</v>
      </c>
      <c r="AU15" s="182"/>
      <c r="AV15" s="182"/>
      <c r="AW15" s="182"/>
      <c r="AX15" s="182"/>
      <c r="AY15" s="182"/>
      <c r="AZ15" s="182"/>
      <c r="BA15" s="235">
        <v>0.9622965</v>
      </c>
      <c r="BB15" s="182"/>
      <c r="BC15" s="182"/>
      <c r="BD15" s="182"/>
      <c r="BE15" s="182"/>
      <c r="BF15" s="182"/>
      <c r="BG15" s="182"/>
      <c r="BH15" s="235">
        <v>0.7355379</v>
      </c>
      <c r="BI15" s="182"/>
      <c r="BJ15" s="182"/>
      <c r="BK15" s="182"/>
      <c r="BL15" s="182"/>
      <c r="BM15" s="182"/>
      <c r="BN15" s="182"/>
      <c r="BO15" s="182"/>
      <c r="BP15" s="182"/>
      <c r="BQ15" s="182"/>
      <c r="BR15" s="182"/>
      <c r="BS15" s="182"/>
      <c r="BT15" s="182"/>
      <c r="BU15" s="182"/>
    </row>
    <row r="16">
      <c r="A16" s="463">
        <v>40983.0</v>
      </c>
      <c r="B16" s="464">
        <f>'03-15-12'!J95</f>
        <v>2</v>
      </c>
      <c r="C16" s="464">
        <f>'03-15-12'!K95</f>
        <v>5</v>
      </c>
      <c r="D16" s="464">
        <f>'03-15-12'!L95</f>
        <v>17</v>
      </c>
      <c r="E16" s="464">
        <f>'03-15-12'!M95</f>
        <v>0</v>
      </c>
      <c r="F16" s="464">
        <f>'03-15-12'!N95</f>
        <v>16</v>
      </c>
      <c r="G16" s="464">
        <f>'03-15-12'!O95</f>
        <v>11</v>
      </c>
      <c r="H16" s="464">
        <f>'03-15-12'!P95</f>
        <v>1</v>
      </c>
      <c r="I16" s="464">
        <f>'03-15-12'!Q95</f>
        <v>0</v>
      </c>
      <c r="Q16" s="310" t="s">
        <v>1477</v>
      </c>
      <c r="R16" s="235">
        <f t="shared" ref="R16:W16" si="8">-(ln(R13)-ln(R7))</f>
        <v>0.74887125</v>
      </c>
      <c r="S16" s="235">
        <f t="shared" si="8"/>
        <v>0.9612916452</v>
      </c>
      <c r="T16" s="235">
        <f t="shared" si="8"/>
        <v>-0.09351686131</v>
      </c>
      <c r="U16" s="235">
        <f t="shared" si="8"/>
        <v>-0.1814484124</v>
      </c>
      <c r="V16" s="235">
        <f t="shared" si="8"/>
        <v>-2.363044492</v>
      </c>
      <c r="W16" s="235">
        <f t="shared" si="8"/>
        <v>2.150332303</v>
      </c>
      <c r="X16" s="235"/>
      <c r="Y16" s="235">
        <f t="shared" ref="Y16:AD16" si="9">-(ln(Y13)-ln(Y7))</f>
        <v>2.041987383</v>
      </c>
      <c r="Z16" s="310">
        <f t="shared" si="9"/>
        <v>4.937954308</v>
      </c>
      <c r="AA16" s="310">
        <f t="shared" si="9"/>
        <v>-3.438319578</v>
      </c>
      <c r="AB16" s="235">
        <f t="shared" si="9"/>
        <v>0.844524444</v>
      </c>
      <c r="AC16" s="310">
        <f t="shared" si="9"/>
        <v>4.396219571</v>
      </c>
      <c r="AD16" s="235">
        <f t="shared" si="9"/>
        <v>1.259819317</v>
      </c>
      <c r="AE16" s="235"/>
      <c r="AF16" s="235">
        <f t="shared" ref="AF16:AK16" si="10">-(ln(AF13)-ln(AF7))</f>
        <v>1.869687723</v>
      </c>
      <c r="AG16" s="235">
        <f t="shared" si="10"/>
        <v>2.045576436</v>
      </c>
      <c r="AH16" s="235">
        <f t="shared" si="10"/>
        <v>-1.657243371</v>
      </c>
      <c r="AI16" s="235">
        <f t="shared" si="10"/>
        <v>1.194653572</v>
      </c>
      <c r="AJ16" s="310">
        <f t="shared" si="10"/>
        <v>9.380651936</v>
      </c>
      <c r="AK16" s="235">
        <f t="shared" si="10"/>
        <v>-2.909336907</v>
      </c>
      <c r="AL16" s="235"/>
      <c r="AM16" s="310">
        <f t="shared" ref="AM16:AR16" si="11">-(ln(AM13)-ln(AM7))</f>
        <v>-2.868872228</v>
      </c>
      <c r="AN16" s="235">
        <f t="shared" si="11"/>
        <v>1.214961502</v>
      </c>
      <c r="AO16" s="235">
        <f t="shared" si="11"/>
        <v>1.727983309</v>
      </c>
      <c r="AP16" s="235">
        <f t="shared" si="11"/>
        <v>3.076836901</v>
      </c>
      <c r="AQ16" s="235">
        <f t="shared" si="11"/>
        <v>-0.1697902288</v>
      </c>
      <c r="AR16" s="310">
        <f t="shared" si="11"/>
        <v>6.376747416</v>
      </c>
      <c r="AS16" s="235"/>
      <c r="AT16" s="235">
        <f t="shared" ref="AT16:AY16" si="12">-(ln(AT13)-ln(AT7))</f>
        <v>-0.6475723048</v>
      </c>
      <c r="AU16" s="235">
        <f t="shared" si="12"/>
        <v>-5.325813562</v>
      </c>
      <c r="AV16" s="465">
        <f t="shared" si="12"/>
        <v>2.899699311</v>
      </c>
      <c r="AW16" s="235">
        <f t="shared" si="12"/>
        <v>2.551701547</v>
      </c>
      <c r="AX16" s="235">
        <f t="shared" si="12"/>
        <v>-0.6838171968</v>
      </c>
      <c r="AY16" s="235">
        <f t="shared" si="12"/>
        <v>-0.4351455395</v>
      </c>
      <c r="AZ16" s="235"/>
      <c r="BA16" s="235">
        <f t="shared" ref="BA16:BF16" si="13">-(ln(BA13)-ln(BA7))</f>
        <v>0.695939797</v>
      </c>
      <c r="BB16" s="235">
        <f t="shared" si="13"/>
        <v>0.9673629993</v>
      </c>
      <c r="BC16" s="235">
        <f t="shared" si="13"/>
        <v>-1.013397026</v>
      </c>
      <c r="BD16" s="235">
        <f t="shared" si="13"/>
        <v>1.036486716</v>
      </c>
      <c r="BE16" s="235">
        <f t="shared" si="13"/>
        <v>0.2347961627</v>
      </c>
      <c r="BF16" s="235">
        <f t="shared" si="13"/>
        <v>1.043189922</v>
      </c>
      <c r="BG16" s="235"/>
      <c r="BH16" s="235">
        <f t="shared" ref="BH16:BM16" si="14">-(ln(BH13)-ln(BH7))</f>
        <v>2.175397047</v>
      </c>
      <c r="BI16" s="235">
        <f t="shared" si="14"/>
        <v>2.937012269</v>
      </c>
      <c r="BJ16" s="235">
        <f t="shared" si="14"/>
        <v>-0.1501205034</v>
      </c>
      <c r="BK16" s="465">
        <f t="shared" si="14"/>
        <v>3.821057584</v>
      </c>
      <c r="BL16" s="310">
        <f t="shared" si="14"/>
        <v>-2.754087467</v>
      </c>
      <c r="BM16" s="235">
        <f t="shared" si="14"/>
        <v>-0.2514604717</v>
      </c>
      <c r="BN16" s="235"/>
      <c r="BO16" s="182"/>
      <c r="BP16" s="182"/>
      <c r="BQ16" s="182"/>
      <c r="BR16" s="182"/>
      <c r="BS16" s="182"/>
      <c r="BT16" s="182"/>
      <c r="BU16" s="182"/>
    </row>
    <row r="17">
      <c r="A17" s="466" t="s">
        <v>1478</v>
      </c>
      <c r="B17" s="467">
        <f t="shared" ref="B17:I17" si="15">sum(B3:B16)</f>
        <v>34</v>
      </c>
      <c r="C17" s="467">
        <f t="shared" si="15"/>
        <v>33</v>
      </c>
      <c r="D17" s="467">
        <f t="shared" si="15"/>
        <v>103</v>
      </c>
      <c r="E17" s="467">
        <f t="shared" si="15"/>
        <v>64</v>
      </c>
      <c r="F17" s="467">
        <f t="shared" si="15"/>
        <v>99</v>
      </c>
      <c r="G17" s="467">
        <f t="shared" si="15"/>
        <v>220</v>
      </c>
      <c r="H17" s="467">
        <f t="shared" si="15"/>
        <v>41</v>
      </c>
      <c r="I17" s="467">
        <f t="shared" si="15"/>
        <v>7</v>
      </c>
      <c r="Q17" s="310" t="s">
        <v>1479</v>
      </c>
      <c r="R17" s="235">
        <v>0.5985814</v>
      </c>
      <c r="S17" s="235">
        <v>0.6212257</v>
      </c>
      <c r="T17" s="235">
        <v>0.5311828</v>
      </c>
      <c r="U17" s="235">
        <v>0.8859033</v>
      </c>
      <c r="V17" s="235">
        <v>0.5171545</v>
      </c>
      <c r="W17" s="235">
        <v>0.3201411</v>
      </c>
      <c r="X17" s="182"/>
      <c r="Y17" s="235">
        <v>0.427562</v>
      </c>
      <c r="Z17" s="310">
        <v>0.02309917</v>
      </c>
      <c r="AA17" s="310">
        <v>3.993713E-4</v>
      </c>
      <c r="AB17" s="235">
        <v>0.7389463</v>
      </c>
      <c r="AC17" s="310">
        <v>0.02201996</v>
      </c>
      <c r="AD17" s="235">
        <v>0.5774528</v>
      </c>
      <c r="AE17" s="182"/>
      <c r="AF17" s="235">
        <v>0.1530084</v>
      </c>
      <c r="AG17" s="235">
        <v>0.2607378</v>
      </c>
      <c r="AH17" s="235">
        <v>0.1700294</v>
      </c>
      <c r="AI17" s="235">
        <v>0.4608812</v>
      </c>
      <c r="AJ17" s="310">
        <v>7.863017E-8</v>
      </c>
      <c r="AK17" s="235">
        <v>0.119528</v>
      </c>
      <c r="AL17" s="182"/>
      <c r="AM17" s="310">
        <v>2.159865E-6</v>
      </c>
      <c r="AN17" s="235">
        <v>0.3862523</v>
      </c>
      <c r="AO17" s="235">
        <v>0.3452158</v>
      </c>
      <c r="AP17" s="235">
        <v>0.1446235</v>
      </c>
      <c r="AQ17" s="235">
        <v>0.2460573</v>
      </c>
      <c r="AR17" s="310">
        <v>0.002093718</v>
      </c>
      <c r="AS17" s="182"/>
      <c r="AT17" s="235">
        <v>0.5830291</v>
      </c>
      <c r="AU17" s="235">
        <v>0.290615</v>
      </c>
      <c r="AV17" s="465">
        <v>0.08758261</v>
      </c>
      <c r="AW17" s="235">
        <v>0.340993</v>
      </c>
      <c r="AX17" s="235">
        <v>0.8273949</v>
      </c>
      <c r="AY17" s="235">
        <v>0.7418425</v>
      </c>
      <c r="AZ17" s="182"/>
      <c r="BA17" s="235">
        <v>0.7606932</v>
      </c>
      <c r="BB17" s="235">
        <v>0.8244834</v>
      </c>
      <c r="BC17" s="235">
        <v>0.3068325</v>
      </c>
      <c r="BD17" s="235">
        <v>0.8975421</v>
      </c>
      <c r="BE17" s="235">
        <v>0.9707627</v>
      </c>
      <c r="BF17" s="235">
        <v>0.5792715</v>
      </c>
      <c r="BG17" s="182"/>
      <c r="BH17" s="235">
        <v>0.3003</v>
      </c>
      <c r="BI17" s="235">
        <v>0.1160042</v>
      </c>
      <c r="BJ17" s="235">
        <v>0.9666977</v>
      </c>
      <c r="BK17" s="465">
        <v>0.05553946</v>
      </c>
      <c r="BL17" s="310">
        <v>0.03037057</v>
      </c>
      <c r="BM17" s="235">
        <v>0.8600291</v>
      </c>
      <c r="BN17" s="182"/>
      <c r="BO17" s="182"/>
      <c r="BP17" s="182"/>
      <c r="BQ17" s="182"/>
      <c r="BR17" s="182"/>
      <c r="BS17" s="182"/>
      <c r="BT17" s="182"/>
      <c r="BU17" s="182"/>
    </row>
    <row r="18">
      <c r="A18" s="331" t="s">
        <v>1480</v>
      </c>
      <c r="B18" s="468">
        <f>sum(B17:I17)</f>
        <v>601</v>
      </c>
      <c r="Q18" s="313"/>
      <c r="R18" s="265"/>
      <c r="S18" s="265"/>
      <c r="T18" s="265"/>
      <c r="U18" s="265"/>
      <c r="V18" s="265"/>
      <c r="W18" s="265"/>
      <c r="Y18" s="265"/>
      <c r="Z18" s="265"/>
      <c r="AA18" s="373"/>
      <c r="AB18" s="265"/>
      <c r="AC18" s="265"/>
      <c r="AD18" s="265"/>
      <c r="AF18" s="265"/>
      <c r="AG18" s="265"/>
      <c r="AH18" s="265"/>
      <c r="AI18" s="265"/>
      <c r="AJ18" s="373"/>
      <c r="AK18" s="265"/>
      <c r="AM18" s="373"/>
      <c r="AN18" s="265"/>
      <c r="AO18" s="265"/>
      <c r="AP18" s="265"/>
      <c r="AQ18" s="265"/>
      <c r="AR18" s="265"/>
      <c r="AT18" s="265"/>
      <c r="AU18" s="265"/>
      <c r="AV18" s="265"/>
      <c r="AW18" s="265"/>
      <c r="AX18" s="265"/>
      <c r="AY18" s="265"/>
      <c r="BA18" s="265"/>
      <c r="BB18" s="265"/>
      <c r="BC18" s="265"/>
      <c r="BD18" s="265"/>
      <c r="BE18" s="265"/>
      <c r="BF18" s="265"/>
      <c r="BH18" s="265"/>
      <c r="BI18" s="265"/>
      <c r="BJ18" s="265"/>
      <c r="BK18" s="265"/>
      <c r="BL18" s="265"/>
      <c r="BM18" s="265"/>
    </row>
    <row r="19">
      <c r="A19" s="331" t="s">
        <v>1481</v>
      </c>
      <c r="B19">
        <f t="shared" ref="B19:I19" si="16">sum(B3:B12)</f>
        <v>11</v>
      </c>
      <c r="C19">
        <f t="shared" si="16"/>
        <v>11</v>
      </c>
      <c r="D19">
        <f t="shared" si="16"/>
        <v>66</v>
      </c>
      <c r="E19">
        <f t="shared" si="16"/>
        <v>58</v>
      </c>
      <c r="F19">
        <f t="shared" si="16"/>
        <v>47</v>
      </c>
      <c r="G19">
        <f t="shared" si="16"/>
        <v>183</v>
      </c>
      <c r="H19">
        <f t="shared" si="16"/>
        <v>40</v>
      </c>
      <c r="I19">
        <f t="shared" si="16"/>
        <v>7</v>
      </c>
      <c r="Q19" s="178"/>
    </row>
    <row r="20">
      <c r="A20" s="331" t="s">
        <v>1482</v>
      </c>
      <c r="B20">
        <f>sum(B19:I19)</f>
        <v>423</v>
      </c>
      <c r="Q20" s="178"/>
    </row>
    <row r="21">
      <c r="A21" s="331" t="s">
        <v>1483</v>
      </c>
      <c r="B21">
        <f t="shared" ref="B21:I21" si="17">B19/$B$20</f>
        <v>0.02600472813</v>
      </c>
      <c r="C21">
        <f t="shared" si="17"/>
        <v>0.02600472813</v>
      </c>
      <c r="D21">
        <f t="shared" si="17"/>
        <v>0.1560283688</v>
      </c>
      <c r="E21">
        <f t="shared" si="17"/>
        <v>0.1371158392</v>
      </c>
      <c r="F21">
        <f t="shared" si="17"/>
        <v>0.1111111111</v>
      </c>
      <c r="G21">
        <f t="shared" si="17"/>
        <v>0.4326241135</v>
      </c>
      <c r="H21">
        <f t="shared" si="17"/>
        <v>0.09456264775</v>
      </c>
      <c r="I21">
        <f t="shared" si="17"/>
        <v>0.01654846336</v>
      </c>
      <c r="Q21" s="178"/>
    </row>
    <row r="22">
      <c r="A22" s="331" t="s">
        <v>1484</v>
      </c>
      <c r="B22">
        <f t="shared" ref="B22:I22" si="18">sum(B13:B16)</f>
        <v>23</v>
      </c>
      <c r="C22">
        <f t="shared" si="18"/>
        <v>22</v>
      </c>
      <c r="D22">
        <f t="shared" si="18"/>
        <v>37</v>
      </c>
      <c r="E22">
        <f t="shared" si="18"/>
        <v>6</v>
      </c>
      <c r="F22">
        <f t="shared" si="18"/>
        <v>52</v>
      </c>
      <c r="G22">
        <f t="shared" si="18"/>
        <v>37</v>
      </c>
      <c r="H22">
        <f t="shared" si="18"/>
        <v>1</v>
      </c>
      <c r="I22">
        <f t="shared" si="18"/>
        <v>0</v>
      </c>
      <c r="Q22" s="178"/>
    </row>
    <row r="23">
      <c r="A23" s="331" t="s">
        <v>1485</v>
      </c>
      <c r="B23">
        <f t="shared" ref="B23:I23" si="19">B21*$B$24</f>
        <v>4.628841608</v>
      </c>
      <c r="C23">
        <f t="shared" si="19"/>
        <v>4.628841608</v>
      </c>
      <c r="D23">
        <f t="shared" si="19"/>
        <v>27.77304965</v>
      </c>
      <c r="E23">
        <f t="shared" si="19"/>
        <v>24.40661939</v>
      </c>
      <c r="F23">
        <f t="shared" si="19"/>
        <v>19.77777778</v>
      </c>
      <c r="G23">
        <f t="shared" si="19"/>
        <v>77.0070922</v>
      </c>
      <c r="H23">
        <f t="shared" si="19"/>
        <v>16.8321513</v>
      </c>
      <c r="I23">
        <f t="shared" si="19"/>
        <v>2.945626478</v>
      </c>
      <c r="Q23" s="178"/>
    </row>
    <row r="24">
      <c r="A24" s="331" t="s">
        <v>1486</v>
      </c>
      <c r="B24">
        <f>sum(B22:I22)</f>
        <v>178</v>
      </c>
      <c r="Q24" s="178"/>
    </row>
    <row r="25">
      <c r="A25" s="331" t="s">
        <v>1487</v>
      </c>
      <c r="B25">
        <f t="shared" ref="B25:I25" si="20">B22/$B$24</f>
        <v>0.1292134831</v>
      </c>
      <c r="C25">
        <f t="shared" si="20"/>
        <v>0.1235955056</v>
      </c>
      <c r="D25">
        <f t="shared" si="20"/>
        <v>0.2078651685</v>
      </c>
      <c r="E25">
        <f t="shared" si="20"/>
        <v>0.03370786517</v>
      </c>
      <c r="F25">
        <f t="shared" si="20"/>
        <v>0.2921348315</v>
      </c>
      <c r="G25">
        <f t="shared" si="20"/>
        <v>0.2078651685</v>
      </c>
      <c r="H25">
        <f t="shared" si="20"/>
        <v>0.005617977528</v>
      </c>
      <c r="I25">
        <f t="shared" si="20"/>
        <v>0</v>
      </c>
      <c r="Q25" s="178"/>
    </row>
    <row r="26">
      <c r="A26" s="466" t="s">
        <v>1488</v>
      </c>
      <c r="B26" s="469">
        <v>183.3248</v>
      </c>
      <c r="Q26" s="470"/>
      <c r="R26" s="178"/>
    </row>
    <row r="27">
      <c r="A27" s="466" t="s">
        <v>1489</v>
      </c>
      <c r="B27" s="469">
        <v>0.0</v>
      </c>
      <c r="Q27" s="470"/>
      <c r="R27" s="471"/>
    </row>
    <row r="28">
      <c r="A28" s="466" t="s">
        <v>1490</v>
      </c>
      <c r="B28" s="469">
        <v>38.181341</v>
      </c>
      <c r="C28" s="469">
        <v>34.87446</v>
      </c>
      <c r="D28" s="472">
        <v>3.279477</v>
      </c>
      <c r="E28" s="469">
        <v>21.621767</v>
      </c>
      <c r="F28" s="469">
        <v>42.218746</v>
      </c>
      <c r="G28" s="469">
        <v>39.005131</v>
      </c>
      <c r="H28" s="469">
        <v>26.930309</v>
      </c>
      <c r="I28" s="469">
        <v>5.812319</v>
      </c>
      <c r="Q28" s="470"/>
      <c r="U28" s="178"/>
      <c r="Y28" s="178"/>
      <c r="AB28" s="178"/>
      <c r="AG28" s="178"/>
      <c r="AL28" s="178"/>
    </row>
    <row r="29">
      <c r="A29" s="466" t="s">
        <v>1491</v>
      </c>
      <c r="B29" s="473">
        <f t="shared" ref="B29:I29" si="21">if(B22&gt;B23,B28*1,B28*-1)</f>
        <v>38.181341</v>
      </c>
      <c r="C29" s="473">
        <f t="shared" si="21"/>
        <v>34.87446</v>
      </c>
      <c r="D29" s="474">
        <f t="shared" si="21"/>
        <v>3.279477</v>
      </c>
      <c r="E29" s="473">
        <f t="shared" si="21"/>
        <v>-21.621767</v>
      </c>
      <c r="F29" s="473">
        <f t="shared" si="21"/>
        <v>42.218746</v>
      </c>
      <c r="G29" s="473">
        <f t="shared" si="21"/>
        <v>-39.005131</v>
      </c>
      <c r="H29" s="473">
        <f t="shared" si="21"/>
        <v>-26.930309</v>
      </c>
      <c r="I29" s="473">
        <f t="shared" si="21"/>
        <v>-5.812319</v>
      </c>
      <c r="Q29" s="470"/>
      <c r="R29" s="470"/>
      <c r="S29" s="470"/>
      <c r="T29" s="470"/>
      <c r="U29" s="470"/>
      <c r="V29" s="470"/>
      <c r="W29" s="470"/>
      <c r="X29" s="470"/>
      <c r="Y29" s="470"/>
      <c r="Z29" s="470"/>
      <c r="AA29" s="470"/>
      <c r="AB29" s="470"/>
      <c r="AC29" s="470"/>
      <c r="AD29" s="470"/>
      <c r="AE29" s="470"/>
      <c r="AF29" s="470"/>
      <c r="AG29" s="470"/>
      <c r="AH29" s="470"/>
      <c r="AI29" s="470"/>
      <c r="AJ29" s="470"/>
      <c r="AK29" s="470"/>
      <c r="AL29" s="470"/>
      <c r="AM29" s="470"/>
      <c r="AN29" s="470"/>
      <c r="AO29" s="470"/>
      <c r="AP29" s="470"/>
      <c r="AQ29" s="470"/>
      <c r="AR29" s="470"/>
      <c r="AS29" s="470"/>
      <c r="AT29" s="470"/>
      <c r="AU29" s="470"/>
      <c r="AV29" s="470"/>
      <c r="AW29" s="470"/>
      <c r="AX29" s="470"/>
      <c r="AY29" s="470"/>
      <c r="AZ29" s="470"/>
      <c r="BA29" s="470"/>
      <c r="BB29" s="470"/>
      <c r="BC29" s="470"/>
      <c r="BD29" s="470"/>
      <c r="BE29" s="470"/>
      <c r="BF29" s="470"/>
      <c r="BG29" s="470"/>
      <c r="BH29" s="470"/>
      <c r="BI29" s="470"/>
      <c r="BJ29" s="470"/>
      <c r="BK29" s="470"/>
      <c r="BL29" s="470"/>
      <c r="BM29" s="470"/>
      <c r="BN29" s="470"/>
      <c r="BO29" s="470"/>
      <c r="BP29" s="470"/>
      <c r="BQ29" s="470"/>
      <c r="BR29" s="470"/>
      <c r="BS29" s="470"/>
      <c r="BT29" s="470"/>
      <c r="BU29" s="470"/>
    </row>
    <row r="30">
      <c r="A30" s="466" t="s">
        <v>1492</v>
      </c>
      <c r="B30" s="475">
        <v>6.446592E-10</v>
      </c>
      <c r="C30" s="475">
        <v>3.516638E-9</v>
      </c>
      <c r="D30" s="476">
        <v>0.07015127</v>
      </c>
      <c r="E30" s="475">
        <v>3.320619E-6</v>
      </c>
      <c r="F30" s="475">
        <v>8.161394E-11</v>
      </c>
      <c r="G30" s="475">
        <v>4.22693E-10</v>
      </c>
      <c r="H30" s="475">
        <v>2.109251E-7</v>
      </c>
      <c r="I30" s="475">
        <v>0.0159143</v>
      </c>
      <c r="Q30" s="470"/>
      <c r="U30" s="178"/>
      <c r="Y30" s="178"/>
      <c r="AB30" s="178"/>
      <c r="AG30" s="178"/>
      <c r="AL30" s="178"/>
    </row>
    <row r="31">
      <c r="Q31" s="470"/>
    </row>
    <row r="32">
      <c r="A32" s="331" t="s">
        <v>1493</v>
      </c>
      <c r="B32" s="345" t="s">
        <v>389</v>
      </c>
      <c r="C32" s="346" t="s">
        <v>420</v>
      </c>
      <c r="D32" s="347" t="s">
        <v>358</v>
      </c>
      <c r="E32" s="348" t="s">
        <v>363</v>
      </c>
      <c r="F32" s="349" t="s">
        <v>413</v>
      </c>
      <c r="G32" s="350" t="s">
        <v>357</v>
      </c>
      <c r="H32" s="351" t="s">
        <v>380</v>
      </c>
      <c r="I32" s="352" t="s">
        <v>387</v>
      </c>
      <c r="Q32" s="470"/>
    </row>
    <row r="33">
      <c r="A33" s="178" t="s">
        <v>1494</v>
      </c>
      <c r="B33">
        <f t="shared" ref="B33:I33" si="22">B21</f>
        <v>0.02600472813</v>
      </c>
      <c r="C33">
        <f t="shared" si="22"/>
        <v>0.02600472813</v>
      </c>
      <c r="D33">
        <f t="shared" si="22"/>
        <v>0.1560283688</v>
      </c>
      <c r="E33">
        <f t="shared" si="22"/>
        <v>0.1371158392</v>
      </c>
      <c r="F33">
        <f t="shared" si="22"/>
        <v>0.1111111111</v>
      </c>
      <c r="G33">
        <f t="shared" si="22"/>
        <v>0.4326241135</v>
      </c>
      <c r="H33">
        <f t="shared" si="22"/>
        <v>0.09456264775</v>
      </c>
      <c r="I33">
        <f t="shared" si="22"/>
        <v>0.01654846336</v>
      </c>
      <c r="Q33" s="470"/>
    </row>
    <row r="34">
      <c r="A34" s="178" t="s">
        <v>1495</v>
      </c>
      <c r="B34">
        <f t="shared" ref="B34:I34" si="23">B25</f>
        <v>0.1292134831</v>
      </c>
      <c r="C34">
        <f t="shared" si="23"/>
        <v>0.1235955056</v>
      </c>
      <c r="D34">
        <f t="shared" si="23"/>
        <v>0.2078651685</v>
      </c>
      <c r="E34">
        <f t="shared" si="23"/>
        <v>0.03370786517</v>
      </c>
      <c r="F34">
        <f t="shared" si="23"/>
        <v>0.2921348315</v>
      </c>
      <c r="G34">
        <f t="shared" si="23"/>
        <v>0.2078651685</v>
      </c>
      <c r="H34">
        <f t="shared" si="23"/>
        <v>0.005617977528</v>
      </c>
      <c r="I34">
        <f t="shared" si="23"/>
        <v>0</v>
      </c>
      <c r="Q34" s="470"/>
    </row>
    <row r="35">
      <c r="Q35" s="470"/>
    </row>
    <row r="36">
      <c r="A36" s="398" t="s">
        <v>1496</v>
      </c>
      <c r="B36" s="399"/>
      <c r="C36" s="399"/>
      <c r="D36" s="399"/>
      <c r="E36" s="399"/>
      <c r="F36" s="399"/>
      <c r="G36" s="399"/>
      <c r="H36" s="400"/>
      <c r="I36" s="353"/>
    </row>
    <row r="37">
      <c r="A37" s="310" t="s">
        <v>1462</v>
      </c>
      <c r="B37" s="345" t="s">
        <v>389</v>
      </c>
      <c r="C37" s="346" t="s">
        <v>420</v>
      </c>
      <c r="D37" s="347" t="s">
        <v>358</v>
      </c>
      <c r="E37" s="348" t="s">
        <v>363</v>
      </c>
      <c r="F37" s="349" t="s">
        <v>413</v>
      </c>
      <c r="G37" s="350" t="s">
        <v>357</v>
      </c>
      <c r="H37" s="351" t="s">
        <v>380</v>
      </c>
      <c r="I37" s="352" t="s">
        <v>387</v>
      </c>
      <c r="Q37" s="178"/>
    </row>
    <row r="38">
      <c r="A38" s="463">
        <v>40022.0</v>
      </c>
      <c r="B38">
        <f>'07-28-09'!AJ14</f>
        <v>0</v>
      </c>
      <c r="C38">
        <f>'07-28-09'!AK14</f>
        <v>0</v>
      </c>
      <c r="D38">
        <f>'07-28-09'!AL14</f>
        <v>11</v>
      </c>
      <c r="E38">
        <f>'07-28-09'!AM14</f>
        <v>4</v>
      </c>
      <c r="F38">
        <f>'07-28-09'!AN14</f>
        <v>1</v>
      </c>
      <c r="G38">
        <f>'07-28-09'!AO14</f>
        <v>3</v>
      </c>
      <c r="H38">
        <f>'07-28-09'!AP14</f>
        <v>0</v>
      </c>
      <c r="I38">
        <f>'07-28-09'!AQ14</f>
        <v>0</v>
      </c>
      <c r="Q38" s="178"/>
    </row>
    <row r="39">
      <c r="A39" s="463">
        <v>40122.0</v>
      </c>
      <c r="B39">
        <f>'11-05-09'!AI24</f>
        <v>0</v>
      </c>
      <c r="C39">
        <f>'11-05-09'!AJ24</f>
        <v>0</v>
      </c>
      <c r="D39">
        <f>'11-05-09'!AK24</f>
        <v>7</v>
      </c>
      <c r="E39">
        <f>'11-05-09'!AL24</f>
        <v>6</v>
      </c>
      <c r="F39">
        <f>'11-05-09'!AM24</f>
        <v>5</v>
      </c>
      <c r="G39">
        <f>'11-05-09'!AN24</f>
        <v>4</v>
      </c>
      <c r="H39">
        <f>'11-05-09'!AO24</f>
        <v>5</v>
      </c>
      <c r="I39">
        <f>'11-05-09'!AP24</f>
        <v>0</v>
      </c>
      <c r="Q39" s="178"/>
    </row>
    <row r="40">
      <c r="A40" s="463">
        <v>40206.0</v>
      </c>
      <c r="B40">
        <f>'01-28-10'!AK75</f>
        <v>3</v>
      </c>
      <c r="C40">
        <f>'01-28-10'!AL75</f>
        <v>4</v>
      </c>
      <c r="D40">
        <f>'01-28-10'!AM75</f>
        <v>37</v>
      </c>
      <c r="E40">
        <f>'01-28-10'!AN75</f>
        <v>16</v>
      </c>
      <c r="F40">
        <f>'01-28-10'!AO75</f>
        <v>19</v>
      </c>
      <c r="G40">
        <f>'01-28-10'!AP75</f>
        <v>60</v>
      </c>
      <c r="H40">
        <f>'01-28-10'!AQ75</f>
        <v>7</v>
      </c>
      <c r="I40">
        <f>'01-28-10'!AR75</f>
        <v>4</v>
      </c>
      <c r="Q40" s="178"/>
    </row>
    <row r="41">
      <c r="A41" s="463">
        <v>40243.0</v>
      </c>
      <c r="B41">
        <f>'03-06-10'!AN63</f>
        <v>3</v>
      </c>
      <c r="C41">
        <f>'03-06-10'!AO63</f>
        <v>6</v>
      </c>
      <c r="D41">
        <f>'03-06-10'!AP63</f>
        <v>18</v>
      </c>
      <c r="E41">
        <f>'03-06-10'!AQ63</f>
        <v>17</v>
      </c>
      <c r="F41">
        <f>'03-06-10'!AR63</f>
        <v>11</v>
      </c>
      <c r="G41">
        <f>'03-06-10'!AS63</f>
        <v>72</v>
      </c>
      <c r="H41">
        <f>'03-06-10'!AT63</f>
        <v>3</v>
      </c>
      <c r="I41">
        <f>'03-06-10'!AU63</f>
        <v>2</v>
      </c>
      <c r="Q41" s="178"/>
    </row>
    <row r="42">
      <c r="A42" s="463">
        <v>40319.0</v>
      </c>
      <c r="B42">
        <f>'05-21-10'!AO74</f>
        <v>0</v>
      </c>
      <c r="C42">
        <f>'05-21-10'!AP74</f>
        <v>0</v>
      </c>
      <c r="D42">
        <f>'05-21-10'!AQ74</f>
        <v>4</v>
      </c>
      <c r="E42">
        <f>'05-21-10'!AR74</f>
        <v>19</v>
      </c>
      <c r="F42">
        <f>'05-21-10'!AS74</f>
        <v>1</v>
      </c>
      <c r="G42">
        <f>'05-21-10'!AT74</f>
        <v>47</v>
      </c>
      <c r="H42">
        <f>'05-21-10'!AU74</f>
        <v>7</v>
      </c>
      <c r="I42">
        <f>'05-21-10'!AV74</f>
        <v>1</v>
      </c>
      <c r="Q42" s="178"/>
    </row>
    <row r="43">
      <c r="A43" s="463">
        <v>40373.0</v>
      </c>
      <c r="B43">
        <f>'07-14-10'!AI66</f>
        <v>1</v>
      </c>
      <c r="C43">
        <f>'07-14-10'!AJ66</f>
        <v>1</v>
      </c>
      <c r="D43">
        <f>'07-14-10'!AK66</f>
        <v>9</v>
      </c>
      <c r="E43">
        <f>'07-14-10'!AL66</f>
        <v>11</v>
      </c>
      <c r="F43">
        <f>'07-14-10'!AM66</f>
        <v>12</v>
      </c>
      <c r="G43">
        <f>'07-14-10'!AN66</f>
        <v>64</v>
      </c>
      <c r="H43">
        <f>'07-14-10'!AO66</f>
        <v>5</v>
      </c>
      <c r="I43">
        <f>'07-14-10'!AP66</f>
        <v>1</v>
      </c>
      <c r="Q43" s="178"/>
    </row>
    <row r="44">
      <c r="A44" s="463">
        <v>40444.0</v>
      </c>
      <c r="B44">
        <f>'09-23-10'!AI71</f>
        <v>0</v>
      </c>
      <c r="C44">
        <f>'09-23-10'!AJ71</f>
        <v>0</v>
      </c>
      <c r="D44">
        <f>'09-23-10'!AK71</f>
        <v>7</v>
      </c>
      <c r="E44">
        <f>'09-23-10'!AL71</f>
        <v>4</v>
      </c>
      <c r="F44">
        <f>'09-23-10'!AM71</f>
        <v>33</v>
      </c>
      <c r="G44">
        <f>'09-23-10'!AN71</f>
        <v>54</v>
      </c>
      <c r="H44">
        <f>'09-23-10'!AO71</f>
        <v>8</v>
      </c>
      <c r="I44">
        <f>'09-23-10'!AP71</f>
        <v>0</v>
      </c>
      <c r="Q44" s="470"/>
    </row>
    <row r="45">
      <c r="A45" s="463">
        <v>40487.0</v>
      </c>
      <c r="B45">
        <f>'11-05-10'!AL69</f>
        <v>1</v>
      </c>
      <c r="C45">
        <f>'11-05-10'!AM69</f>
        <v>3</v>
      </c>
      <c r="D45">
        <f>'11-05-10'!AN69</f>
        <v>6</v>
      </c>
      <c r="E45">
        <f>'11-05-10'!AO69</f>
        <v>5</v>
      </c>
      <c r="F45">
        <f>'11-05-10'!AP69</f>
        <v>9</v>
      </c>
      <c r="G45">
        <f>'11-05-10'!AQ69</f>
        <v>57</v>
      </c>
      <c r="H45">
        <f>'11-05-10'!AR69</f>
        <v>6</v>
      </c>
      <c r="I45">
        <f>'11-05-10'!AS69</f>
        <v>0</v>
      </c>
      <c r="Q45" s="470"/>
    </row>
    <row r="46">
      <c r="A46" s="463">
        <v>40606.0</v>
      </c>
      <c r="B46">
        <f>'03-04-11'!AE61</f>
        <v>0</v>
      </c>
      <c r="C46">
        <f>'03-04-11'!AF61</f>
        <v>0</v>
      </c>
      <c r="D46">
        <f>'03-04-11'!AG61</f>
        <v>3</v>
      </c>
      <c r="E46">
        <f>'03-04-11'!AH61</f>
        <v>2</v>
      </c>
      <c r="F46">
        <f>'03-04-11'!AI61</f>
        <v>0</v>
      </c>
      <c r="G46">
        <f>'03-04-11'!AJ61</f>
        <v>6</v>
      </c>
      <c r="H46">
        <f>'03-04-11'!AK61</f>
        <v>3</v>
      </c>
      <c r="I46">
        <f>'03-04-11'!AL61</f>
        <v>0</v>
      </c>
      <c r="Q46" s="470"/>
    </row>
    <row r="47">
      <c r="A47" s="463">
        <v>40737.0</v>
      </c>
      <c r="B47">
        <f>'07-13-11'!AJ83</f>
        <v>4</v>
      </c>
      <c r="C47">
        <f>'07-13-11'!AK83</f>
        <v>0</v>
      </c>
      <c r="D47">
        <f>'07-13-11'!AL83</f>
        <v>2</v>
      </c>
      <c r="E47">
        <f>'07-13-11'!AM83</f>
        <v>4</v>
      </c>
      <c r="F47">
        <f>'07-13-11'!AN83</f>
        <v>2</v>
      </c>
      <c r="G47">
        <f>'07-13-11'!AO83</f>
        <v>14</v>
      </c>
      <c r="H47">
        <f>'07-13-11'!AP83</f>
        <v>1</v>
      </c>
      <c r="I47">
        <f>'07-13-11'!AQ83</f>
        <v>0</v>
      </c>
      <c r="Q47" s="470"/>
    </row>
    <row r="48">
      <c r="A48" s="463">
        <v>40925.0</v>
      </c>
      <c r="B48">
        <f>'01-17-12'!AK90</f>
        <v>8</v>
      </c>
      <c r="C48">
        <f>'01-17-12'!AL90</f>
        <v>9</v>
      </c>
      <c r="D48">
        <f>'01-17-12'!AM90</f>
        <v>10</v>
      </c>
      <c r="E48">
        <f>'01-17-12'!AN90</f>
        <v>2</v>
      </c>
      <c r="F48">
        <f>'01-17-12'!AO90</f>
        <v>15</v>
      </c>
      <c r="G48">
        <f>'01-17-12'!AP90</f>
        <v>6</v>
      </c>
      <c r="H48">
        <f>'01-17-12'!AQ90</f>
        <v>0</v>
      </c>
      <c r="I48">
        <f>'01-17-12'!AR90</f>
        <v>0</v>
      </c>
      <c r="Q48" s="470"/>
    </row>
    <row r="49">
      <c r="A49" s="463">
        <v>40939.0</v>
      </c>
      <c r="B49">
        <f>'01-31-12'!AO92</f>
        <v>14</v>
      </c>
      <c r="C49">
        <f>'01-31-12'!AP92</f>
        <v>10</v>
      </c>
      <c r="D49">
        <f>'01-31-12'!AQ92</f>
        <v>9</v>
      </c>
      <c r="E49">
        <f>'01-31-12'!AR92</f>
        <v>0</v>
      </c>
      <c r="F49">
        <f>'01-31-12'!AS92</f>
        <v>19</v>
      </c>
      <c r="G49">
        <f>'01-31-12'!AT92</f>
        <v>17</v>
      </c>
      <c r="H49">
        <f>'01-31-12'!AU92</f>
        <v>0</v>
      </c>
      <c r="I49">
        <f>'01-31-12'!AV92</f>
        <v>0</v>
      </c>
      <c r="Q49" s="470"/>
    </row>
    <row r="50">
      <c r="A50" s="463">
        <v>40953.0</v>
      </c>
      <c r="B50">
        <f>'02-14-12'!AJ93</f>
        <v>10</v>
      </c>
      <c r="C50">
        <f>'02-14-12'!AK93</f>
        <v>4</v>
      </c>
      <c r="D50">
        <f>'02-14-12'!AL93</f>
        <v>5</v>
      </c>
      <c r="E50">
        <f>'02-14-12'!AM93</f>
        <v>6</v>
      </c>
      <c r="F50">
        <f>'02-14-12'!AN93</f>
        <v>26</v>
      </c>
      <c r="G50">
        <f>'02-14-12'!AO93</f>
        <v>15</v>
      </c>
      <c r="H50">
        <f>'02-14-12'!AP93</f>
        <v>0</v>
      </c>
      <c r="I50">
        <f>'02-14-12'!AQ93</f>
        <v>0</v>
      </c>
      <c r="Q50" s="470"/>
    </row>
    <row r="51">
      <c r="A51" s="463">
        <v>40983.0</v>
      </c>
      <c r="B51" s="178">
        <f>'03-15-12'!AJ86</f>
        <v>2</v>
      </c>
      <c r="C51" s="178">
        <f>'03-15-12'!AK86</f>
        <v>11</v>
      </c>
      <c r="D51" s="178">
        <f>'03-15-12'!AL86</f>
        <v>29</v>
      </c>
      <c r="E51" s="178">
        <f>'03-15-12'!AM86</f>
        <v>0</v>
      </c>
      <c r="F51" s="178">
        <f>'03-15-12'!AN86</f>
        <v>39</v>
      </c>
      <c r="G51" s="178">
        <f>'03-15-12'!AO86</f>
        <v>19</v>
      </c>
      <c r="H51" s="178">
        <f>'03-15-12'!AP86</f>
        <v>1</v>
      </c>
      <c r="I51" s="178">
        <f>'03-15-12'!AQ86</f>
        <v>0</v>
      </c>
      <c r="J51" s="331" t="s">
        <v>1497</v>
      </c>
      <c r="Q51" s="470"/>
    </row>
    <row r="52">
      <c r="A52" s="466" t="s">
        <v>1498</v>
      </c>
      <c r="B52" s="468">
        <f t="shared" ref="B52:I52" si="24">sum(B38:B51)</f>
        <v>46</v>
      </c>
      <c r="C52" s="468">
        <f t="shared" si="24"/>
        <v>48</v>
      </c>
      <c r="D52" s="468">
        <f t="shared" si="24"/>
        <v>157</v>
      </c>
      <c r="E52" s="468">
        <f t="shared" si="24"/>
        <v>96</v>
      </c>
      <c r="F52" s="468">
        <f t="shared" si="24"/>
        <v>192</v>
      </c>
      <c r="G52" s="468">
        <f t="shared" si="24"/>
        <v>438</v>
      </c>
      <c r="H52" s="468">
        <f t="shared" si="24"/>
        <v>46</v>
      </c>
      <c r="I52" s="468">
        <f t="shared" si="24"/>
        <v>8</v>
      </c>
      <c r="J52">
        <f>correl(B17:I17,B52:I52)</f>
        <v>0.993223133</v>
      </c>
      <c r="Q52" s="470"/>
    </row>
    <row r="53">
      <c r="A53" s="331" t="s">
        <v>1499</v>
      </c>
      <c r="B53" s="468">
        <f>sum(B52:I52)</f>
        <v>1031</v>
      </c>
      <c r="Q53" s="470"/>
    </row>
    <row r="54">
      <c r="A54" s="331" t="s">
        <v>1500</v>
      </c>
      <c r="B54">
        <f t="shared" ref="B54:I54" si="25">sum(B38:B47)</f>
        <v>12</v>
      </c>
      <c r="C54">
        <f t="shared" si="25"/>
        <v>14</v>
      </c>
      <c r="D54">
        <f t="shared" si="25"/>
        <v>104</v>
      </c>
      <c r="E54">
        <f t="shared" si="25"/>
        <v>88</v>
      </c>
      <c r="F54">
        <f t="shared" si="25"/>
        <v>93</v>
      </c>
      <c r="G54">
        <f t="shared" si="25"/>
        <v>381</v>
      </c>
      <c r="H54">
        <f t="shared" si="25"/>
        <v>45</v>
      </c>
      <c r="I54">
        <f t="shared" si="25"/>
        <v>8</v>
      </c>
      <c r="J54">
        <f>correl(B19:I19,B54:I54)</f>
        <v>0.9925227884</v>
      </c>
    </row>
    <row r="55">
      <c r="A55" s="331" t="s">
        <v>1482</v>
      </c>
      <c r="B55">
        <f>sum(B54:I54)</f>
        <v>745</v>
      </c>
    </row>
    <row r="56">
      <c r="A56" s="331" t="s">
        <v>1483</v>
      </c>
      <c r="B56">
        <f t="shared" ref="B56:I56" si="26">B54/$B$55</f>
        <v>0.01610738255</v>
      </c>
      <c r="C56">
        <f t="shared" si="26"/>
        <v>0.01879194631</v>
      </c>
      <c r="D56">
        <f t="shared" si="26"/>
        <v>0.1395973154</v>
      </c>
      <c r="E56">
        <f t="shared" si="26"/>
        <v>0.1181208054</v>
      </c>
      <c r="F56">
        <f t="shared" si="26"/>
        <v>0.1248322148</v>
      </c>
      <c r="G56">
        <f t="shared" si="26"/>
        <v>0.511409396</v>
      </c>
      <c r="H56">
        <f t="shared" si="26"/>
        <v>0.06040268456</v>
      </c>
      <c r="I56">
        <f t="shared" si="26"/>
        <v>0.01073825503</v>
      </c>
    </row>
    <row r="57">
      <c r="A57" s="331" t="s">
        <v>1501</v>
      </c>
      <c r="B57">
        <f t="shared" ref="B57:I57" si="27">sum(B48:B51)</f>
        <v>34</v>
      </c>
      <c r="C57">
        <f t="shared" si="27"/>
        <v>34</v>
      </c>
      <c r="D57">
        <f t="shared" si="27"/>
        <v>53</v>
      </c>
      <c r="E57">
        <f t="shared" si="27"/>
        <v>8</v>
      </c>
      <c r="F57">
        <f t="shared" si="27"/>
        <v>99</v>
      </c>
      <c r="G57">
        <f t="shared" si="27"/>
        <v>57</v>
      </c>
      <c r="H57">
        <f t="shared" si="27"/>
        <v>1</v>
      </c>
      <c r="I57">
        <f t="shared" si="27"/>
        <v>0</v>
      </c>
      <c r="J57">
        <f>correl(B22:I22,B57:I57)</f>
        <v>0.9844662419</v>
      </c>
    </row>
    <row r="58">
      <c r="A58" s="331" t="s">
        <v>1502</v>
      </c>
      <c r="B58">
        <f t="shared" ref="B58:I58" si="28">B56*$B$59</f>
        <v>4.606711409</v>
      </c>
      <c r="C58">
        <f t="shared" si="28"/>
        <v>5.374496644</v>
      </c>
      <c r="D58">
        <f t="shared" si="28"/>
        <v>39.92483221</v>
      </c>
      <c r="E58">
        <f t="shared" si="28"/>
        <v>33.78255034</v>
      </c>
      <c r="F58">
        <f t="shared" si="28"/>
        <v>35.70201342</v>
      </c>
      <c r="G58">
        <f t="shared" si="28"/>
        <v>146.2630872</v>
      </c>
      <c r="H58">
        <f t="shared" si="28"/>
        <v>17.27516779</v>
      </c>
      <c r="I58">
        <f t="shared" si="28"/>
        <v>3.07114094</v>
      </c>
    </row>
    <row r="59">
      <c r="A59" s="331" t="s">
        <v>1486</v>
      </c>
      <c r="B59">
        <f>sum(B57:I57)</f>
        <v>286</v>
      </c>
    </row>
    <row r="60">
      <c r="A60" s="331" t="s">
        <v>1487</v>
      </c>
      <c r="B60">
        <f t="shared" ref="B60:I60" si="29">B57/$B$59</f>
        <v>0.1188811189</v>
      </c>
      <c r="C60">
        <f t="shared" si="29"/>
        <v>0.1188811189</v>
      </c>
      <c r="D60">
        <f t="shared" si="29"/>
        <v>0.1853146853</v>
      </c>
      <c r="E60">
        <f t="shared" si="29"/>
        <v>0.02797202797</v>
      </c>
      <c r="F60">
        <f t="shared" si="29"/>
        <v>0.3461538462</v>
      </c>
      <c r="G60">
        <f t="shared" si="29"/>
        <v>0.1993006993</v>
      </c>
      <c r="H60">
        <f t="shared" si="29"/>
        <v>0.003496503497</v>
      </c>
      <c r="I60">
        <f t="shared" si="29"/>
        <v>0</v>
      </c>
    </row>
    <row r="61">
      <c r="A61" s="466" t="s">
        <v>1488</v>
      </c>
      <c r="B61" s="469">
        <v>350.0878</v>
      </c>
    </row>
    <row r="62">
      <c r="A62" s="466" t="s">
        <v>1489</v>
      </c>
      <c r="B62" s="469">
        <v>0.0</v>
      </c>
    </row>
    <row r="63">
      <c r="A63" s="466" t="s">
        <v>1490</v>
      </c>
      <c r="B63" s="469">
        <v>78.728286</v>
      </c>
      <c r="C63" s="469">
        <v>69.803323</v>
      </c>
      <c r="D63" s="469">
        <v>4.495376</v>
      </c>
      <c r="E63" s="469">
        <v>30.452198</v>
      </c>
      <c r="F63" s="469">
        <v>91.066424</v>
      </c>
      <c r="G63" s="469">
        <v>116.453681</v>
      </c>
      <c r="H63" s="469">
        <v>27.267526</v>
      </c>
      <c r="I63" s="469">
        <v>6.053257</v>
      </c>
    </row>
    <row r="64">
      <c r="A64" s="466" t="s">
        <v>1491</v>
      </c>
      <c r="B64" s="473">
        <f t="shared" ref="B64:I64" si="30">if(B57&gt;B58,B63*1,B63*-1)</f>
        <v>78.728286</v>
      </c>
      <c r="C64" s="473">
        <f t="shared" si="30"/>
        <v>69.803323</v>
      </c>
      <c r="D64" s="473">
        <f t="shared" si="30"/>
        <v>4.495376</v>
      </c>
      <c r="E64" s="473">
        <f t="shared" si="30"/>
        <v>-30.452198</v>
      </c>
      <c r="F64" s="473">
        <f t="shared" si="30"/>
        <v>91.066424</v>
      </c>
      <c r="G64" s="473">
        <f t="shared" si="30"/>
        <v>-116.453681</v>
      </c>
      <c r="H64" s="473">
        <f t="shared" si="30"/>
        <v>-27.267526</v>
      </c>
      <c r="I64" s="473">
        <f t="shared" si="30"/>
        <v>-6.053257</v>
      </c>
    </row>
    <row r="65">
      <c r="A65" s="466" t="s">
        <v>1492</v>
      </c>
      <c r="B65" s="475">
        <v>0.0</v>
      </c>
      <c r="C65" s="475">
        <v>1.110223E-16</v>
      </c>
      <c r="D65" s="475">
        <v>0.03398663</v>
      </c>
      <c r="E65" s="475">
        <v>3.421955E-8</v>
      </c>
      <c r="F65" s="475">
        <v>0.0</v>
      </c>
      <c r="G65" s="475">
        <v>0.0</v>
      </c>
      <c r="H65" s="475">
        <v>1.77162E-7</v>
      </c>
      <c r="I65" s="475">
        <v>0.01388067</v>
      </c>
    </row>
    <row r="67">
      <c r="A67" s="331" t="s">
        <v>1493</v>
      </c>
      <c r="B67" s="345" t="s">
        <v>389</v>
      </c>
      <c r="C67" s="346" t="s">
        <v>420</v>
      </c>
      <c r="D67" s="347" t="s">
        <v>358</v>
      </c>
      <c r="E67" s="348" t="s">
        <v>363</v>
      </c>
      <c r="F67" s="349" t="s">
        <v>413</v>
      </c>
      <c r="G67" s="350" t="s">
        <v>357</v>
      </c>
      <c r="H67" s="351" t="s">
        <v>380</v>
      </c>
      <c r="I67" s="352" t="s">
        <v>387</v>
      </c>
    </row>
    <row r="68">
      <c r="A68" s="178" t="s">
        <v>1494</v>
      </c>
      <c r="B68">
        <f t="shared" ref="B68:I68" si="31">B56</f>
        <v>0.01610738255</v>
      </c>
      <c r="C68">
        <f t="shared" si="31"/>
        <v>0.01879194631</v>
      </c>
      <c r="D68">
        <f t="shared" si="31"/>
        <v>0.1395973154</v>
      </c>
      <c r="E68">
        <f t="shared" si="31"/>
        <v>0.1181208054</v>
      </c>
      <c r="F68">
        <f t="shared" si="31"/>
        <v>0.1248322148</v>
      </c>
      <c r="G68">
        <f t="shared" si="31"/>
        <v>0.511409396</v>
      </c>
      <c r="H68">
        <f t="shared" si="31"/>
        <v>0.06040268456</v>
      </c>
      <c r="I68">
        <f t="shared" si="31"/>
        <v>0.01073825503</v>
      </c>
    </row>
    <row r="69">
      <c r="A69" s="178" t="s">
        <v>1495</v>
      </c>
      <c r="B69">
        <f t="shared" ref="B69:I69" si="32">B60</f>
        <v>0.1188811189</v>
      </c>
      <c r="C69">
        <f t="shared" si="32"/>
        <v>0.1188811189</v>
      </c>
      <c r="D69">
        <f t="shared" si="32"/>
        <v>0.1853146853</v>
      </c>
      <c r="E69">
        <f t="shared" si="32"/>
        <v>0.02797202797</v>
      </c>
      <c r="F69">
        <f t="shared" si="32"/>
        <v>0.3461538462</v>
      </c>
      <c r="G69">
        <f t="shared" si="32"/>
        <v>0.1993006993</v>
      </c>
      <c r="H69">
        <f t="shared" si="32"/>
        <v>0.003496503497</v>
      </c>
      <c r="I69">
        <f t="shared" si="32"/>
        <v>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8.29"/>
    <col customWidth="1" min="2" max="3" width="15.14"/>
    <col customWidth="1" min="4" max="5" width="14.14"/>
    <col customWidth="1" min="6" max="8" width="13.0"/>
    <col customWidth="1" min="9" max="9" width="15.0"/>
    <col customWidth="1" min="10" max="10" width="15.43"/>
    <col customWidth="1" min="11" max="11" width="20.0"/>
    <col customWidth="1" min="12" max="12" width="17.86"/>
    <col customWidth="1" min="13" max="13" width="10.71"/>
    <col customWidth="1" min="14" max="14" width="11.14"/>
  </cols>
  <sheetData>
    <row r="1">
      <c r="A1" s="477" t="s">
        <v>1462</v>
      </c>
      <c r="B1" s="340" t="s">
        <v>1503</v>
      </c>
      <c r="C1" s="340" t="s">
        <v>1504</v>
      </c>
      <c r="D1" s="340" t="s">
        <v>1505</v>
      </c>
      <c r="E1" s="313" t="s">
        <v>1506</v>
      </c>
      <c r="F1" s="310" t="s">
        <v>1507</v>
      </c>
      <c r="G1" s="340" t="s">
        <v>1508</v>
      </c>
      <c r="H1" s="310" t="s">
        <v>1509</v>
      </c>
      <c r="I1" s="313" t="s">
        <v>1510</v>
      </c>
      <c r="J1" s="313" t="s">
        <v>1511</v>
      </c>
      <c r="K1" s="310" t="s">
        <v>1376</v>
      </c>
      <c r="L1" s="310" t="s">
        <v>1512</v>
      </c>
      <c r="M1" s="313" t="s">
        <v>1513</v>
      </c>
      <c r="N1" s="310" t="s">
        <v>1514</v>
      </c>
      <c r="O1" s="182"/>
      <c r="P1" s="182"/>
      <c r="Q1" s="182"/>
      <c r="R1" s="182"/>
      <c r="S1" s="182"/>
      <c r="T1" s="182"/>
      <c r="U1" s="182"/>
      <c r="V1" s="182"/>
      <c r="W1" s="182"/>
      <c r="X1" s="182"/>
      <c r="Y1" s="182"/>
      <c r="Z1" s="182"/>
      <c r="AA1" s="182"/>
      <c r="AB1" s="182"/>
    </row>
    <row r="2">
      <c r="A2" s="463">
        <v>40022.0</v>
      </c>
      <c r="B2" s="478">
        <f>'07-28-09'!AE19</f>
        <v>0.75</v>
      </c>
      <c r="C2" s="478">
        <f>'07-28-09'!AF19</f>
        <v>0.5</v>
      </c>
      <c r="D2" s="478">
        <f>'07-28-09'!AG19</f>
        <v>0.3333333333</v>
      </c>
      <c r="E2" s="478">
        <f>'07-28-09'!AH19</f>
        <v>0.25</v>
      </c>
      <c r="F2" s="234">
        <f>'07-28-09'!AF18</f>
        <v>12</v>
      </c>
      <c r="G2" s="234">
        <f>'07-28-09'!AF17</f>
        <v>6</v>
      </c>
      <c r="H2" s="479">
        <f t="shared" ref="H2:H15" si="1">G2/F2</f>
        <v>0.5</v>
      </c>
      <c r="I2" s="480">
        <v>0.210945</v>
      </c>
      <c r="J2" s="480">
        <v>0.789055</v>
      </c>
      <c r="K2" s="234">
        <f>'07-28-09'!AI17</f>
        <v>4</v>
      </c>
      <c r="L2" s="234">
        <f t="shared" ref="L2:L15" si="2">K2/F2</f>
        <v>0.3333333333</v>
      </c>
      <c r="M2" s="481">
        <v>0.099246</v>
      </c>
      <c r="N2" s="481">
        <v>0.651124</v>
      </c>
      <c r="O2" s="182"/>
      <c r="P2" s="182"/>
      <c r="Q2" s="182"/>
      <c r="R2" s="182"/>
      <c r="S2" s="182"/>
      <c r="T2" s="182"/>
      <c r="U2" s="182"/>
      <c r="V2" s="182"/>
      <c r="W2" s="182"/>
      <c r="X2" s="182"/>
      <c r="Y2" s="182"/>
      <c r="Z2" s="182"/>
      <c r="AA2" s="182"/>
      <c r="AB2" s="182"/>
    </row>
    <row r="3">
      <c r="A3" s="463">
        <v>40122.0</v>
      </c>
      <c r="B3" s="478">
        <f>'11-05-09'!AD29</f>
        <v>0.5909090909</v>
      </c>
      <c r="C3" s="478">
        <f>'11-05-09'!AE29</f>
        <v>0.5</v>
      </c>
      <c r="D3" s="478">
        <f>'11-05-09'!AF29</f>
        <v>0.3636363636</v>
      </c>
      <c r="E3" s="478">
        <f>'11-05-09'!AG29</f>
        <v>0.2727272727</v>
      </c>
      <c r="F3" s="234">
        <f>'11-05-09'!AE28</f>
        <v>22</v>
      </c>
      <c r="G3" s="234">
        <f>'11-05-09'!AE27</f>
        <v>11</v>
      </c>
      <c r="H3" s="479">
        <f t="shared" si="1"/>
        <v>0.5</v>
      </c>
      <c r="I3" s="480">
        <v>0.282211</v>
      </c>
      <c r="J3" s="480">
        <v>0.717789</v>
      </c>
      <c r="K3" s="234">
        <f>'11-05-09'!AH27</f>
        <v>3</v>
      </c>
      <c r="L3" s="234">
        <f t="shared" si="2"/>
        <v>0.1363636364</v>
      </c>
      <c r="M3" s="481">
        <v>0.029056</v>
      </c>
      <c r="N3" s="481">
        <v>0.349122</v>
      </c>
      <c r="O3" s="182"/>
      <c r="P3" s="182"/>
      <c r="Q3" s="182"/>
      <c r="R3" s="182"/>
      <c r="S3" s="182"/>
      <c r="T3" s="182"/>
      <c r="U3" s="182"/>
      <c r="V3" s="182"/>
      <c r="W3" s="182"/>
      <c r="X3" s="182"/>
      <c r="Y3" s="182"/>
      <c r="Z3" s="182"/>
      <c r="AA3" s="182"/>
      <c r="AB3" s="182"/>
    </row>
    <row r="4">
      <c r="A4" s="463">
        <v>40206.0</v>
      </c>
      <c r="B4" s="478">
        <f>'01-28-10'!AF80</f>
        <v>0.8493150685</v>
      </c>
      <c r="C4" s="478">
        <f>'01-28-10'!AG80</f>
        <v>0.7534246575</v>
      </c>
      <c r="D4" s="478">
        <f>'01-28-10'!AH80</f>
        <v>0.6164383562</v>
      </c>
      <c r="E4" s="478">
        <f>'01-28-10'!AI80</f>
        <v>0.2465753425</v>
      </c>
      <c r="F4" s="234">
        <f>'01-28-10'!AG79</f>
        <v>73</v>
      </c>
      <c r="G4" s="482">
        <f>'01-28-10'!AG78</f>
        <v>55</v>
      </c>
      <c r="H4" s="479">
        <f t="shared" si="1"/>
        <v>0.7534246575</v>
      </c>
      <c r="I4" s="480">
        <v>0.638586</v>
      </c>
      <c r="J4" s="480">
        <v>0.846845</v>
      </c>
      <c r="K4" s="234">
        <f>'01-28-10'!AJ78</f>
        <v>24</v>
      </c>
      <c r="L4" s="234">
        <f t="shared" si="2"/>
        <v>0.3287671233</v>
      </c>
      <c r="M4" s="481">
        <v>0.223257</v>
      </c>
      <c r="N4" s="481">
        <v>0.44866</v>
      </c>
      <c r="O4" s="182"/>
      <c r="P4" s="182"/>
      <c r="Q4" s="182"/>
      <c r="R4" s="182"/>
      <c r="S4" s="182"/>
      <c r="T4" s="182"/>
      <c r="U4" s="182"/>
      <c r="V4" s="182"/>
      <c r="W4" s="182"/>
      <c r="X4" s="182"/>
      <c r="Y4" s="182"/>
      <c r="Z4" s="182"/>
      <c r="AA4" s="182"/>
      <c r="AB4" s="182"/>
    </row>
    <row r="5">
      <c r="A5" s="463">
        <v>40243.0</v>
      </c>
      <c r="B5" s="478">
        <f>'03-06-10'!AI68</f>
        <v>0.9344262295</v>
      </c>
      <c r="C5" s="478">
        <f>'03-06-10'!AJ68</f>
        <v>0.7540983607</v>
      </c>
      <c r="D5" s="478">
        <f>'03-06-10'!AK68</f>
        <v>0.6229508197</v>
      </c>
      <c r="E5" s="478">
        <f>'03-06-10'!AL68</f>
        <v>0.4426229508</v>
      </c>
      <c r="F5" s="234">
        <f>'03-06-10'!AJ67</f>
        <v>61</v>
      </c>
      <c r="G5" s="234">
        <f>'03-06-10'!AJ66</f>
        <v>46</v>
      </c>
      <c r="H5" s="479">
        <f t="shared" si="1"/>
        <v>0.7540983607</v>
      </c>
      <c r="I5" s="480">
        <v>0.627059</v>
      </c>
      <c r="J5" s="480">
        <v>0.855357</v>
      </c>
      <c r="K5" s="234">
        <f>'03-06-10'!AM66</f>
        <v>17</v>
      </c>
      <c r="L5" s="234">
        <f t="shared" si="2"/>
        <v>0.2786885246</v>
      </c>
      <c r="M5" s="481">
        <v>0.171472</v>
      </c>
      <c r="N5" s="481">
        <v>0.408287</v>
      </c>
      <c r="O5" s="182"/>
      <c r="P5" s="182"/>
      <c r="Q5" s="182"/>
      <c r="R5" s="182"/>
      <c r="S5" s="182"/>
      <c r="T5" s="182"/>
      <c r="U5" s="182"/>
      <c r="V5" s="182"/>
      <c r="W5" s="182"/>
      <c r="X5" s="182"/>
      <c r="Y5" s="182"/>
      <c r="Z5" s="182"/>
      <c r="AA5" s="182"/>
      <c r="AB5" s="182"/>
    </row>
    <row r="6">
      <c r="A6" s="463">
        <v>40319.0</v>
      </c>
      <c r="B6" s="478">
        <f>'05-21-10'!AJ79</f>
        <v>0.5138888889</v>
      </c>
      <c r="C6" s="478">
        <f>'05-21-10'!AK79</f>
        <v>0.375</v>
      </c>
      <c r="D6" s="478">
        <f>'05-21-10'!AL79</f>
        <v>0.3194444444</v>
      </c>
      <c r="E6" s="478">
        <f>'05-21-10'!AM79</f>
        <v>0.2361111111</v>
      </c>
      <c r="F6" s="234">
        <f>'05-21-10'!AK78</f>
        <v>72</v>
      </c>
      <c r="G6" s="234">
        <f>'05-21-10'!AK77</f>
        <v>27</v>
      </c>
      <c r="H6" s="479">
        <f t="shared" si="1"/>
        <v>0.375</v>
      </c>
      <c r="I6" s="480">
        <v>0.263611</v>
      </c>
      <c r="J6" s="480">
        <v>0.497014</v>
      </c>
      <c r="K6" s="234">
        <f>'05-21-10'!AN77</f>
        <v>7</v>
      </c>
      <c r="L6" s="234">
        <f t="shared" si="2"/>
        <v>0.09722222222</v>
      </c>
      <c r="M6" s="481">
        <v>0.03999</v>
      </c>
      <c r="N6" s="481">
        <v>0.19011</v>
      </c>
      <c r="O6" s="182"/>
      <c r="P6" s="182"/>
      <c r="Q6" s="182"/>
      <c r="R6" s="182"/>
      <c r="S6" s="182"/>
      <c r="T6" s="182"/>
      <c r="U6" s="182"/>
      <c r="V6" s="182"/>
      <c r="W6" s="182"/>
      <c r="X6" s="182"/>
      <c r="Y6" s="182"/>
      <c r="Z6" s="182"/>
      <c r="AA6" s="182"/>
      <c r="AB6" s="182"/>
    </row>
    <row r="7">
      <c r="A7" s="463">
        <v>40373.0</v>
      </c>
      <c r="B7" s="478">
        <f>'07-14-10'!AD71</f>
        <v>0.6984126984</v>
      </c>
      <c r="C7" s="478">
        <f>'07-14-10'!AE71</f>
        <v>0.5873015873</v>
      </c>
      <c r="D7" s="478">
        <f>'07-14-10'!AF71</f>
        <v>0.4285714286</v>
      </c>
      <c r="E7" s="478">
        <f>'07-14-10'!AG71</f>
        <v>0.1587301587</v>
      </c>
      <c r="F7" s="234">
        <f>'07-14-10'!AE70</f>
        <v>63</v>
      </c>
      <c r="G7" s="234">
        <f>'07-14-10'!AE69</f>
        <v>37</v>
      </c>
      <c r="H7" s="479">
        <f t="shared" si="1"/>
        <v>0.5873015873</v>
      </c>
      <c r="I7" s="480">
        <v>0.456177</v>
      </c>
      <c r="J7" s="480">
        <v>0.70994</v>
      </c>
      <c r="K7" s="234">
        <f>'07-14-10'!AH69</f>
        <v>7</v>
      </c>
      <c r="L7" s="234">
        <f t="shared" si="2"/>
        <v>0.1111111111</v>
      </c>
      <c r="M7" s="481">
        <v>0.045857</v>
      </c>
      <c r="N7" s="481">
        <v>0.215624</v>
      </c>
      <c r="O7" s="182"/>
      <c r="P7" s="182"/>
      <c r="Q7" s="182"/>
      <c r="R7" s="182"/>
      <c r="S7" s="182"/>
      <c r="T7" s="182"/>
      <c r="U7" s="182"/>
      <c r="V7" s="182"/>
      <c r="W7" s="182"/>
      <c r="X7" s="182"/>
      <c r="Y7" s="182"/>
      <c r="Z7" s="182"/>
      <c r="AA7" s="182"/>
      <c r="AB7" s="182"/>
    </row>
    <row r="8">
      <c r="A8" s="463">
        <v>40444.0</v>
      </c>
      <c r="B8" s="478">
        <f>'09-23-10'!AD76</f>
        <v>0.6376811594</v>
      </c>
      <c r="C8" s="478">
        <f>'09-23-10'!AE76</f>
        <v>0.5217391304</v>
      </c>
      <c r="D8" s="478">
        <f>'09-23-10'!AF76</f>
        <v>0.3913043478</v>
      </c>
      <c r="E8" s="478">
        <f>'09-23-10'!AG76</f>
        <v>0.1739130435</v>
      </c>
      <c r="F8" s="234">
        <f>'09-23-10'!AE75</f>
        <v>69</v>
      </c>
      <c r="G8" s="234">
        <f>'09-23-10'!AE74</f>
        <v>36</v>
      </c>
      <c r="H8" s="479">
        <f t="shared" si="1"/>
        <v>0.5217391304</v>
      </c>
      <c r="I8" s="480">
        <v>0.398005</v>
      </c>
      <c r="J8" s="480">
        <v>0.643548</v>
      </c>
      <c r="K8" s="234">
        <f>'09-23-10'!AH74</f>
        <v>5</v>
      </c>
      <c r="L8" s="234">
        <f t="shared" si="2"/>
        <v>0.07246376812</v>
      </c>
      <c r="M8" s="481">
        <v>0.023947</v>
      </c>
      <c r="N8" s="481">
        <v>0.161062</v>
      </c>
      <c r="O8" s="182"/>
      <c r="P8" s="182"/>
      <c r="Q8" s="182"/>
      <c r="R8" s="182"/>
      <c r="S8" s="182"/>
      <c r="T8" s="182"/>
      <c r="U8" s="182"/>
      <c r="V8" s="182"/>
      <c r="W8" s="182"/>
      <c r="X8" s="182"/>
      <c r="Y8" s="182"/>
      <c r="Z8" s="182"/>
      <c r="AA8" s="182"/>
      <c r="AB8" s="182"/>
    </row>
    <row r="9">
      <c r="A9" s="463">
        <v>40487.0</v>
      </c>
      <c r="B9" s="478">
        <f>'11-05-10'!AG74</f>
        <v>0.5970149254</v>
      </c>
      <c r="C9" s="478">
        <f>'11-05-10'!AH74</f>
        <v>0.4029850746</v>
      </c>
      <c r="D9" s="478">
        <f>'11-05-10'!AI74</f>
        <v>0.3432835821</v>
      </c>
      <c r="E9" s="478">
        <f>'11-05-10'!AJ74</f>
        <v>0.1044776119</v>
      </c>
      <c r="F9" s="234">
        <f>'11-05-10'!AH73</f>
        <v>67</v>
      </c>
      <c r="G9" s="234">
        <f>'11-05-10'!AH72</f>
        <v>27</v>
      </c>
      <c r="H9" s="479">
        <f t="shared" si="1"/>
        <v>0.4029850746</v>
      </c>
      <c r="I9" s="480">
        <v>0.284874</v>
      </c>
      <c r="J9" s="480">
        <v>0.529959</v>
      </c>
      <c r="K9" s="234">
        <f>'11-05-10'!AK72</f>
        <v>7</v>
      </c>
      <c r="L9" s="234">
        <f t="shared" si="2"/>
        <v>0.1044776119</v>
      </c>
      <c r="M9" s="481">
        <v>0.043049</v>
      </c>
      <c r="N9" s="481">
        <v>0.203489</v>
      </c>
      <c r="O9" s="182"/>
      <c r="P9" s="182"/>
      <c r="Q9" s="182"/>
      <c r="R9" s="182"/>
      <c r="S9" s="182"/>
      <c r="T9" s="182"/>
      <c r="U9" s="182"/>
      <c r="V9" s="182"/>
      <c r="W9" s="182"/>
      <c r="X9" s="182"/>
      <c r="Y9" s="182"/>
      <c r="Z9" s="182"/>
      <c r="AA9" s="182"/>
      <c r="AB9" s="182"/>
    </row>
    <row r="10">
      <c r="A10" s="463">
        <v>40606.0</v>
      </c>
      <c r="B10" s="483">
        <f>'03-04-11'!Z66</f>
        <v>0.1724137931</v>
      </c>
      <c r="C10" s="483">
        <f>'03-04-11'!AA66</f>
        <v>0.05172413793</v>
      </c>
      <c r="D10" s="483">
        <f>'03-04-11'!AB66</f>
        <v>0.03448275862</v>
      </c>
      <c r="E10" s="483">
        <f>'03-04-11'!AC66</f>
        <v>0</v>
      </c>
      <c r="F10" s="484">
        <f>'03-04-11'!AA65</f>
        <v>58</v>
      </c>
      <c r="G10" s="234">
        <f>'03-04-11'!AA64</f>
        <v>3</v>
      </c>
      <c r="H10" s="479">
        <f t="shared" si="1"/>
        <v>0.05172413793</v>
      </c>
      <c r="I10" s="480">
        <v>0.010796</v>
      </c>
      <c r="J10" s="480">
        <v>0.143805</v>
      </c>
      <c r="K10" s="484">
        <f>'03-04-11'!AD64</f>
        <v>0</v>
      </c>
      <c r="L10" s="234">
        <f t="shared" si="2"/>
        <v>0</v>
      </c>
      <c r="M10" s="481">
        <v>0.0</v>
      </c>
      <c r="N10" s="481">
        <v>0.061621</v>
      </c>
      <c r="O10" s="182"/>
      <c r="P10" s="182"/>
      <c r="Q10" s="182"/>
      <c r="R10" s="182"/>
      <c r="S10" s="182"/>
      <c r="T10" s="182"/>
      <c r="U10" s="182"/>
      <c r="V10" s="182"/>
      <c r="W10" s="182"/>
      <c r="X10" s="182"/>
      <c r="Y10" s="182"/>
      <c r="Z10" s="182"/>
      <c r="AA10" s="182"/>
      <c r="AB10" s="182"/>
    </row>
    <row r="11">
      <c r="A11" s="463">
        <v>40737.0</v>
      </c>
      <c r="B11" s="478">
        <f>'07-13-11'!AE88</f>
        <v>0.2222222222</v>
      </c>
      <c r="C11" s="478">
        <f>'07-13-11'!AF88</f>
        <v>0.1481481481</v>
      </c>
      <c r="D11" s="478">
        <f>'07-13-11'!AG88</f>
        <v>0.06172839506</v>
      </c>
      <c r="E11" s="478">
        <f>'07-13-11'!AH88</f>
        <v>0</v>
      </c>
      <c r="F11" s="234">
        <f>'07-13-11'!AF87</f>
        <v>81</v>
      </c>
      <c r="G11" s="234">
        <f>'07-13-11'!AF86</f>
        <v>12</v>
      </c>
      <c r="H11" s="479">
        <f t="shared" si="1"/>
        <v>0.1481481481</v>
      </c>
      <c r="I11" s="480">
        <v>0.078962</v>
      </c>
      <c r="J11" s="480">
        <v>0.244489</v>
      </c>
      <c r="K11" s="234">
        <f>'07-13-11'!AI86</f>
        <v>2</v>
      </c>
      <c r="L11" s="234">
        <f t="shared" si="2"/>
        <v>0.02469135802</v>
      </c>
      <c r="M11" s="481">
        <v>0.003004</v>
      </c>
      <c r="N11" s="481">
        <v>0.086363</v>
      </c>
      <c r="O11" s="182"/>
      <c r="P11" s="182"/>
      <c r="Q11" s="182"/>
      <c r="R11" s="182"/>
      <c r="S11" s="182"/>
      <c r="T11" s="182"/>
      <c r="U11" s="182"/>
      <c r="V11" s="182"/>
      <c r="W11" s="182"/>
      <c r="X11" s="182"/>
      <c r="Y11" s="182"/>
      <c r="Z11" s="182"/>
      <c r="AA11" s="182"/>
      <c r="AB11" s="182"/>
    </row>
    <row r="12">
      <c r="A12" s="463">
        <v>40925.0</v>
      </c>
      <c r="B12" s="478">
        <f>'01-17-12'!AE95</f>
        <v>0.3103448276</v>
      </c>
      <c r="C12" s="478">
        <f>'01-17-12'!AF95</f>
        <v>0.1609195402</v>
      </c>
      <c r="D12" s="478">
        <f>'01-17-12'!AG95</f>
        <v>0.1034482759</v>
      </c>
      <c r="E12" s="478">
        <f>'01-17-12'!AH95</f>
        <v>0.02298850575</v>
      </c>
      <c r="F12" s="234">
        <f>'01-17-12'!AF94</f>
        <v>87</v>
      </c>
      <c r="G12" s="234">
        <f>'01-17-12'!AF93</f>
        <v>14</v>
      </c>
      <c r="H12" s="479">
        <f t="shared" si="1"/>
        <v>0.1609195402</v>
      </c>
      <c r="I12" s="480">
        <v>0.090864</v>
      </c>
      <c r="J12" s="480">
        <v>0.255233</v>
      </c>
      <c r="K12" s="234">
        <f>'01-17-12'!AI93</f>
        <v>7</v>
      </c>
      <c r="L12" s="234">
        <f t="shared" si="2"/>
        <v>0.08045977011</v>
      </c>
      <c r="M12" s="481">
        <v>0.032962</v>
      </c>
      <c r="N12" s="481">
        <v>0.158775</v>
      </c>
      <c r="O12" s="182"/>
      <c r="P12" s="182"/>
      <c r="Q12" s="182"/>
      <c r="R12" s="182"/>
      <c r="S12" s="182"/>
      <c r="T12" s="182"/>
      <c r="U12" s="182"/>
      <c r="V12" s="182"/>
      <c r="W12" s="182"/>
      <c r="X12" s="182"/>
      <c r="Y12" s="182"/>
      <c r="Z12" s="182"/>
      <c r="AA12" s="182"/>
      <c r="AB12" s="182"/>
    </row>
    <row r="13">
      <c r="A13" s="463">
        <v>40939.0</v>
      </c>
      <c r="B13" s="483">
        <f>'01-31-12'!AJ97</f>
        <v>0.4125</v>
      </c>
      <c r="C13" s="483">
        <f>'01-31-12'!AK97</f>
        <v>0.3</v>
      </c>
      <c r="D13" s="483">
        <f>'01-31-12'!AL97</f>
        <v>0.2125</v>
      </c>
      <c r="E13" s="483">
        <f>'01-31-12'!AM97</f>
        <v>0.1</v>
      </c>
      <c r="F13" s="234">
        <f>'01-31-12'!AK96</f>
        <v>80</v>
      </c>
      <c r="G13" s="234">
        <f>'01-31-12'!AK95</f>
        <v>24</v>
      </c>
      <c r="H13" s="479">
        <f t="shared" si="1"/>
        <v>0.3</v>
      </c>
      <c r="I13" s="480">
        <v>0.202574</v>
      </c>
      <c r="J13" s="480">
        <v>0.412759</v>
      </c>
      <c r="K13" s="234">
        <f>'01-31-12'!AN95</f>
        <v>11</v>
      </c>
      <c r="L13" s="234">
        <f t="shared" si="2"/>
        <v>0.1375</v>
      </c>
      <c r="M13" s="481">
        <v>0.070688</v>
      </c>
      <c r="N13" s="481">
        <v>0.232721</v>
      </c>
      <c r="O13" s="182"/>
      <c r="P13" s="182"/>
      <c r="Q13" s="182"/>
      <c r="R13" s="182"/>
      <c r="S13" s="182"/>
      <c r="T13" s="182"/>
      <c r="U13" s="182"/>
      <c r="V13" s="182"/>
      <c r="W13" s="182"/>
      <c r="X13" s="182"/>
      <c r="Y13" s="182"/>
      <c r="Z13" s="182"/>
      <c r="AA13" s="182"/>
      <c r="AB13" s="182"/>
    </row>
    <row r="14">
      <c r="A14" s="463">
        <v>40953.0</v>
      </c>
      <c r="B14" s="483">
        <f>'02-14-12'!AE98</f>
        <v>0.4117647059</v>
      </c>
      <c r="C14" s="483">
        <f>'02-14-12'!AF98</f>
        <v>0.2588235294</v>
      </c>
      <c r="D14" s="483">
        <f>'02-14-12'!AG98</f>
        <v>0.1764705882</v>
      </c>
      <c r="E14" s="483">
        <f>'02-14-12'!AH98</f>
        <v>0.1058823529</v>
      </c>
      <c r="F14" s="234">
        <f>'02-14-12'!AF97</f>
        <v>85</v>
      </c>
      <c r="G14" s="234">
        <f>'02-14-12'!AF96</f>
        <v>22</v>
      </c>
      <c r="H14" s="479">
        <f t="shared" si="1"/>
        <v>0.2588235294</v>
      </c>
      <c r="I14" s="480">
        <v>0.16985</v>
      </c>
      <c r="J14" s="480">
        <v>0.365236</v>
      </c>
      <c r="K14" s="234">
        <f>'02-14-12'!AI96</f>
        <v>8</v>
      </c>
      <c r="L14" s="234">
        <f t="shared" si="2"/>
        <v>0.09411764706</v>
      </c>
      <c r="M14" s="481">
        <v>0.041515</v>
      </c>
      <c r="N14" s="481">
        <v>0.177052</v>
      </c>
      <c r="O14" s="182"/>
      <c r="P14" s="182"/>
      <c r="Q14" s="182"/>
      <c r="R14" s="182"/>
      <c r="S14" s="182"/>
      <c r="T14" s="182"/>
      <c r="U14" s="182"/>
      <c r="V14" s="182"/>
      <c r="W14" s="182"/>
      <c r="X14" s="182"/>
      <c r="Y14" s="182"/>
      <c r="Z14" s="182"/>
      <c r="AA14" s="182"/>
      <c r="AB14" s="182"/>
    </row>
    <row r="15">
      <c r="A15" s="463">
        <v>40983.0</v>
      </c>
      <c r="B15" s="483">
        <f>'03-15-12'!AE91</f>
        <v>0.4814814815</v>
      </c>
      <c r="C15" s="483">
        <f>'03-15-12'!AF91</f>
        <v>0.4444444444</v>
      </c>
      <c r="D15" s="483">
        <f>'03-15-12'!AG91</f>
        <v>0.3703703704</v>
      </c>
      <c r="E15" s="483">
        <f>'03-15-12'!AH91</f>
        <v>0.2592592593</v>
      </c>
      <c r="F15" s="234">
        <f>'03-15-12'!AF90</f>
        <v>81</v>
      </c>
      <c r="G15" s="234">
        <f>'03-15-12'!AF89</f>
        <v>36</v>
      </c>
      <c r="H15" s="479">
        <f t="shared" si="1"/>
        <v>0.4444444444</v>
      </c>
      <c r="I15" s="480">
        <v>0.333958</v>
      </c>
      <c r="J15" s="480">
        <v>0.559114</v>
      </c>
      <c r="K15" s="234">
        <f>'03-15-12'!AI89</f>
        <v>12</v>
      </c>
      <c r="L15" s="234">
        <f t="shared" si="2"/>
        <v>0.1481481481</v>
      </c>
      <c r="M15" s="481">
        <v>0.078962</v>
      </c>
      <c r="N15" s="481">
        <v>0.244489</v>
      </c>
      <c r="O15" s="182"/>
      <c r="P15" s="182"/>
      <c r="Q15" s="182"/>
      <c r="R15" s="182"/>
      <c r="S15" s="182"/>
      <c r="T15" s="182"/>
      <c r="U15" s="182"/>
      <c r="V15" s="182"/>
      <c r="W15" s="182"/>
      <c r="X15" s="182"/>
      <c r="Y15" s="182"/>
      <c r="Z15" s="182"/>
      <c r="AA15" s="182"/>
      <c r="AB15" s="182"/>
    </row>
    <row r="16">
      <c r="A16" s="398"/>
      <c r="B16" s="182"/>
      <c r="C16" s="182"/>
      <c r="D16" s="182"/>
      <c r="E16" s="182"/>
      <c r="F16" s="182"/>
      <c r="G16" s="182"/>
      <c r="J16" s="182"/>
      <c r="K16" s="182"/>
      <c r="L16" s="182"/>
      <c r="M16" s="182"/>
      <c r="N16" s="182"/>
      <c r="O16" s="182"/>
      <c r="P16" s="182"/>
      <c r="Q16" s="182"/>
      <c r="R16" s="182"/>
      <c r="S16" s="182"/>
      <c r="T16" s="182"/>
      <c r="U16" s="182"/>
      <c r="V16" s="182"/>
      <c r="W16" s="182"/>
      <c r="X16" s="182"/>
      <c r="Y16" s="182"/>
      <c r="Z16" s="182"/>
      <c r="AA16" s="182"/>
      <c r="AB16" s="182"/>
    </row>
    <row r="17">
      <c r="A17" s="477" t="s">
        <v>1462</v>
      </c>
      <c r="B17" s="313" t="s">
        <v>1507</v>
      </c>
      <c r="C17" s="310" t="s">
        <v>1515</v>
      </c>
      <c r="D17" s="331" t="s">
        <v>1516</v>
      </c>
      <c r="E17" s="331" t="s">
        <v>1517</v>
      </c>
      <c r="F17" s="310" t="s">
        <v>1518</v>
      </c>
      <c r="G17" s="310" t="s">
        <v>1519</v>
      </c>
      <c r="H17" s="310" t="s">
        <v>1520</v>
      </c>
      <c r="I17" s="182"/>
      <c r="J17" s="182"/>
      <c r="K17" s="310" t="s">
        <v>1497</v>
      </c>
      <c r="L17" s="182"/>
      <c r="M17" s="182"/>
      <c r="N17" s="182"/>
      <c r="O17" s="182"/>
      <c r="P17" s="182"/>
      <c r="Q17" s="182"/>
      <c r="R17" s="182"/>
      <c r="S17" s="182"/>
      <c r="T17" s="182"/>
      <c r="U17" s="182"/>
      <c r="V17" s="182"/>
      <c r="W17" s="182"/>
      <c r="X17" s="182"/>
      <c r="Y17" s="182"/>
      <c r="Z17" s="182"/>
      <c r="AA17" s="182"/>
      <c r="AB17" s="182"/>
    </row>
    <row r="18">
      <c r="A18" s="463">
        <v>40022.0</v>
      </c>
      <c r="B18" s="485">
        <f>'07-28-09'!AE18</f>
        <v>12</v>
      </c>
      <c r="C18" s="484">
        <f>'07-28-09'!AE17</f>
        <v>9</v>
      </c>
      <c r="D18">
        <f>'07-28-09'!AG17</f>
        <v>4</v>
      </c>
      <c r="E18">
        <f>'07-28-09'!AH17</f>
        <v>3</v>
      </c>
      <c r="F18" s="484">
        <f t="shared" ref="F18:F31" si="3">C18/B18</f>
        <v>0.75</v>
      </c>
      <c r="G18" s="486">
        <v>0.428142</v>
      </c>
      <c r="H18" s="486">
        <v>0.945139</v>
      </c>
      <c r="I18" s="182"/>
      <c r="J18" s="235" t="s">
        <v>1521</v>
      </c>
      <c r="K18" s="487">
        <f>correl(K2:K15,G2:G15)</f>
        <v>0.8508073891</v>
      </c>
      <c r="L18" s="182"/>
      <c r="M18" s="182"/>
      <c r="N18" s="182"/>
      <c r="O18" s="182"/>
      <c r="P18" s="182"/>
      <c r="Q18" s="182"/>
      <c r="R18" s="182"/>
      <c r="S18" s="182"/>
      <c r="T18" s="182"/>
      <c r="U18" s="182"/>
      <c r="V18" s="182"/>
      <c r="W18" s="182"/>
      <c r="X18" s="182"/>
      <c r="Y18" s="182"/>
      <c r="Z18" s="182"/>
      <c r="AA18" s="182"/>
      <c r="AB18" s="182"/>
    </row>
    <row r="19">
      <c r="A19" s="463">
        <v>40122.0</v>
      </c>
      <c r="B19" s="234">
        <f>'11-05-09'!AD28</f>
        <v>22</v>
      </c>
      <c r="C19" s="484">
        <f>'11-05-09'!AD27</f>
        <v>13</v>
      </c>
      <c r="D19">
        <f>'11-05-09'!AF27</f>
        <v>8</v>
      </c>
      <c r="E19">
        <f>'11-05-09'!AG27</f>
        <v>6</v>
      </c>
      <c r="F19" s="484">
        <f t="shared" si="3"/>
        <v>0.5909090909</v>
      </c>
      <c r="G19" s="486">
        <v>0.363547</v>
      </c>
      <c r="H19" s="486">
        <v>0.792907</v>
      </c>
      <c r="I19" s="182"/>
      <c r="J19" s="235" t="s">
        <v>1522</v>
      </c>
      <c r="K19" s="487">
        <f>correl(K2:K15,C18:C31)</f>
        <v>0.8334658505</v>
      </c>
      <c r="L19" s="182"/>
      <c r="M19" s="182"/>
      <c r="N19" s="182"/>
      <c r="O19" s="182"/>
      <c r="P19" s="182"/>
      <c r="Q19" s="182"/>
      <c r="R19" s="182"/>
      <c r="S19" s="182"/>
      <c r="T19" s="182"/>
      <c r="U19" s="182"/>
      <c r="V19" s="182"/>
      <c r="W19" s="182"/>
      <c r="X19" s="182"/>
      <c r="Y19" s="182"/>
      <c r="Z19" s="182"/>
      <c r="AA19" s="182"/>
      <c r="AB19" s="182"/>
    </row>
    <row r="20">
      <c r="A20" s="463">
        <v>40206.0</v>
      </c>
      <c r="B20" s="234">
        <f>'01-28-10'!AF79</f>
        <v>73</v>
      </c>
      <c r="C20" s="484">
        <f>'01-28-10'!AF78</f>
        <v>62</v>
      </c>
      <c r="D20">
        <f>'01-28-10'!AH78</f>
        <v>45</v>
      </c>
      <c r="E20">
        <f>'01-28-10'!AI78</f>
        <v>18</v>
      </c>
      <c r="F20" s="484">
        <f t="shared" si="3"/>
        <v>0.8493150685</v>
      </c>
      <c r="G20" s="486">
        <v>0.746358</v>
      </c>
      <c r="H20" s="486">
        <v>0.922304</v>
      </c>
      <c r="I20" s="182"/>
      <c r="J20" s="235" t="s">
        <v>1523</v>
      </c>
      <c r="K20" s="487">
        <f>correl(G2:G15,C18:C31)</f>
        <v>0.974736072</v>
      </c>
      <c r="L20" s="182"/>
      <c r="M20" s="182"/>
      <c r="N20" s="182"/>
      <c r="O20" s="182"/>
      <c r="P20" s="182"/>
      <c r="Q20" s="182"/>
      <c r="R20" s="182"/>
      <c r="S20" s="182"/>
      <c r="T20" s="182"/>
      <c r="U20" s="182"/>
      <c r="V20" s="182"/>
      <c r="W20" s="182"/>
      <c r="X20" s="182"/>
      <c r="Y20" s="182"/>
      <c r="Z20" s="182"/>
      <c r="AA20" s="182"/>
      <c r="AB20" s="182"/>
    </row>
    <row r="21">
      <c r="A21" s="463">
        <v>40243.0</v>
      </c>
      <c r="B21" s="484">
        <f>'03-06-10'!AI67</f>
        <v>61</v>
      </c>
      <c r="C21" s="484">
        <f>'03-06-10'!AI66</f>
        <v>57</v>
      </c>
      <c r="D21">
        <f>'03-06-10'!AK66</f>
        <v>38</v>
      </c>
      <c r="E21">
        <f>'03-06-10'!AL66</f>
        <v>27</v>
      </c>
      <c r="F21" s="484">
        <f t="shared" si="3"/>
        <v>0.9344262295</v>
      </c>
      <c r="G21" s="486">
        <v>0.840531</v>
      </c>
      <c r="H21" s="486">
        <v>0.981846</v>
      </c>
      <c r="I21" s="380"/>
      <c r="J21" s="235" t="s">
        <v>1524</v>
      </c>
      <c r="K21" s="182"/>
      <c r="L21" s="182"/>
      <c r="M21" s="182"/>
      <c r="N21" s="182"/>
      <c r="O21" s="182"/>
      <c r="P21" s="182"/>
      <c r="Q21" s="182"/>
      <c r="R21" s="182"/>
      <c r="S21" s="182"/>
      <c r="T21" s="182"/>
      <c r="U21" s="182"/>
      <c r="V21" s="182"/>
      <c r="W21" s="182"/>
      <c r="X21" s="182"/>
      <c r="Y21" s="182"/>
      <c r="Z21" s="182"/>
      <c r="AA21" s="182"/>
      <c r="AB21" s="182"/>
    </row>
    <row r="22">
      <c r="A22" s="463">
        <v>40319.0</v>
      </c>
      <c r="B22" s="484">
        <f>'05-21-10'!AJ78</f>
        <v>72</v>
      </c>
      <c r="C22" s="484">
        <f>'05-21-10'!AJ77</f>
        <v>37</v>
      </c>
      <c r="D22">
        <f>'05-21-10'!AL77</f>
        <v>23</v>
      </c>
      <c r="E22">
        <f>'05-21-10'!AM77</f>
        <v>17</v>
      </c>
      <c r="F22" s="484">
        <f t="shared" si="3"/>
        <v>0.5138888889</v>
      </c>
      <c r="G22" s="486">
        <v>0.3931</v>
      </c>
      <c r="H22" s="486">
        <v>0.6335</v>
      </c>
      <c r="I22" s="380"/>
      <c r="J22" s="380"/>
      <c r="K22" s="182"/>
      <c r="L22" s="182"/>
      <c r="M22" s="182"/>
      <c r="N22" s="182"/>
      <c r="O22" s="182"/>
      <c r="P22" s="182"/>
      <c r="Q22" s="182"/>
      <c r="R22" s="182"/>
      <c r="S22" s="182"/>
      <c r="T22" s="182"/>
      <c r="U22" s="182"/>
      <c r="V22" s="182"/>
      <c r="W22" s="182"/>
      <c r="X22" s="182"/>
      <c r="Y22" s="182"/>
      <c r="Z22" s="182"/>
      <c r="AA22" s="182"/>
      <c r="AB22" s="182"/>
    </row>
    <row r="23">
      <c r="A23" s="463">
        <v>40373.0</v>
      </c>
      <c r="B23" s="484">
        <f>'07-14-10'!AD70</f>
        <v>63</v>
      </c>
      <c r="C23" s="484">
        <f>'07-14-10'!AD69</f>
        <v>44</v>
      </c>
      <c r="D23">
        <f>'07-14-10'!AF69</f>
        <v>27</v>
      </c>
      <c r="E23">
        <f>'07-14-10'!AG69</f>
        <v>10</v>
      </c>
      <c r="F23" s="484">
        <f t="shared" si="3"/>
        <v>0.6984126984</v>
      </c>
      <c r="G23" s="486">
        <v>0.56975</v>
      </c>
      <c r="H23" s="486">
        <v>0.807689</v>
      </c>
      <c r="I23" s="182"/>
      <c r="J23" s="182"/>
      <c r="K23" s="182"/>
      <c r="L23" s="182"/>
      <c r="M23" s="182"/>
      <c r="N23" s="182"/>
      <c r="O23" s="182"/>
      <c r="P23" s="182"/>
      <c r="Q23" s="182"/>
      <c r="R23" s="182"/>
      <c r="S23" s="182"/>
      <c r="T23" s="182"/>
      <c r="U23" s="182"/>
      <c r="V23" s="182"/>
      <c r="W23" s="182"/>
      <c r="X23" s="182"/>
      <c r="Y23" s="182"/>
      <c r="Z23" s="182"/>
      <c r="AA23" s="182"/>
      <c r="AB23" s="182"/>
    </row>
    <row r="24">
      <c r="A24" s="463">
        <v>40444.0</v>
      </c>
      <c r="B24" s="484">
        <f>'09-23-10'!AD75</f>
        <v>69</v>
      </c>
      <c r="C24" s="484">
        <f>'09-23-10'!AD74</f>
        <v>44</v>
      </c>
      <c r="D24">
        <f>'09-23-10'!AF74</f>
        <v>27</v>
      </c>
      <c r="E24">
        <f>'09-23-10'!AG74</f>
        <v>12</v>
      </c>
      <c r="F24" s="484">
        <f t="shared" si="3"/>
        <v>0.6376811594</v>
      </c>
      <c r="G24" s="486">
        <v>0.513087</v>
      </c>
      <c r="H24" s="486">
        <v>0.750051</v>
      </c>
      <c r="I24" s="380"/>
      <c r="J24" s="380"/>
      <c r="K24" s="182"/>
      <c r="L24" s="182"/>
      <c r="M24" s="182"/>
      <c r="N24" s="182"/>
      <c r="O24" s="182"/>
      <c r="P24" s="182"/>
      <c r="Q24" s="182"/>
      <c r="R24" s="182"/>
      <c r="S24" s="182"/>
      <c r="T24" s="182"/>
      <c r="U24" s="182"/>
      <c r="V24" s="182"/>
      <c r="W24" s="182"/>
      <c r="X24" s="182"/>
      <c r="Y24" s="182"/>
      <c r="Z24" s="182"/>
      <c r="AA24" s="182"/>
      <c r="AB24" s="182"/>
    </row>
    <row r="25">
      <c r="A25" s="463">
        <v>40487.0</v>
      </c>
      <c r="B25" s="484">
        <f>'11-05-10'!AG73</f>
        <v>67</v>
      </c>
      <c r="C25" s="484">
        <f>'11-05-10'!AG72</f>
        <v>40</v>
      </c>
      <c r="D25" s="178">
        <f>'11-05-10'!AI72</f>
        <v>23</v>
      </c>
      <c r="E25">
        <f>'11-05-10'!AJ72</f>
        <v>7</v>
      </c>
      <c r="F25" s="484">
        <f t="shared" si="3"/>
        <v>0.5970149254</v>
      </c>
      <c r="G25" s="486">
        <v>0.470041</v>
      </c>
      <c r="H25" s="486">
        <v>0.715126</v>
      </c>
      <c r="I25" s="380"/>
      <c r="J25" s="380"/>
      <c r="K25" s="182"/>
      <c r="L25" s="182"/>
      <c r="M25" s="182"/>
      <c r="N25" s="182"/>
      <c r="O25" s="182"/>
      <c r="P25" s="182"/>
      <c r="Q25" s="182"/>
      <c r="R25" s="182"/>
      <c r="S25" s="182"/>
      <c r="T25" s="182"/>
      <c r="U25" s="182"/>
      <c r="V25" s="182"/>
      <c r="W25" s="182"/>
      <c r="X25" s="182"/>
      <c r="Y25" s="182"/>
      <c r="Z25" s="182"/>
      <c r="AA25" s="182"/>
      <c r="AB25" s="182"/>
    </row>
    <row r="26">
      <c r="A26" s="463">
        <v>40606.0</v>
      </c>
      <c r="B26" s="484">
        <f>'03-04-11'!Z65</f>
        <v>58</v>
      </c>
      <c r="C26" s="484">
        <f>'03-04-11'!Z64</f>
        <v>10</v>
      </c>
      <c r="D26">
        <f>'03-04-11'!AB64</f>
        <v>2</v>
      </c>
      <c r="E26">
        <f>'03-04-11'!AC64</f>
        <v>0</v>
      </c>
      <c r="F26" s="484">
        <f t="shared" si="3"/>
        <v>0.1724137931</v>
      </c>
      <c r="G26" s="486">
        <v>0.085904</v>
      </c>
      <c r="H26" s="486">
        <v>0.294299</v>
      </c>
      <c r="I26" s="380"/>
      <c r="J26" s="380"/>
      <c r="K26" s="182"/>
      <c r="L26" s="182"/>
      <c r="M26" s="182"/>
      <c r="N26" s="182"/>
      <c r="O26" s="182"/>
      <c r="P26" s="182"/>
      <c r="Q26" s="182"/>
      <c r="R26" s="182"/>
      <c r="S26" s="182"/>
      <c r="T26" s="182"/>
      <c r="U26" s="182"/>
      <c r="V26" s="182"/>
      <c r="W26" s="182"/>
      <c r="X26" s="182"/>
      <c r="Y26" s="182"/>
      <c r="Z26" s="182"/>
      <c r="AA26" s="182"/>
      <c r="AB26" s="182"/>
    </row>
    <row r="27">
      <c r="A27" s="463">
        <v>40737.0</v>
      </c>
      <c r="B27" s="484">
        <f>'07-13-11'!AE87</f>
        <v>81</v>
      </c>
      <c r="C27" s="484">
        <f>'07-13-11'!AE86</f>
        <v>18</v>
      </c>
      <c r="D27">
        <f>'07-13-11'!AG86</f>
        <v>5</v>
      </c>
      <c r="E27" s="178">
        <f>'07-13-11'!AH86</f>
        <v>0</v>
      </c>
      <c r="F27" s="484">
        <f t="shared" si="3"/>
        <v>0.2222222222</v>
      </c>
      <c r="G27" s="486">
        <v>0.137342</v>
      </c>
      <c r="H27" s="486">
        <v>0.328278</v>
      </c>
      <c r="I27" s="380"/>
      <c r="J27" s="380"/>
      <c r="K27" s="182"/>
      <c r="L27" s="182"/>
      <c r="M27" s="182"/>
      <c r="N27" s="182"/>
      <c r="O27" s="182"/>
      <c r="P27" s="182"/>
      <c r="Q27" s="182"/>
      <c r="R27" s="182"/>
      <c r="S27" s="182"/>
      <c r="T27" s="182"/>
      <c r="U27" s="182"/>
      <c r="V27" s="182"/>
      <c r="W27" s="182"/>
      <c r="X27" s="182"/>
      <c r="Y27" s="182"/>
      <c r="Z27" s="182"/>
      <c r="AA27" s="182"/>
      <c r="AB27" s="182"/>
    </row>
    <row r="28">
      <c r="A28" s="463">
        <v>40925.0</v>
      </c>
      <c r="B28" s="484">
        <f>'01-17-12'!AE94</f>
        <v>87</v>
      </c>
      <c r="C28" s="484">
        <f>'01-17-12'!AE93</f>
        <v>27</v>
      </c>
      <c r="D28">
        <f>'01-17-12'!AG93</f>
        <v>9</v>
      </c>
      <c r="E28">
        <f>'01-17-12'!AH93</f>
        <v>2</v>
      </c>
      <c r="F28" s="484">
        <f t="shared" si="3"/>
        <v>0.3103448276</v>
      </c>
      <c r="G28" s="486">
        <v>0.215465</v>
      </c>
      <c r="H28" s="486">
        <v>0.418568</v>
      </c>
      <c r="I28" s="380"/>
      <c r="J28" s="380"/>
      <c r="K28" s="182"/>
      <c r="L28" s="182"/>
      <c r="M28" s="182"/>
      <c r="N28" s="182"/>
      <c r="O28" s="182"/>
      <c r="P28" s="182"/>
      <c r="Q28" s="182"/>
      <c r="R28" s="182"/>
      <c r="S28" s="182"/>
      <c r="T28" s="182"/>
      <c r="U28" s="182"/>
      <c r="V28" s="182"/>
      <c r="W28" s="182"/>
      <c r="X28" s="182"/>
      <c r="Y28" s="182"/>
      <c r="Z28" s="182"/>
      <c r="AA28" s="182"/>
      <c r="AB28" s="182"/>
    </row>
    <row r="29">
      <c r="A29" s="463">
        <v>40939.0</v>
      </c>
      <c r="B29" s="484">
        <f>'01-31-12'!AJ96</f>
        <v>80</v>
      </c>
      <c r="C29" s="484">
        <f>'01-31-12'!AJ95</f>
        <v>33</v>
      </c>
      <c r="D29">
        <f>'01-31-12'!AL95</f>
        <v>17</v>
      </c>
      <c r="E29">
        <f>'01-31-12'!AM95</f>
        <v>8</v>
      </c>
      <c r="F29" s="484">
        <f t="shared" si="3"/>
        <v>0.4125</v>
      </c>
      <c r="G29" s="486">
        <v>0.303525</v>
      </c>
      <c r="H29" s="486">
        <v>0.528152</v>
      </c>
      <c r="I29" s="380"/>
      <c r="J29" s="380"/>
      <c r="K29" s="182"/>
      <c r="L29" s="182"/>
      <c r="M29" s="182"/>
      <c r="N29" s="182"/>
      <c r="O29" s="182"/>
      <c r="P29" s="182"/>
      <c r="Q29" s="182"/>
      <c r="R29" s="182"/>
      <c r="S29" s="182"/>
      <c r="T29" s="182"/>
      <c r="U29" s="182"/>
      <c r="V29" s="182"/>
      <c r="W29" s="182"/>
      <c r="X29" s="182"/>
      <c r="Y29" s="182"/>
      <c r="Z29" s="182"/>
      <c r="AA29" s="182"/>
      <c r="AB29" s="182"/>
    </row>
    <row r="30">
      <c r="A30" s="463">
        <v>40953.0</v>
      </c>
      <c r="B30" s="484">
        <f>'02-14-12'!AE97</f>
        <v>85</v>
      </c>
      <c r="C30" s="484">
        <f>'02-14-12'!AE96</f>
        <v>35</v>
      </c>
      <c r="D30">
        <f>'02-14-12'!AG96</f>
        <v>15</v>
      </c>
      <c r="E30">
        <f>'02-14-12'!AH96</f>
        <v>9</v>
      </c>
      <c r="F30" s="484">
        <f t="shared" si="3"/>
        <v>0.4117647059</v>
      </c>
      <c r="G30" s="486">
        <v>0.30607</v>
      </c>
      <c r="H30" s="486">
        <v>0.52379</v>
      </c>
      <c r="I30" s="380"/>
      <c r="J30" s="380"/>
      <c r="K30" s="182"/>
      <c r="L30" s="182"/>
      <c r="M30" s="182"/>
      <c r="N30" s="182"/>
      <c r="O30" s="182"/>
      <c r="P30" s="182"/>
      <c r="Q30" s="182"/>
      <c r="R30" s="182"/>
      <c r="S30" s="182"/>
      <c r="T30" s="182"/>
      <c r="U30" s="182"/>
      <c r="V30" s="182"/>
      <c r="W30" s="182"/>
      <c r="X30" s="182"/>
      <c r="Y30" s="182"/>
      <c r="Z30" s="182"/>
      <c r="AA30" s="182"/>
      <c r="AB30" s="182"/>
    </row>
    <row r="31">
      <c r="A31" s="463">
        <v>40983.0</v>
      </c>
      <c r="B31" s="484">
        <f>'03-15-12'!AE90</f>
        <v>81</v>
      </c>
      <c r="C31" s="484">
        <f>'03-15-12'!AE89</f>
        <v>39</v>
      </c>
      <c r="D31">
        <f>'03-15-12'!AG89</f>
        <v>30</v>
      </c>
      <c r="E31">
        <f>'03-15-12'!AH89</f>
        <v>21</v>
      </c>
      <c r="F31" s="484">
        <f t="shared" si="3"/>
        <v>0.4814814815</v>
      </c>
      <c r="G31" s="486">
        <v>0.369019</v>
      </c>
      <c r="H31" s="486">
        <v>0.595338</v>
      </c>
      <c r="I31" s="380"/>
      <c r="J31" s="380"/>
      <c r="K31" s="182"/>
      <c r="L31" s="182"/>
      <c r="M31" s="182"/>
      <c r="N31" s="182"/>
      <c r="O31" s="182"/>
      <c r="P31" s="182"/>
      <c r="Q31" s="182"/>
      <c r="R31" s="182"/>
      <c r="S31" s="182"/>
      <c r="T31" s="182"/>
      <c r="U31" s="182"/>
      <c r="V31" s="182"/>
      <c r="W31" s="182"/>
      <c r="X31" s="182"/>
      <c r="Y31" s="182"/>
      <c r="Z31" s="182"/>
      <c r="AA31" s="182"/>
      <c r="AB31" s="182"/>
    </row>
    <row r="32">
      <c r="A32" s="488"/>
      <c r="B32" s="380"/>
      <c r="C32" s="380"/>
      <c r="D32" s="380"/>
      <c r="E32" s="380"/>
      <c r="F32" s="380"/>
      <c r="G32" s="380"/>
      <c r="H32" s="380"/>
      <c r="I32" s="380"/>
      <c r="J32" s="380"/>
      <c r="K32" s="182"/>
      <c r="L32" s="182"/>
      <c r="M32" s="182"/>
      <c r="N32" s="182"/>
      <c r="O32" s="182"/>
      <c r="P32" s="182"/>
      <c r="Q32" s="182"/>
      <c r="R32" s="182"/>
      <c r="S32" s="182"/>
      <c r="T32" s="182"/>
      <c r="U32" s="182"/>
      <c r="V32" s="182"/>
      <c r="W32" s="182"/>
      <c r="X32" s="182"/>
      <c r="Y32" s="182"/>
      <c r="Z32" s="182"/>
      <c r="AA32" s="182"/>
      <c r="AB32" s="182"/>
    </row>
    <row r="33">
      <c r="A33" s="310" t="s">
        <v>1462</v>
      </c>
      <c r="B33" s="412" t="s">
        <v>389</v>
      </c>
      <c r="C33" s="419" t="s">
        <v>420</v>
      </c>
      <c r="D33" s="426" t="s">
        <v>358</v>
      </c>
      <c r="E33" s="433" t="s">
        <v>363</v>
      </c>
      <c r="F33" s="440" t="s">
        <v>413</v>
      </c>
      <c r="G33" s="447" t="s">
        <v>357</v>
      </c>
      <c r="H33" s="489" t="s">
        <v>380</v>
      </c>
      <c r="I33" s="490" t="s">
        <v>387</v>
      </c>
      <c r="J33" s="313" t="s">
        <v>1498</v>
      </c>
      <c r="K33" s="310" t="s">
        <v>1507</v>
      </c>
      <c r="L33" s="310" t="s">
        <v>1525</v>
      </c>
      <c r="M33" s="313" t="s">
        <v>1526</v>
      </c>
      <c r="O33" s="182"/>
      <c r="P33" s="182"/>
      <c r="Q33" s="182"/>
      <c r="R33" s="182"/>
      <c r="S33" s="182"/>
      <c r="T33" s="182"/>
      <c r="U33" s="182"/>
      <c r="V33" s="182"/>
      <c r="W33" s="182"/>
      <c r="X33" s="182"/>
      <c r="Y33" s="182"/>
      <c r="Z33" s="182"/>
      <c r="AA33" s="182"/>
      <c r="AB33" s="182"/>
    </row>
    <row r="34">
      <c r="A34" s="463">
        <v>40022.0</v>
      </c>
      <c r="B34" s="491">
        <f>'07-28-09'!AJ15</f>
        <v>0</v>
      </c>
      <c r="C34" s="491">
        <f>'07-28-09'!AK15</f>
        <v>0</v>
      </c>
      <c r="D34" s="491">
        <f>'07-28-09'!AL15</f>
        <v>0.5789473684</v>
      </c>
      <c r="E34" s="491">
        <f>'07-28-09'!AM15</f>
        <v>0.2105263158</v>
      </c>
      <c r="F34" s="491">
        <f>'07-28-09'!AN15</f>
        <v>0.05263157895</v>
      </c>
      <c r="G34" s="491">
        <f>'07-28-09'!AO15</f>
        <v>0.1578947368</v>
      </c>
      <c r="H34" s="491">
        <f>'07-28-09'!AP15</f>
        <v>0</v>
      </c>
      <c r="I34" s="491">
        <f>'07-28-09'!AQ15</f>
        <v>0</v>
      </c>
      <c r="J34">
        <f>'07-28-09'!AR14</f>
        <v>19</v>
      </c>
      <c r="K34" s="492">
        <f>'07-28-09'!AR15</f>
        <v>1</v>
      </c>
      <c r="L34" s="493">
        <f t="shared" ref="L34:L47" si="4">1/((B34^2)+(C34^2)+(D34^2)+(E34^2)+(F34^2)+(G34^2)+(H34^2)+(I34^2))</f>
        <v>2.455782313</v>
      </c>
      <c r="M34" s="494">
        <f t="shared" ref="M34:M47" si="5">1-((B34^2)+(C34^2)+(D34^2)+(E34^2)+(F34^2)+(G34^2)+(H34^2)+(I34^2))</f>
        <v>0.5927977839</v>
      </c>
      <c r="O34" s="182"/>
      <c r="P34" s="182"/>
      <c r="Q34" s="182"/>
      <c r="R34" s="182"/>
      <c r="S34" s="182"/>
      <c r="T34" s="182"/>
      <c r="U34" s="182"/>
      <c r="V34" s="182"/>
      <c r="W34" s="182"/>
      <c r="X34" s="182"/>
      <c r="Y34" s="182"/>
      <c r="Z34" s="182"/>
      <c r="AA34" s="182"/>
      <c r="AB34" s="182"/>
    </row>
    <row r="35">
      <c r="A35" s="463">
        <v>40122.0</v>
      </c>
      <c r="B35" s="491">
        <f>'11-05-09'!AI25</f>
        <v>0</v>
      </c>
      <c r="C35" s="491">
        <f>'11-05-09'!AJ25</f>
        <v>0</v>
      </c>
      <c r="D35" s="491">
        <f>'11-05-09'!AK25</f>
        <v>0.2592592593</v>
      </c>
      <c r="E35" s="491">
        <f>'11-05-09'!AL25</f>
        <v>0.2222222222</v>
      </c>
      <c r="F35" s="491">
        <f>'11-05-09'!AM25</f>
        <v>0.1851851852</v>
      </c>
      <c r="G35" s="491">
        <f>'11-05-09'!AN25</f>
        <v>0.1481481481</v>
      </c>
      <c r="H35" s="491">
        <f>'11-05-09'!AO25</f>
        <v>0.1851851852</v>
      </c>
      <c r="I35" s="491">
        <f>'11-05-09'!AP25</f>
        <v>0</v>
      </c>
      <c r="J35">
        <f>'11-05-09'!AQ24</f>
        <v>27</v>
      </c>
      <c r="K35" s="492">
        <f>'11-05-09'!AQ25</f>
        <v>1</v>
      </c>
      <c r="L35" s="493">
        <f t="shared" si="4"/>
        <v>4.82781457</v>
      </c>
      <c r="M35" s="494">
        <f t="shared" si="5"/>
        <v>0.792866941</v>
      </c>
      <c r="O35" s="182"/>
      <c r="P35" s="182"/>
      <c r="Q35" s="182"/>
      <c r="R35" s="182"/>
      <c r="S35" s="182"/>
      <c r="T35" s="182"/>
      <c r="U35" s="182"/>
      <c r="V35" s="182"/>
      <c r="W35" s="182"/>
      <c r="X35" s="182"/>
      <c r="Y35" s="182"/>
      <c r="Z35" s="182"/>
      <c r="AA35" s="182"/>
      <c r="AB35" s="182"/>
    </row>
    <row r="36">
      <c r="A36" s="463">
        <v>40206.0</v>
      </c>
      <c r="B36" s="495">
        <f>'01-28-10'!AK76</f>
        <v>0.02</v>
      </c>
      <c r="C36" s="495">
        <f>'01-28-10'!AL76</f>
        <v>0.02666666667</v>
      </c>
      <c r="D36" s="495">
        <f>'01-28-10'!AM76</f>
        <v>0.2466666667</v>
      </c>
      <c r="E36" s="495">
        <f>'01-28-10'!AN76</f>
        <v>0.1066666667</v>
      </c>
      <c r="F36" s="495">
        <f>'01-28-10'!AO76</f>
        <v>0.1266666667</v>
      </c>
      <c r="G36" s="495">
        <f>'01-28-10'!AP76</f>
        <v>0.4</v>
      </c>
      <c r="H36" s="495">
        <f>'01-28-10'!AQ76</f>
        <v>0.04666666667</v>
      </c>
      <c r="I36" s="495">
        <f>'01-28-10'!AR76</f>
        <v>0.02666666667</v>
      </c>
      <c r="J36">
        <f>'01-28-10'!AS75</f>
        <v>150</v>
      </c>
      <c r="K36" s="380">
        <f>'01-28-10'!AS76</f>
        <v>1</v>
      </c>
      <c r="L36" s="493">
        <f t="shared" si="4"/>
        <v>3.964059197</v>
      </c>
      <c r="M36" s="494">
        <f t="shared" si="5"/>
        <v>0.7477333333</v>
      </c>
      <c r="O36" s="182"/>
      <c r="P36" s="182"/>
      <c r="Q36" s="182"/>
      <c r="R36" s="182"/>
      <c r="S36" s="182"/>
      <c r="T36" s="182"/>
      <c r="U36" s="182"/>
      <c r="V36" s="182"/>
      <c r="W36" s="182"/>
      <c r="X36" s="182"/>
      <c r="Y36" s="182"/>
      <c r="Z36" s="182"/>
      <c r="AA36" s="182"/>
      <c r="AB36" s="182"/>
    </row>
    <row r="37">
      <c r="A37" s="463">
        <v>40243.0</v>
      </c>
      <c r="B37" s="495">
        <f>'03-06-10'!AN64</f>
        <v>0.02272727273</v>
      </c>
      <c r="C37" s="495">
        <f>'03-06-10'!AO64</f>
        <v>0.04545454545</v>
      </c>
      <c r="D37" s="495">
        <f>'03-06-10'!AP64</f>
        <v>0.1363636364</v>
      </c>
      <c r="E37" s="495">
        <f>'03-06-10'!AQ64</f>
        <v>0.1287878788</v>
      </c>
      <c r="F37" s="495">
        <f>'03-06-10'!AR64</f>
        <v>0.08333333333</v>
      </c>
      <c r="G37" s="495">
        <f>'03-06-10'!AS64</f>
        <v>0.5454545455</v>
      </c>
      <c r="H37" s="495">
        <f>'03-06-10'!AT64</f>
        <v>0.02272727273</v>
      </c>
      <c r="I37" s="495">
        <f>'03-06-10'!AU64</f>
        <v>0.01515151515</v>
      </c>
      <c r="J37">
        <f>'03-06-10'!AV63</f>
        <v>132</v>
      </c>
      <c r="K37" s="380">
        <f>'03-06-10'!AV64</f>
        <v>1</v>
      </c>
      <c r="L37" s="493">
        <f t="shared" si="4"/>
        <v>2.915662651</v>
      </c>
      <c r="M37" s="494">
        <f t="shared" si="5"/>
        <v>0.6570247934</v>
      </c>
      <c r="O37" s="182"/>
      <c r="P37" s="182"/>
      <c r="Q37" s="182"/>
      <c r="R37" s="182"/>
      <c r="S37" s="182"/>
      <c r="T37" s="182"/>
      <c r="U37" s="182"/>
      <c r="V37" s="182"/>
      <c r="W37" s="182"/>
      <c r="X37" s="182"/>
      <c r="Y37" s="182"/>
      <c r="Z37" s="182"/>
      <c r="AA37" s="182"/>
      <c r="AB37" s="182"/>
    </row>
    <row r="38">
      <c r="A38" s="463">
        <v>40319.0</v>
      </c>
      <c r="B38" s="495">
        <f>'05-21-10'!AO75</f>
        <v>0</v>
      </c>
      <c r="C38" s="495">
        <f>'05-21-10'!AP75</f>
        <v>0</v>
      </c>
      <c r="D38" s="495">
        <f>'05-21-10'!AQ75</f>
        <v>0.05063291139</v>
      </c>
      <c r="E38" s="495">
        <f>'05-21-10'!AR75</f>
        <v>0.2405063291</v>
      </c>
      <c r="F38" s="495">
        <f>'05-21-10'!AS75</f>
        <v>0.01265822785</v>
      </c>
      <c r="G38" s="495">
        <f>'05-21-10'!AT75</f>
        <v>0.5949367089</v>
      </c>
      <c r="H38" s="495">
        <f>'05-21-10'!AU75</f>
        <v>0.08860759494</v>
      </c>
      <c r="I38" s="495">
        <f>'05-21-10'!AV75</f>
        <v>0.01265822785</v>
      </c>
      <c r="J38">
        <f>'05-21-10'!AW74</f>
        <v>79</v>
      </c>
      <c r="K38" s="380">
        <f>'05-21-10'!AW75</f>
        <v>1</v>
      </c>
      <c r="L38" s="493">
        <f t="shared" si="4"/>
        <v>2.366704589</v>
      </c>
      <c r="M38" s="494">
        <f t="shared" si="5"/>
        <v>0.577471559</v>
      </c>
      <c r="O38" s="182"/>
      <c r="P38" s="182"/>
      <c r="Q38" s="182"/>
      <c r="R38" s="182"/>
      <c r="S38" s="182"/>
      <c r="T38" s="182"/>
      <c r="U38" s="182"/>
      <c r="V38" s="182"/>
      <c r="W38" s="182"/>
      <c r="X38" s="182"/>
      <c r="Y38" s="182"/>
      <c r="Z38" s="182"/>
      <c r="AA38" s="182"/>
      <c r="AB38" s="182"/>
    </row>
    <row r="39">
      <c r="A39" s="463">
        <v>40373.0</v>
      </c>
      <c r="B39" s="495">
        <f>'07-14-10'!AI67</f>
        <v>0.009615384615</v>
      </c>
      <c r="C39" s="495">
        <f>'07-14-10'!AJ67</f>
        <v>0.009615384615</v>
      </c>
      <c r="D39" s="495">
        <f>'07-14-10'!AK67</f>
        <v>0.08653846154</v>
      </c>
      <c r="E39" s="495">
        <f>'07-14-10'!AL67</f>
        <v>0.1057692308</v>
      </c>
      <c r="F39" s="495">
        <f>'07-14-10'!AM67</f>
        <v>0.1153846154</v>
      </c>
      <c r="G39" s="495">
        <f>'07-14-10'!AN67</f>
        <v>0.6153846154</v>
      </c>
      <c r="H39" s="495">
        <f>'07-14-10'!AO67</f>
        <v>0.04807692308</v>
      </c>
      <c r="I39" s="495">
        <f>'07-14-10'!AP67</f>
        <v>0.009615384615</v>
      </c>
      <c r="J39">
        <f>'07-14-10'!AQ66</f>
        <v>104</v>
      </c>
      <c r="K39" s="380">
        <f>'07-14-10'!AQ67</f>
        <v>1</v>
      </c>
      <c r="L39" s="493">
        <f t="shared" si="4"/>
        <v>2.419686801</v>
      </c>
      <c r="M39" s="494">
        <f t="shared" si="5"/>
        <v>0.5867233728</v>
      </c>
      <c r="O39" s="182"/>
      <c r="P39" s="182"/>
      <c r="Q39" s="182"/>
      <c r="R39" s="182"/>
      <c r="S39" s="182"/>
      <c r="T39" s="182"/>
      <c r="U39" s="182"/>
      <c r="V39" s="182"/>
      <c r="W39" s="182"/>
      <c r="X39" s="182"/>
      <c r="Y39" s="182"/>
      <c r="Z39" s="182"/>
      <c r="AA39" s="182"/>
      <c r="AB39" s="182"/>
    </row>
    <row r="40">
      <c r="A40" s="463">
        <v>40444.0</v>
      </c>
      <c r="B40" s="495">
        <f>'09-23-10'!AI72</f>
        <v>0</v>
      </c>
      <c r="C40" s="495">
        <f>'09-23-10'!AJ72</f>
        <v>0</v>
      </c>
      <c r="D40" s="495">
        <f>'09-23-10'!AK72</f>
        <v>0.06603773585</v>
      </c>
      <c r="E40" s="495">
        <f>'09-23-10'!AL72</f>
        <v>0.03773584906</v>
      </c>
      <c r="F40" s="495">
        <f>'09-23-10'!AM72</f>
        <v>0.3113207547</v>
      </c>
      <c r="G40" s="495">
        <f>'09-23-10'!AN72</f>
        <v>0.5094339623</v>
      </c>
      <c r="H40" s="495">
        <f>'09-23-10'!AO72</f>
        <v>0.07547169811</v>
      </c>
      <c r="I40" s="495">
        <f>'09-23-10'!AP72</f>
        <v>0</v>
      </c>
      <c r="J40" s="178">
        <f>'09-23-10'!AQ71</f>
        <v>106</v>
      </c>
      <c r="K40" s="380">
        <f>'09-23-10'!AQ72</f>
        <v>1</v>
      </c>
      <c r="L40" s="493">
        <f t="shared" si="4"/>
        <v>2.717948718</v>
      </c>
      <c r="M40" s="494">
        <f t="shared" si="5"/>
        <v>0.6320754717</v>
      </c>
      <c r="O40" s="182"/>
      <c r="P40" s="182"/>
      <c r="Q40" s="182"/>
      <c r="R40" s="182"/>
      <c r="S40" s="182"/>
      <c r="T40" s="182"/>
      <c r="U40" s="182"/>
      <c r="V40" s="182"/>
      <c r="W40" s="182"/>
      <c r="X40" s="182"/>
      <c r="Y40" s="182"/>
      <c r="Z40" s="182"/>
      <c r="AA40" s="182"/>
      <c r="AB40" s="182"/>
    </row>
    <row r="41">
      <c r="A41" s="463">
        <v>40487.0</v>
      </c>
      <c r="B41" s="495">
        <f>'11-05-10'!AL70</f>
        <v>0.01149425287</v>
      </c>
      <c r="C41" s="495">
        <f>'11-05-10'!AM70</f>
        <v>0.03448275862</v>
      </c>
      <c r="D41" s="495">
        <f>'11-05-10'!AN70</f>
        <v>0.06896551724</v>
      </c>
      <c r="E41" s="495">
        <f>'11-05-10'!AO70</f>
        <v>0.05747126437</v>
      </c>
      <c r="F41" s="495">
        <f>'11-05-10'!AP70</f>
        <v>0.1034482759</v>
      </c>
      <c r="G41" s="495">
        <f>'11-05-10'!AQ70</f>
        <v>0.6551724138</v>
      </c>
      <c r="H41" s="495">
        <f>'11-05-10'!AR70</f>
        <v>0.06896551724</v>
      </c>
      <c r="I41" s="495">
        <f>'11-05-10'!AS70</f>
        <v>0</v>
      </c>
      <c r="J41">
        <f>'11-05-10'!AT69</f>
        <v>87</v>
      </c>
      <c r="K41" s="380">
        <f>'11-05-10'!AT70</f>
        <v>1</v>
      </c>
      <c r="L41" s="493">
        <f t="shared" si="4"/>
        <v>2.202211231</v>
      </c>
      <c r="M41" s="494">
        <f t="shared" si="5"/>
        <v>0.5459109526</v>
      </c>
      <c r="O41" s="182"/>
      <c r="P41" s="182"/>
      <c r="Q41" s="182"/>
      <c r="R41" s="182"/>
      <c r="S41" s="182"/>
      <c r="T41" s="182"/>
      <c r="U41" s="182"/>
      <c r="V41" s="182"/>
      <c r="W41" s="182"/>
      <c r="X41" s="182"/>
      <c r="Y41" s="182"/>
      <c r="Z41" s="182"/>
      <c r="AA41" s="182"/>
      <c r="AB41" s="182"/>
    </row>
    <row r="42">
      <c r="A42" s="463">
        <v>40606.0</v>
      </c>
      <c r="B42" s="495">
        <f>'03-04-11'!AE62</f>
        <v>0</v>
      </c>
      <c r="C42" s="495">
        <f>'03-04-11'!AF62</f>
        <v>0</v>
      </c>
      <c r="D42" s="495">
        <f>'03-04-11'!AG62</f>
        <v>0.2142857143</v>
      </c>
      <c r="E42" s="495">
        <f>'03-04-11'!AH62</f>
        <v>0.1428571429</v>
      </c>
      <c r="F42" s="495">
        <f>'03-04-11'!AI62</f>
        <v>0</v>
      </c>
      <c r="G42" s="495">
        <f>'03-04-11'!AJ62</f>
        <v>0.4285714286</v>
      </c>
      <c r="H42" s="495">
        <f>'03-04-11'!AK62</f>
        <v>0.2142857143</v>
      </c>
      <c r="I42" s="495">
        <f>'03-04-11'!AL62</f>
        <v>0</v>
      </c>
      <c r="J42">
        <f>'03-04-11'!AM61</f>
        <v>14</v>
      </c>
      <c r="K42" s="380">
        <f>'03-04-11'!AM62</f>
        <v>1</v>
      </c>
      <c r="L42" s="493">
        <f t="shared" si="4"/>
        <v>3.379310345</v>
      </c>
      <c r="M42" s="494">
        <f t="shared" si="5"/>
        <v>0.7040816327</v>
      </c>
      <c r="O42" s="182"/>
      <c r="P42" s="182"/>
      <c r="Q42" s="182"/>
      <c r="R42" s="182"/>
      <c r="S42" s="182"/>
      <c r="T42" s="182"/>
      <c r="U42" s="182"/>
      <c r="V42" s="182"/>
      <c r="W42" s="182"/>
      <c r="X42" s="182"/>
      <c r="Y42" s="182"/>
      <c r="Z42" s="182"/>
      <c r="AA42" s="182"/>
      <c r="AB42" s="182"/>
    </row>
    <row r="43">
      <c r="A43" s="463">
        <v>40737.0</v>
      </c>
      <c r="B43" s="495">
        <f>'07-13-11'!AJ84</f>
        <v>0.1481481481</v>
      </c>
      <c r="C43" s="495">
        <f>'07-13-11'!AK84</f>
        <v>0</v>
      </c>
      <c r="D43" s="495">
        <f>'07-13-11'!AL84</f>
        <v>0.07407407407</v>
      </c>
      <c r="E43" s="495">
        <f>'07-13-11'!AM84</f>
        <v>0.1481481481</v>
      </c>
      <c r="F43" s="495">
        <f>'07-13-11'!AN84</f>
        <v>0.07407407407</v>
      </c>
      <c r="G43" s="495">
        <f>'07-13-11'!AO84</f>
        <v>0.5185185185</v>
      </c>
      <c r="H43" s="495">
        <f>'07-13-11'!AP84</f>
        <v>0.03703703704</v>
      </c>
      <c r="I43" s="495">
        <f>'07-13-11'!AQ84</f>
        <v>0</v>
      </c>
      <c r="J43">
        <f>'07-13-11'!AR83</f>
        <v>27</v>
      </c>
      <c r="K43" s="380">
        <f>'07-13-11'!AR84</f>
        <v>1</v>
      </c>
      <c r="L43" s="493">
        <f t="shared" si="4"/>
        <v>3.075949367</v>
      </c>
      <c r="M43" s="494">
        <f t="shared" si="5"/>
        <v>0.6748971193</v>
      </c>
      <c r="O43" s="182"/>
      <c r="P43" s="182"/>
      <c r="Q43" s="182"/>
      <c r="R43" s="182"/>
      <c r="S43" s="182"/>
      <c r="T43" s="182"/>
      <c r="U43" s="182"/>
      <c r="V43" s="182"/>
      <c r="W43" s="182"/>
      <c r="X43" s="182"/>
      <c r="Y43" s="182"/>
      <c r="Z43" s="182"/>
      <c r="AA43" s="182"/>
      <c r="AB43" s="182"/>
    </row>
    <row r="44">
      <c r="A44" s="463">
        <v>40925.0</v>
      </c>
      <c r="B44" s="495">
        <f>'01-17-12'!AK91</f>
        <v>0.16</v>
      </c>
      <c r="C44" s="495">
        <f>'01-17-12'!AL91</f>
        <v>0.18</v>
      </c>
      <c r="D44" s="495">
        <f>'01-17-12'!AM91</f>
        <v>0.2</v>
      </c>
      <c r="E44" s="495">
        <f>'01-17-12'!AN91</f>
        <v>0.04</v>
      </c>
      <c r="F44" s="495">
        <f>'01-17-12'!AO91</f>
        <v>0.3</v>
      </c>
      <c r="G44" s="495">
        <f>'01-17-12'!AP91</f>
        <v>0.12</v>
      </c>
      <c r="H44" s="495">
        <f>'01-17-12'!AQ91</f>
        <v>0</v>
      </c>
      <c r="I44" s="495">
        <f>'01-17-12'!AR91</f>
        <v>0</v>
      </c>
      <c r="J44">
        <f>'01-17-12'!AS90</f>
        <v>50</v>
      </c>
      <c r="K44" s="380">
        <f>'01-17-12'!AS91</f>
        <v>1</v>
      </c>
      <c r="L44" s="493">
        <f t="shared" si="4"/>
        <v>4.901960784</v>
      </c>
      <c r="M44" s="494">
        <f t="shared" si="5"/>
        <v>0.796</v>
      </c>
      <c r="O44" s="182"/>
      <c r="P44" s="182"/>
      <c r="Q44" s="182"/>
      <c r="R44" s="182"/>
      <c r="S44" s="182"/>
      <c r="T44" s="182"/>
      <c r="U44" s="182"/>
      <c r="V44" s="182"/>
      <c r="W44" s="182"/>
      <c r="X44" s="182"/>
      <c r="Y44" s="182"/>
      <c r="Z44" s="182"/>
      <c r="AA44" s="182"/>
      <c r="AB44" s="182"/>
    </row>
    <row r="45">
      <c r="A45" s="463">
        <v>40939.0</v>
      </c>
      <c r="B45" s="495">
        <f>'01-31-12'!AO93</f>
        <v>0.2028985507</v>
      </c>
      <c r="C45" s="495">
        <f>'01-31-12'!AP93</f>
        <v>0.1449275362</v>
      </c>
      <c r="D45" s="495">
        <f>'01-31-12'!AQ93</f>
        <v>0.1304347826</v>
      </c>
      <c r="E45" s="495">
        <f>'01-31-12'!AR93</f>
        <v>0</v>
      </c>
      <c r="F45" s="495">
        <f>'01-31-12'!AS93</f>
        <v>0.2753623188</v>
      </c>
      <c r="G45" s="495">
        <f>'01-31-12'!AT93</f>
        <v>0.2463768116</v>
      </c>
      <c r="H45" s="495">
        <f>'01-31-12'!AU93</f>
        <v>0</v>
      </c>
      <c r="I45" s="495">
        <f>'01-31-12'!AV93</f>
        <v>0</v>
      </c>
      <c r="J45">
        <f>'01-31-12'!AW92</f>
        <v>69</v>
      </c>
      <c r="K45" s="380">
        <f>'01-31-12'!AW93</f>
        <v>1</v>
      </c>
      <c r="L45" s="493">
        <f t="shared" si="4"/>
        <v>4.635832522</v>
      </c>
      <c r="M45" s="494">
        <f t="shared" si="5"/>
        <v>0.7842890149</v>
      </c>
      <c r="O45" s="182"/>
      <c r="P45" s="182"/>
      <c r="Q45" s="182"/>
      <c r="R45" s="182"/>
      <c r="S45" s="182"/>
      <c r="T45" s="182"/>
      <c r="U45" s="182"/>
      <c r="V45" s="182"/>
      <c r="W45" s="182"/>
      <c r="X45" s="182"/>
      <c r="Y45" s="182"/>
      <c r="Z45" s="182"/>
      <c r="AA45" s="182"/>
      <c r="AB45" s="182"/>
    </row>
    <row r="46">
      <c r="A46" s="463">
        <v>40953.0</v>
      </c>
      <c r="B46" s="495">
        <f>'02-14-12'!AJ94</f>
        <v>0.1515151515</v>
      </c>
      <c r="C46" s="495">
        <f>'02-14-12'!AK94</f>
        <v>0.06060606061</v>
      </c>
      <c r="D46" s="495">
        <f>'02-14-12'!AL94</f>
        <v>0.07575757576</v>
      </c>
      <c r="E46" s="495">
        <f>'02-14-12'!AM94</f>
        <v>0.09090909091</v>
      </c>
      <c r="F46" s="495">
        <f>'02-14-12'!AN94</f>
        <v>0.3939393939</v>
      </c>
      <c r="G46" s="495">
        <f>'02-14-12'!AO94</f>
        <v>0.2272727273</v>
      </c>
      <c r="H46" s="495">
        <f>'02-14-12'!AP94</f>
        <v>0</v>
      </c>
      <c r="I46" s="495">
        <f>'02-14-12'!AQ94</f>
        <v>0</v>
      </c>
      <c r="J46">
        <f>'02-14-12'!AR93</f>
        <v>66</v>
      </c>
      <c r="K46" s="380">
        <f>'02-14-12'!AR94</f>
        <v>1</v>
      </c>
      <c r="L46" s="493">
        <f t="shared" si="4"/>
        <v>4.040816327</v>
      </c>
      <c r="M46" s="494">
        <f t="shared" si="5"/>
        <v>0.7525252525</v>
      </c>
      <c r="O46" s="182"/>
      <c r="P46" s="182"/>
      <c r="Q46" s="182"/>
      <c r="R46" s="182"/>
      <c r="S46" s="182"/>
      <c r="T46" s="182"/>
      <c r="U46" s="182"/>
      <c r="V46" s="182"/>
      <c r="W46" s="182"/>
      <c r="X46" s="182"/>
      <c r="Y46" s="182"/>
      <c r="Z46" s="182"/>
      <c r="AA46" s="182"/>
      <c r="AB46" s="182"/>
    </row>
    <row r="47">
      <c r="A47" s="463">
        <v>40983.0</v>
      </c>
      <c r="B47" s="495">
        <f>'03-15-12'!AJ87</f>
        <v>0.0198019802</v>
      </c>
      <c r="C47" s="495">
        <f>'03-15-12'!AK87</f>
        <v>0.1089108911</v>
      </c>
      <c r="D47" s="495">
        <f>'03-15-12'!AL87</f>
        <v>0.2871287129</v>
      </c>
      <c r="E47" s="495">
        <f>'03-15-12'!AM87</f>
        <v>0</v>
      </c>
      <c r="F47" s="495">
        <f>'03-15-12'!AN87</f>
        <v>0.3861386139</v>
      </c>
      <c r="G47" s="495">
        <f>'03-15-12'!AO87</f>
        <v>0.1881188119</v>
      </c>
      <c r="H47" s="495">
        <f>'03-15-12'!AP87</f>
        <v>0.009900990099</v>
      </c>
      <c r="I47" s="495">
        <f>'03-15-12'!AQ87</f>
        <v>0</v>
      </c>
      <c r="J47">
        <f>'03-15-12'!AR86</f>
        <v>101</v>
      </c>
      <c r="K47" s="380">
        <f>'03-15-12'!AR87</f>
        <v>1</v>
      </c>
      <c r="L47" s="493">
        <f t="shared" si="4"/>
        <v>3.580554581</v>
      </c>
      <c r="M47" s="494">
        <f t="shared" si="5"/>
        <v>0.7207136555</v>
      </c>
      <c r="O47" s="182"/>
      <c r="P47" s="182"/>
      <c r="Q47" s="182"/>
      <c r="R47" s="182"/>
      <c r="S47" s="182"/>
      <c r="T47" s="182"/>
      <c r="U47" s="182"/>
      <c r="V47" s="182"/>
      <c r="W47" s="182"/>
      <c r="X47" s="182"/>
      <c r="Y47" s="182"/>
      <c r="Z47" s="182"/>
      <c r="AA47" s="182"/>
      <c r="AB47" s="182"/>
    </row>
    <row r="48">
      <c r="A48" s="488"/>
      <c r="B48" s="182"/>
      <c r="C48" s="182"/>
      <c r="D48" s="182"/>
      <c r="E48" s="182"/>
      <c r="F48" s="182"/>
      <c r="G48" s="182"/>
      <c r="H48" s="182"/>
      <c r="I48" s="182"/>
      <c r="J48" s="182"/>
      <c r="K48" s="182"/>
      <c r="O48" s="182"/>
      <c r="P48" s="182"/>
      <c r="Q48" s="182"/>
      <c r="R48" s="182"/>
      <c r="S48" s="182"/>
      <c r="T48" s="182"/>
      <c r="U48" s="182"/>
      <c r="V48" s="182"/>
      <c r="W48" s="182"/>
      <c r="X48" s="182"/>
      <c r="Y48" s="182"/>
      <c r="Z48" s="182"/>
      <c r="AA48" s="182"/>
      <c r="AB48" s="182"/>
    </row>
    <row r="49">
      <c r="A49" s="310" t="s">
        <v>1527</v>
      </c>
      <c r="B49" s="412" t="s">
        <v>389</v>
      </c>
      <c r="C49" s="419" t="s">
        <v>420</v>
      </c>
      <c r="D49" s="426" t="s">
        <v>358</v>
      </c>
      <c r="E49" s="433" t="s">
        <v>363</v>
      </c>
      <c r="F49" s="440" t="s">
        <v>413</v>
      </c>
      <c r="G49" s="447" t="s">
        <v>357</v>
      </c>
      <c r="H49" s="489" t="s">
        <v>380</v>
      </c>
      <c r="I49" s="490" t="s">
        <v>387</v>
      </c>
      <c r="J49" s="310" t="s">
        <v>1507</v>
      </c>
      <c r="O49" s="182"/>
      <c r="P49" s="182"/>
      <c r="Q49" s="182"/>
      <c r="R49" s="182"/>
      <c r="S49" s="182"/>
      <c r="T49" s="182"/>
      <c r="U49" s="182"/>
      <c r="V49" s="182"/>
      <c r="W49" s="182"/>
      <c r="X49" s="182"/>
      <c r="Y49" s="182"/>
      <c r="Z49" s="182"/>
      <c r="AA49" s="182"/>
      <c r="AB49" s="182"/>
    </row>
    <row r="50">
      <c r="A50" s="235" t="s">
        <v>1528</v>
      </c>
      <c r="B50" s="495">
        <f t="shared" ref="B50:I50" si="6">B37</f>
        <v>0.02272727273</v>
      </c>
      <c r="C50" s="495">
        <f t="shared" si="6"/>
        <v>0.04545454545</v>
      </c>
      <c r="D50" s="495">
        <f t="shared" si="6"/>
        <v>0.1363636364</v>
      </c>
      <c r="E50" s="495">
        <f t="shared" si="6"/>
        <v>0.1287878788</v>
      </c>
      <c r="F50" s="495">
        <f t="shared" si="6"/>
        <v>0.08333333333</v>
      </c>
      <c r="G50" s="495">
        <f t="shared" si="6"/>
        <v>0.5454545455</v>
      </c>
      <c r="H50" s="495">
        <f t="shared" si="6"/>
        <v>0.02272727273</v>
      </c>
      <c r="I50" s="495">
        <f t="shared" si="6"/>
        <v>0.01515151515</v>
      </c>
      <c r="J50" s="380">
        <f t="shared" ref="J50:J57" si="7">sum(B50:I50)</f>
        <v>1</v>
      </c>
      <c r="O50" s="182"/>
      <c r="P50" s="182"/>
      <c r="Q50" s="182"/>
      <c r="R50" s="182"/>
      <c r="S50" s="182"/>
      <c r="T50" s="182"/>
      <c r="U50" s="182"/>
      <c r="V50" s="182"/>
      <c r="W50" s="182"/>
      <c r="X50" s="182"/>
      <c r="Y50" s="182"/>
      <c r="Z50" s="182"/>
      <c r="AA50" s="182"/>
      <c r="AB50" s="182"/>
    </row>
    <row r="51">
      <c r="A51" s="235" t="s">
        <v>1529</v>
      </c>
      <c r="B51" s="495">
        <f>'Mar1017Jan12 flies'!AH63</f>
        <v>0</v>
      </c>
      <c r="C51" s="495">
        <f>'Mar1017Jan12 flies'!AI63</f>
        <v>0.04838709677</v>
      </c>
      <c r="D51" s="495">
        <f>'Mar1017Jan12 flies'!AJ63</f>
        <v>0.06451612903</v>
      </c>
      <c r="E51" s="495">
        <f>'Mar1017Jan12 flies'!AK63</f>
        <v>0</v>
      </c>
      <c r="F51" s="495">
        <f>'Mar1017Jan12 flies'!AL63</f>
        <v>0.3064516129</v>
      </c>
      <c r="G51" s="495">
        <f>'Mar1017Jan12 flies'!AM63</f>
        <v>0.564516129</v>
      </c>
      <c r="H51" s="495">
        <f>'Mar1017Jan12 flies'!AN63</f>
        <v>0</v>
      </c>
      <c r="I51" s="495">
        <f>'Mar1017Jan12 flies'!AO63</f>
        <v>0.01612903226</v>
      </c>
      <c r="J51" s="380">
        <f t="shared" si="7"/>
        <v>1</v>
      </c>
      <c r="O51" s="182"/>
      <c r="P51" s="182"/>
      <c r="Q51" s="182"/>
      <c r="R51" s="182"/>
      <c r="S51" s="182"/>
      <c r="T51" s="182"/>
      <c r="U51" s="182"/>
      <c r="V51" s="182"/>
      <c r="W51" s="182"/>
      <c r="X51" s="182"/>
      <c r="Y51" s="182"/>
      <c r="Z51" s="182"/>
      <c r="AA51" s="182"/>
      <c r="AB51" s="182"/>
    </row>
    <row r="52">
      <c r="A52" s="235" t="s">
        <v>1530</v>
      </c>
      <c r="B52" s="495">
        <f t="shared" ref="B52:I52" si="8">B44</f>
        <v>0.16</v>
      </c>
      <c r="C52" s="495">
        <f t="shared" si="8"/>
        <v>0.18</v>
      </c>
      <c r="D52" s="495">
        <f t="shared" si="8"/>
        <v>0.2</v>
      </c>
      <c r="E52" s="495">
        <f t="shared" si="8"/>
        <v>0.04</v>
      </c>
      <c r="F52" s="495">
        <f t="shared" si="8"/>
        <v>0.3</v>
      </c>
      <c r="G52" s="495">
        <f t="shared" si="8"/>
        <v>0.12</v>
      </c>
      <c r="H52" s="495">
        <f t="shared" si="8"/>
        <v>0</v>
      </c>
      <c r="I52" s="495">
        <f t="shared" si="8"/>
        <v>0</v>
      </c>
      <c r="J52" s="380">
        <f t="shared" si="7"/>
        <v>1</v>
      </c>
      <c r="O52" s="182"/>
      <c r="P52" s="182"/>
      <c r="Q52" s="182"/>
      <c r="R52" s="182"/>
      <c r="S52" s="182"/>
      <c r="T52" s="182"/>
      <c r="U52" s="182"/>
      <c r="V52" s="182"/>
      <c r="W52" s="182"/>
      <c r="X52" s="182"/>
      <c r="Y52" s="182"/>
      <c r="Z52" s="182"/>
      <c r="AA52" s="182"/>
      <c r="AB52" s="182"/>
    </row>
    <row r="53">
      <c r="A53" s="235" t="s">
        <v>1531</v>
      </c>
      <c r="B53" s="495">
        <f t="shared" ref="B53:I53" si="9">B45</f>
        <v>0.2028985507</v>
      </c>
      <c r="C53" s="495">
        <f t="shared" si="9"/>
        <v>0.1449275362</v>
      </c>
      <c r="D53" s="495">
        <f t="shared" si="9"/>
        <v>0.1304347826</v>
      </c>
      <c r="E53" s="495">
        <f t="shared" si="9"/>
        <v>0</v>
      </c>
      <c r="F53" s="495">
        <f t="shared" si="9"/>
        <v>0.2753623188</v>
      </c>
      <c r="G53" s="495">
        <f t="shared" si="9"/>
        <v>0.2463768116</v>
      </c>
      <c r="H53" s="495">
        <f t="shared" si="9"/>
        <v>0</v>
      </c>
      <c r="I53" s="495">
        <f t="shared" si="9"/>
        <v>0</v>
      </c>
      <c r="J53" s="380">
        <f t="shared" si="7"/>
        <v>1</v>
      </c>
      <c r="O53" s="182"/>
      <c r="P53" s="182"/>
      <c r="Q53" s="182"/>
      <c r="R53" s="182"/>
      <c r="S53" s="182"/>
      <c r="T53" s="182"/>
      <c r="U53" s="182"/>
      <c r="V53" s="182"/>
      <c r="W53" s="182"/>
      <c r="X53" s="182"/>
      <c r="Y53" s="182"/>
      <c r="Z53" s="182"/>
      <c r="AA53" s="182"/>
      <c r="AB53" s="182"/>
    </row>
    <row r="54">
      <c r="A54" s="235" t="s">
        <v>1532</v>
      </c>
      <c r="B54" s="495">
        <f t="shared" ref="B54:I54" si="10">B46</f>
        <v>0.1515151515</v>
      </c>
      <c r="C54" s="495">
        <f t="shared" si="10"/>
        <v>0.06060606061</v>
      </c>
      <c r="D54" s="495">
        <f t="shared" si="10"/>
        <v>0.07575757576</v>
      </c>
      <c r="E54" s="495">
        <f t="shared" si="10"/>
        <v>0.09090909091</v>
      </c>
      <c r="F54" s="495">
        <f t="shared" si="10"/>
        <v>0.3939393939</v>
      </c>
      <c r="G54" s="495">
        <f t="shared" si="10"/>
        <v>0.2272727273</v>
      </c>
      <c r="H54" s="495">
        <f t="shared" si="10"/>
        <v>0</v>
      </c>
      <c r="I54" s="495">
        <f t="shared" si="10"/>
        <v>0</v>
      </c>
      <c r="J54" s="380">
        <f t="shared" si="7"/>
        <v>1</v>
      </c>
      <c r="O54" s="182"/>
      <c r="P54" s="182"/>
      <c r="Q54" s="182"/>
      <c r="R54" s="182"/>
      <c r="S54" s="182"/>
      <c r="T54" s="182"/>
      <c r="U54" s="182"/>
      <c r="V54" s="182"/>
      <c r="W54" s="182"/>
      <c r="X54" s="182"/>
      <c r="Y54" s="182"/>
      <c r="Z54" s="182"/>
      <c r="AA54" s="182"/>
      <c r="AB54" s="182"/>
    </row>
    <row r="55">
      <c r="A55" s="235" t="s">
        <v>1533</v>
      </c>
      <c r="B55" s="495">
        <f t="shared" ref="B55:I55" si="11">B47</f>
        <v>0.0198019802</v>
      </c>
      <c r="C55" s="495">
        <f t="shared" si="11"/>
        <v>0.1089108911</v>
      </c>
      <c r="D55" s="495">
        <f t="shared" si="11"/>
        <v>0.2871287129</v>
      </c>
      <c r="E55" s="495">
        <f t="shared" si="11"/>
        <v>0</v>
      </c>
      <c r="F55" s="495">
        <f t="shared" si="11"/>
        <v>0.3861386139</v>
      </c>
      <c r="G55" s="495">
        <f t="shared" si="11"/>
        <v>0.1881188119</v>
      </c>
      <c r="H55" s="495">
        <f t="shared" si="11"/>
        <v>0.009900990099</v>
      </c>
      <c r="I55" s="495">
        <f t="shared" si="11"/>
        <v>0</v>
      </c>
      <c r="J55" s="380">
        <f t="shared" si="7"/>
        <v>1</v>
      </c>
      <c r="O55" s="182"/>
      <c r="P55" s="182"/>
      <c r="Q55" s="182"/>
      <c r="R55" s="182"/>
      <c r="S55" s="182"/>
      <c r="T55" s="182"/>
      <c r="U55" s="182"/>
      <c r="V55" s="182"/>
      <c r="W55" s="182"/>
      <c r="X55" s="182"/>
      <c r="Y55" s="182"/>
      <c r="Z55" s="182"/>
      <c r="AA55" s="182"/>
      <c r="AB55" s="182"/>
    </row>
    <row r="56">
      <c r="A56" s="235" t="s">
        <v>1534</v>
      </c>
      <c r="B56" s="495">
        <f>'Mar1017Jan12 flies'!AH58</f>
        <v>0</v>
      </c>
      <c r="C56" s="495">
        <f>'Mar1017Jan12 flies'!AI58</f>
        <v>0.02777777778</v>
      </c>
      <c r="D56" s="495">
        <f>'Mar1017Jan12 flies'!AJ58</f>
        <v>0.1388888889</v>
      </c>
      <c r="E56" s="495">
        <f>'Mar1017Jan12 flies'!AK58</f>
        <v>0.08333333333</v>
      </c>
      <c r="F56" s="495">
        <f>'Mar1017Jan12 flies'!AL58</f>
        <v>0.3611111111</v>
      </c>
      <c r="G56" s="495">
        <f>'Mar1017Jan12 flies'!AM58</f>
        <v>0.3888888889</v>
      </c>
      <c r="H56" s="495">
        <f>'Mar1017Jan12 flies'!AN58</f>
        <v>0</v>
      </c>
      <c r="I56" s="495">
        <f>'Mar1017Jan12 flies'!AO58</f>
        <v>0</v>
      </c>
      <c r="J56" s="380">
        <f t="shared" si="7"/>
        <v>1</v>
      </c>
      <c r="O56" s="182"/>
      <c r="P56" s="182"/>
      <c r="Q56" s="182"/>
      <c r="R56" s="182"/>
      <c r="S56" s="182"/>
      <c r="T56" s="182"/>
      <c r="U56" s="182"/>
      <c r="V56" s="182"/>
      <c r="W56" s="182"/>
      <c r="X56" s="182"/>
      <c r="Y56" s="182"/>
      <c r="Z56" s="182"/>
      <c r="AA56" s="182"/>
      <c r="AB56" s="182"/>
    </row>
    <row r="57">
      <c r="A57" s="235" t="s">
        <v>1535</v>
      </c>
      <c r="B57" s="495">
        <f>'17Jan12 wild bats'!V55</f>
        <v>0.008620689655</v>
      </c>
      <c r="C57" s="495">
        <f>'17Jan12 wild bats'!W55</f>
        <v>0.06034482759</v>
      </c>
      <c r="D57" s="495">
        <f>'17Jan12 wild bats'!X55</f>
        <v>0.1810344828</v>
      </c>
      <c r="E57" s="495">
        <f>'17Jan12 wild bats'!Y55</f>
        <v>0.0775862069</v>
      </c>
      <c r="F57" s="495">
        <f>'17Jan12 wild bats'!Z55</f>
        <v>0.2155172414</v>
      </c>
      <c r="G57" s="495">
        <f>'17Jan12 wild bats'!AA55</f>
        <v>0.3620689655</v>
      </c>
      <c r="H57" s="495">
        <f>'17Jan12 wild bats'!AB55</f>
        <v>0.04310344828</v>
      </c>
      <c r="I57" s="495">
        <f>'17Jan12 wild bats'!AC55</f>
        <v>0.05172413793</v>
      </c>
      <c r="J57" s="380">
        <f t="shared" si="7"/>
        <v>1</v>
      </c>
      <c r="O57" s="182"/>
      <c r="P57" s="182"/>
      <c r="Q57" s="182"/>
      <c r="R57" s="182"/>
      <c r="S57" s="182"/>
      <c r="T57" s="182"/>
      <c r="U57" s="182"/>
      <c r="V57" s="182"/>
      <c r="W57" s="182"/>
      <c r="X57" s="182"/>
      <c r="Y57" s="182"/>
      <c r="Z57" s="182"/>
      <c r="AA57" s="182"/>
      <c r="AB57" s="182"/>
    </row>
    <row r="58">
      <c r="A58" s="488"/>
      <c r="B58" s="182"/>
      <c r="C58" s="182"/>
      <c r="D58" s="182"/>
      <c r="E58" s="182"/>
      <c r="F58" s="182"/>
      <c r="G58" s="182"/>
      <c r="H58" s="182"/>
      <c r="I58" s="182"/>
      <c r="J58" s="182"/>
      <c r="K58" s="182"/>
      <c r="O58" s="182"/>
      <c r="P58" s="182"/>
      <c r="Q58" s="182"/>
      <c r="R58" s="182"/>
      <c r="S58" s="182"/>
      <c r="T58" s="182"/>
      <c r="U58" s="182"/>
      <c r="V58" s="182"/>
      <c r="W58" s="182"/>
      <c r="X58" s="182"/>
      <c r="Y58" s="182"/>
      <c r="Z58" s="182"/>
      <c r="AA58" s="182"/>
      <c r="AB58" s="182"/>
    </row>
    <row r="59">
      <c r="A59" s="310" t="s">
        <v>1462</v>
      </c>
      <c r="B59" s="412" t="s">
        <v>389</v>
      </c>
      <c r="C59" s="419" t="s">
        <v>420</v>
      </c>
      <c r="D59" s="426" t="s">
        <v>358</v>
      </c>
      <c r="E59" s="433" t="s">
        <v>363</v>
      </c>
      <c r="F59" s="440" t="s">
        <v>413</v>
      </c>
      <c r="G59" s="447" t="s">
        <v>357</v>
      </c>
      <c r="H59" s="489" t="s">
        <v>380</v>
      </c>
      <c r="I59" s="490" t="s">
        <v>387</v>
      </c>
      <c r="J59" s="310" t="s">
        <v>1536</v>
      </c>
      <c r="K59" s="313" t="s">
        <v>1537</v>
      </c>
      <c r="L59" s="310" t="s">
        <v>1538</v>
      </c>
      <c r="M59" s="331" t="s">
        <v>1539</v>
      </c>
      <c r="O59" s="182"/>
      <c r="P59" s="182"/>
      <c r="Q59" s="182"/>
      <c r="R59" s="182"/>
      <c r="S59" s="182"/>
      <c r="T59" s="182"/>
      <c r="U59" s="182"/>
      <c r="V59" s="182"/>
      <c r="W59" s="182"/>
      <c r="X59" s="182"/>
      <c r="Y59" s="182"/>
      <c r="Z59" s="182"/>
      <c r="AA59" s="182"/>
      <c r="AB59" s="182"/>
    </row>
    <row r="60">
      <c r="A60" s="463">
        <v>40022.0</v>
      </c>
      <c r="B60" s="492">
        <f t="shared" ref="B60:I60" si="12">if(B34&gt;0,B34*ln(B34),0)</f>
        <v>0</v>
      </c>
      <c r="C60" s="492">
        <f t="shared" si="12"/>
        <v>0</v>
      </c>
      <c r="D60" s="492">
        <f t="shared" si="12"/>
        <v>-0.3164200405</v>
      </c>
      <c r="E60" s="492">
        <f t="shared" si="12"/>
        <v>-0.3280304459</v>
      </c>
      <c r="F60" s="492">
        <f t="shared" si="12"/>
        <v>-0.1549704726</v>
      </c>
      <c r="G60" s="492">
        <f t="shared" si="12"/>
        <v>-0.2914463196</v>
      </c>
      <c r="H60" s="492">
        <f t="shared" si="12"/>
        <v>0</v>
      </c>
      <c r="I60" s="492">
        <f t="shared" si="12"/>
        <v>0</v>
      </c>
      <c r="J60" s="380">
        <f t="shared" ref="J60:J73" si="14">-sum(B60:I60)</f>
        <v>1.090867279</v>
      </c>
      <c r="K60" s="300">
        <f t="shared" ref="K60:K73" si="15">exp(J60)</f>
        <v>2.976854716</v>
      </c>
      <c r="L60" s="182">
        <f t="shared" ref="L60:L73" si="16">countif(B60:I60,"&lt;0")</f>
        <v>4</v>
      </c>
      <c r="M60" s="496">
        <v>0.5</v>
      </c>
      <c r="N60">
        <f>correl(K60:K69,M60:M69)</f>
        <v>0.3281181872</v>
      </c>
      <c r="O60" s="182"/>
      <c r="P60" s="182"/>
      <c r="Q60" s="182"/>
      <c r="R60" s="182"/>
      <c r="S60" s="182"/>
      <c r="T60" s="182"/>
      <c r="U60" s="182"/>
      <c r="V60" s="182"/>
      <c r="W60" s="182"/>
      <c r="X60" s="182"/>
      <c r="Y60" s="182"/>
      <c r="Z60" s="182"/>
      <c r="AA60" s="182"/>
      <c r="AB60" s="182"/>
    </row>
    <row r="61">
      <c r="A61" s="463">
        <v>40122.0</v>
      </c>
      <c r="B61" s="492">
        <f t="shared" ref="B61:I61" si="13">if(B35&gt;0,B35*ln(B35),0)</f>
        <v>0</v>
      </c>
      <c r="C61" s="492">
        <f t="shared" si="13"/>
        <v>0</v>
      </c>
      <c r="D61" s="492">
        <f t="shared" si="13"/>
        <v>-0.3499810007</v>
      </c>
      <c r="E61" s="492">
        <f t="shared" si="13"/>
        <v>-0.3342394215</v>
      </c>
      <c r="F61" s="492">
        <f t="shared" si="13"/>
        <v>-0.3122961025</v>
      </c>
      <c r="G61" s="492">
        <f t="shared" si="13"/>
        <v>-0.2828951859</v>
      </c>
      <c r="H61" s="492">
        <f t="shared" si="13"/>
        <v>-0.3122961025</v>
      </c>
      <c r="I61" s="492">
        <f t="shared" si="13"/>
        <v>0</v>
      </c>
      <c r="J61" s="380">
        <f t="shared" si="14"/>
        <v>1.591707813</v>
      </c>
      <c r="K61" s="300">
        <f t="shared" si="15"/>
        <v>4.91213077</v>
      </c>
      <c r="L61" s="182">
        <f t="shared" si="16"/>
        <v>5</v>
      </c>
      <c r="M61" s="496">
        <v>0.5</v>
      </c>
      <c r="O61" s="182"/>
      <c r="P61" s="182"/>
      <c r="Q61" s="182"/>
      <c r="R61" s="182"/>
      <c r="S61" s="182"/>
      <c r="T61" s="182"/>
      <c r="U61" s="182"/>
      <c r="V61" s="182"/>
      <c r="W61" s="182"/>
      <c r="X61" s="182"/>
      <c r="Y61" s="182"/>
      <c r="Z61" s="182"/>
      <c r="AA61" s="182"/>
      <c r="AB61" s="182"/>
    </row>
    <row r="62">
      <c r="A62" s="463">
        <v>40206.0</v>
      </c>
      <c r="B62" s="492">
        <f t="shared" ref="B62:I62" si="17">if(B36&gt;0,B36*ln(B36),0)</f>
        <v>-0.07824046011</v>
      </c>
      <c r="C62" s="492">
        <f t="shared" si="17"/>
        <v>-0.09664909155</v>
      </c>
      <c r="D62" s="492">
        <f t="shared" si="17"/>
        <v>-0.3452636208</v>
      </c>
      <c r="E62" s="492">
        <f t="shared" si="17"/>
        <v>-0.2387249677</v>
      </c>
      <c r="F62" s="492">
        <f t="shared" si="17"/>
        <v>-0.2617181999</v>
      </c>
      <c r="G62" s="492">
        <f t="shared" si="17"/>
        <v>-0.3665162927</v>
      </c>
      <c r="H62" s="492">
        <f t="shared" si="17"/>
        <v>-0.1430205068</v>
      </c>
      <c r="I62" s="492">
        <f t="shared" si="17"/>
        <v>-0.09664909155</v>
      </c>
      <c r="J62" s="380">
        <f t="shared" si="14"/>
        <v>1.626782231</v>
      </c>
      <c r="K62" s="300">
        <f t="shared" si="15"/>
        <v>5.087478023</v>
      </c>
      <c r="L62" s="182">
        <f t="shared" si="16"/>
        <v>8</v>
      </c>
      <c r="M62" s="496">
        <v>0.7638888888888888</v>
      </c>
      <c r="O62" s="182"/>
      <c r="P62" s="182"/>
      <c r="Q62" s="182"/>
      <c r="R62" s="182"/>
      <c r="S62" s="182"/>
      <c r="T62" s="182"/>
      <c r="U62" s="182"/>
      <c r="V62" s="182"/>
      <c r="W62" s="182"/>
      <c r="X62" s="182"/>
      <c r="Y62" s="182"/>
      <c r="Z62" s="182"/>
      <c r="AA62" s="182"/>
      <c r="AB62" s="182"/>
    </row>
    <row r="63">
      <c r="A63" s="463">
        <v>40243.0</v>
      </c>
      <c r="B63" s="492">
        <f t="shared" ref="B63:I63" si="18">if(B37&gt;0,B37*ln(B37),0)</f>
        <v>-0.08600430986</v>
      </c>
      <c r="C63" s="492">
        <f t="shared" si="18"/>
        <v>-0.1405019297</v>
      </c>
      <c r="D63" s="492">
        <f t="shared" si="18"/>
        <v>-0.2716950225</v>
      </c>
      <c r="E63" s="492">
        <f t="shared" si="18"/>
        <v>-0.2639621654</v>
      </c>
      <c r="F63" s="492">
        <f t="shared" si="18"/>
        <v>-0.2070755541</v>
      </c>
      <c r="G63" s="492">
        <f t="shared" si="18"/>
        <v>-0.3306195292</v>
      </c>
      <c r="H63" s="492">
        <f t="shared" si="18"/>
        <v>-0.08600430986</v>
      </c>
      <c r="I63" s="492">
        <f t="shared" si="18"/>
        <v>-0.0634796173</v>
      </c>
      <c r="J63" s="380">
        <f t="shared" si="14"/>
        <v>1.449342438</v>
      </c>
      <c r="K63" s="300">
        <f t="shared" si="15"/>
        <v>4.260312174</v>
      </c>
      <c r="L63" s="182">
        <f t="shared" si="16"/>
        <v>8</v>
      </c>
      <c r="M63" s="496">
        <v>0.7540983606557377</v>
      </c>
      <c r="O63" s="182"/>
      <c r="P63" s="182"/>
      <c r="Q63" s="182"/>
      <c r="R63" s="182"/>
      <c r="S63" s="182"/>
      <c r="T63" s="182"/>
      <c r="U63" s="182"/>
      <c r="V63" s="182"/>
      <c r="W63" s="182"/>
      <c r="X63" s="182"/>
      <c r="Y63" s="182"/>
      <c r="Z63" s="182"/>
      <c r="AA63" s="182"/>
      <c r="AB63" s="182"/>
    </row>
    <row r="64">
      <c r="A64" s="463">
        <v>40319.0</v>
      </c>
      <c r="B64" s="492">
        <f t="shared" ref="B64:I64" si="19">if(B38&gt;0,B38*ln(B38),0)</f>
        <v>0</v>
      </c>
      <c r="C64" s="492">
        <f t="shared" si="19"/>
        <v>0</v>
      </c>
      <c r="D64" s="492">
        <f t="shared" si="19"/>
        <v>-0.1510457464</v>
      </c>
      <c r="E64" s="492">
        <f t="shared" si="19"/>
        <v>-0.3427236531</v>
      </c>
      <c r="F64" s="492">
        <f t="shared" si="19"/>
        <v>-0.05530946649</v>
      </c>
      <c r="G64" s="492">
        <f t="shared" si="19"/>
        <v>-0.3089507821</v>
      </c>
      <c r="H64" s="492">
        <f t="shared" si="19"/>
        <v>-0.2147438471</v>
      </c>
      <c r="I64" s="492">
        <f t="shared" si="19"/>
        <v>-0.05530946649</v>
      </c>
      <c r="J64" s="380">
        <f t="shared" si="14"/>
        <v>1.128082962</v>
      </c>
      <c r="K64" s="300">
        <f t="shared" si="15"/>
        <v>3.089727693</v>
      </c>
      <c r="L64" s="182">
        <f t="shared" si="16"/>
        <v>6</v>
      </c>
      <c r="M64" s="496">
        <v>0.375</v>
      </c>
      <c r="O64" s="182"/>
      <c r="P64" s="182"/>
      <c r="Q64" s="182"/>
      <c r="R64" s="182"/>
      <c r="S64" s="182"/>
      <c r="T64" s="182"/>
      <c r="U64" s="182"/>
      <c r="V64" s="182"/>
      <c r="W64" s="182"/>
      <c r="X64" s="182"/>
      <c r="Y64" s="182"/>
      <c r="Z64" s="182"/>
      <c r="AA64" s="182"/>
      <c r="AB64" s="182"/>
    </row>
    <row r="65">
      <c r="A65" s="463">
        <v>40373.0</v>
      </c>
      <c r="B65" s="492">
        <f t="shared" ref="B65:I65" si="20">if(B39&gt;0,B39*ln(B39),0)</f>
        <v>-0.0446576048</v>
      </c>
      <c r="C65" s="492">
        <f t="shared" si="20"/>
        <v>-0.0446576048</v>
      </c>
      <c r="D65" s="492">
        <f t="shared" si="20"/>
        <v>-0.2117740086</v>
      </c>
      <c r="E65" s="492">
        <f t="shared" si="20"/>
        <v>-0.2376101143</v>
      </c>
      <c r="F65" s="492">
        <f t="shared" si="20"/>
        <v>-0.2491712595</v>
      </c>
      <c r="G65" s="492">
        <f t="shared" si="20"/>
        <v>-0.2987740405</v>
      </c>
      <c r="H65" s="492">
        <f t="shared" si="20"/>
        <v>-0.1459112013</v>
      </c>
      <c r="I65" s="492">
        <f t="shared" si="20"/>
        <v>-0.0446576048</v>
      </c>
      <c r="J65" s="380">
        <f t="shared" si="14"/>
        <v>1.277213439</v>
      </c>
      <c r="K65" s="300">
        <f t="shared" si="15"/>
        <v>3.586631419</v>
      </c>
      <c r="L65" s="182">
        <f t="shared" si="16"/>
        <v>8</v>
      </c>
      <c r="M65" s="496">
        <v>0.625</v>
      </c>
      <c r="O65" s="182"/>
      <c r="P65" s="182"/>
      <c r="Q65" s="182"/>
      <c r="R65" s="182"/>
      <c r="S65" s="182"/>
      <c r="T65" s="182"/>
      <c r="U65" s="182"/>
      <c r="V65" s="182"/>
      <c r="W65" s="182"/>
      <c r="X65" s="182"/>
      <c r="Y65" s="182"/>
      <c r="Z65" s="182"/>
      <c r="AA65" s="182"/>
      <c r="AB65" s="182"/>
    </row>
    <row r="66">
      <c r="A66" s="463">
        <v>40444.0</v>
      </c>
      <c r="B66" s="492">
        <f t="shared" ref="B66:I66" si="21">if(B40&gt;0,B40*ln(B40),0)</f>
        <v>0</v>
      </c>
      <c r="C66" s="492">
        <f t="shared" si="21"/>
        <v>0</v>
      </c>
      <c r="D66" s="492">
        <f t="shared" si="21"/>
        <v>-0.1794594586</v>
      </c>
      <c r="E66" s="492">
        <f t="shared" si="21"/>
        <v>-0.123665839</v>
      </c>
      <c r="F66" s="492">
        <f t="shared" si="21"/>
        <v>-0.3632900054</v>
      </c>
      <c r="G66" s="492">
        <f t="shared" si="21"/>
        <v>-0.3435903072</v>
      </c>
      <c r="H66" s="492">
        <f t="shared" si="21"/>
        <v>-0.1950186832</v>
      </c>
      <c r="I66" s="492">
        <f t="shared" si="21"/>
        <v>0</v>
      </c>
      <c r="J66" s="380">
        <f t="shared" si="14"/>
        <v>1.205024294</v>
      </c>
      <c r="K66" s="300">
        <f t="shared" si="15"/>
        <v>3.336840141</v>
      </c>
      <c r="L66" s="182">
        <f t="shared" si="16"/>
        <v>5</v>
      </c>
      <c r="M66" s="496">
        <v>0.5362318840579711</v>
      </c>
      <c r="O66" s="182"/>
      <c r="P66" s="182"/>
      <c r="Q66" s="182"/>
      <c r="R66" s="182"/>
      <c r="S66" s="182"/>
      <c r="T66" s="182"/>
      <c r="U66" s="182"/>
      <c r="V66" s="182"/>
      <c r="W66" s="182"/>
      <c r="X66" s="182"/>
      <c r="Y66" s="182"/>
      <c r="Z66" s="182"/>
      <c r="AA66" s="182"/>
      <c r="AB66" s="182"/>
    </row>
    <row r="67">
      <c r="A67" s="463">
        <v>40487.0</v>
      </c>
      <c r="B67" s="492">
        <f t="shared" ref="B67:I67" si="22">if(B41&gt;0,B41*ln(B41),0)</f>
        <v>-0.05133227723</v>
      </c>
      <c r="C67" s="492">
        <f t="shared" si="22"/>
        <v>-0.1161136493</v>
      </c>
      <c r="D67" s="492">
        <f t="shared" si="22"/>
        <v>-0.1844240448</v>
      </c>
      <c r="E67" s="492">
        <f t="shared" si="22"/>
        <v>-0.1641649544</v>
      </c>
      <c r="F67" s="492">
        <f t="shared" si="22"/>
        <v>-0.2346914008</v>
      </c>
      <c r="G67" s="492">
        <f t="shared" si="22"/>
        <v>-0.2770441436</v>
      </c>
      <c r="H67" s="492">
        <f t="shared" si="22"/>
        <v>-0.1844240448</v>
      </c>
      <c r="I67" s="492">
        <f t="shared" si="22"/>
        <v>0</v>
      </c>
      <c r="J67" s="380">
        <f t="shared" si="14"/>
        <v>1.212194515</v>
      </c>
      <c r="K67" s="300">
        <f t="shared" si="15"/>
        <v>3.360852006</v>
      </c>
      <c r="L67" s="182">
        <f t="shared" si="16"/>
        <v>7</v>
      </c>
      <c r="M67" s="496">
        <v>0.40298507462686567</v>
      </c>
      <c r="O67" s="182"/>
      <c r="P67" s="182"/>
      <c r="Q67" s="182"/>
      <c r="R67" s="182"/>
      <c r="S67" s="182"/>
      <c r="T67" s="182"/>
      <c r="U67" s="182"/>
      <c r="V67" s="182"/>
      <c r="W67" s="182"/>
      <c r="X67" s="182"/>
      <c r="Y67" s="182"/>
      <c r="Z67" s="182"/>
      <c r="AA67" s="182"/>
      <c r="AB67" s="182"/>
    </row>
    <row r="68">
      <c r="A68" s="463">
        <v>40606.0</v>
      </c>
      <c r="B68" s="492">
        <f t="shared" ref="B68:I68" si="23">if(B42&gt;0,B42*ln(B42),0)</f>
        <v>0</v>
      </c>
      <c r="C68" s="492">
        <f t="shared" si="23"/>
        <v>0</v>
      </c>
      <c r="D68" s="492">
        <f t="shared" si="23"/>
        <v>-0.3300953659</v>
      </c>
      <c r="E68" s="492">
        <f t="shared" si="23"/>
        <v>-0.2779871642</v>
      </c>
      <c r="F68" s="492">
        <f t="shared" si="23"/>
        <v>0</v>
      </c>
      <c r="G68" s="492">
        <f t="shared" si="23"/>
        <v>-0.3631276545</v>
      </c>
      <c r="H68" s="492">
        <f t="shared" si="23"/>
        <v>-0.3300953659</v>
      </c>
      <c r="I68" s="492">
        <f t="shared" si="23"/>
        <v>0</v>
      </c>
      <c r="J68" s="380">
        <f t="shared" si="14"/>
        <v>1.30130555</v>
      </c>
      <c r="K68" s="300">
        <f t="shared" si="15"/>
        <v>3.674090248</v>
      </c>
      <c r="L68" s="182">
        <f t="shared" si="16"/>
        <v>4</v>
      </c>
      <c r="M68" s="496">
        <v>0.05172413793103448</v>
      </c>
      <c r="O68" s="182"/>
      <c r="P68" s="182"/>
      <c r="Q68" s="182"/>
      <c r="R68" s="182"/>
      <c r="S68" s="182"/>
      <c r="T68" s="182"/>
      <c r="U68" s="182"/>
      <c r="V68" s="182"/>
      <c r="W68" s="182"/>
      <c r="X68" s="182"/>
      <c r="Y68" s="182"/>
      <c r="Z68" s="182"/>
      <c r="AA68" s="182"/>
      <c r="AB68" s="182"/>
    </row>
    <row r="69">
      <c r="A69" s="463">
        <v>40737.0</v>
      </c>
      <c r="B69" s="492">
        <f t="shared" ref="B69:I69" si="24">if(B43&gt;0,B43*ln(B43),0)</f>
        <v>-0.2828951859</v>
      </c>
      <c r="C69" s="492">
        <f t="shared" si="24"/>
        <v>0</v>
      </c>
      <c r="D69" s="492">
        <f t="shared" si="24"/>
        <v>-0.1927918286</v>
      </c>
      <c r="E69" s="492">
        <f t="shared" si="24"/>
        <v>-0.2828951859</v>
      </c>
      <c r="F69" s="492">
        <f t="shared" si="24"/>
        <v>-0.1927918286</v>
      </c>
      <c r="G69" s="492">
        <f t="shared" si="24"/>
        <v>-0.3405523522</v>
      </c>
      <c r="H69" s="492">
        <f t="shared" si="24"/>
        <v>-0.1220680321</v>
      </c>
      <c r="I69" s="492">
        <f t="shared" si="24"/>
        <v>0</v>
      </c>
      <c r="J69" s="380">
        <f t="shared" si="14"/>
        <v>1.413994413</v>
      </c>
      <c r="K69" s="300">
        <f t="shared" si="15"/>
        <v>4.112349062</v>
      </c>
      <c r="L69" s="182">
        <f t="shared" si="16"/>
        <v>6</v>
      </c>
      <c r="M69" s="496">
        <v>0.14814814814814814</v>
      </c>
      <c r="O69" s="182"/>
      <c r="P69" s="182"/>
      <c r="Q69" s="182"/>
      <c r="R69" s="182"/>
      <c r="S69" s="182"/>
      <c r="T69" s="182"/>
      <c r="U69" s="182"/>
      <c r="V69" s="182"/>
      <c r="W69" s="182"/>
      <c r="X69" s="182"/>
      <c r="Y69" s="182"/>
      <c r="Z69" s="182"/>
      <c r="AA69" s="182"/>
      <c r="AB69" s="182"/>
    </row>
    <row r="70">
      <c r="A70" s="463">
        <v>40925.0</v>
      </c>
      <c r="B70" s="492">
        <f t="shared" ref="B70:I70" si="25">if(B44&gt;0,B44*ln(B44),0)</f>
        <v>-0.2932130342</v>
      </c>
      <c r="C70" s="492">
        <f t="shared" si="25"/>
        <v>-0.3086637171</v>
      </c>
      <c r="D70" s="492">
        <f t="shared" si="25"/>
        <v>-0.3218875825</v>
      </c>
      <c r="E70" s="492">
        <f t="shared" si="25"/>
        <v>-0.128755033</v>
      </c>
      <c r="F70" s="492">
        <f t="shared" si="25"/>
        <v>-0.3611918413</v>
      </c>
      <c r="G70" s="492">
        <f t="shared" si="25"/>
        <v>-0.2544316243</v>
      </c>
      <c r="H70" s="492">
        <f t="shared" si="25"/>
        <v>0</v>
      </c>
      <c r="I70" s="492">
        <f t="shared" si="25"/>
        <v>0</v>
      </c>
      <c r="J70" s="380">
        <f t="shared" si="14"/>
        <v>1.668142832</v>
      </c>
      <c r="K70" s="300">
        <f t="shared" si="15"/>
        <v>5.302311367</v>
      </c>
      <c r="L70" s="182">
        <f t="shared" si="16"/>
        <v>6</v>
      </c>
      <c r="M70" s="496">
        <v>0.1625</v>
      </c>
      <c r="N70">
        <f>correl(K70:K73,M70:M73)</f>
        <v>-0.9934500474</v>
      </c>
      <c r="O70" s="182"/>
      <c r="P70" s="182"/>
      <c r="Q70" s="182"/>
      <c r="R70" s="182"/>
      <c r="S70" s="182"/>
      <c r="T70" s="182"/>
      <c r="U70" s="182"/>
      <c r="V70" s="182"/>
      <c r="W70" s="182"/>
      <c r="X70" s="182"/>
      <c r="Y70" s="182"/>
      <c r="Z70" s="182"/>
      <c r="AA70" s="182"/>
      <c r="AB70" s="182"/>
    </row>
    <row r="71">
      <c r="A71" s="463">
        <v>40939.0</v>
      </c>
      <c r="B71" s="492">
        <f t="shared" ref="B71:I71" si="26">if(B45&gt;0,B45*ln(B45),0)</f>
        <v>-0.3236331659</v>
      </c>
      <c r="C71" s="492">
        <f t="shared" si="26"/>
        <v>-0.2799306394</v>
      </c>
      <c r="D71" s="492">
        <f t="shared" si="26"/>
        <v>-0.2656802514</v>
      </c>
      <c r="E71" s="492">
        <f t="shared" si="26"/>
        <v>0</v>
      </c>
      <c r="F71" s="492">
        <f t="shared" si="26"/>
        <v>-0.3551258403</v>
      </c>
      <c r="G71" s="492">
        <f t="shared" si="26"/>
        <v>-0.3451475903</v>
      </c>
      <c r="H71" s="492">
        <f t="shared" si="26"/>
        <v>0</v>
      </c>
      <c r="I71" s="492">
        <f t="shared" si="26"/>
        <v>0</v>
      </c>
      <c r="J71" s="380">
        <f t="shared" si="14"/>
        <v>1.569517487</v>
      </c>
      <c r="K71" s="300">
        <f t="shared" si="15"/>
        <v>4.804329484</v>
      </c>
      <c r="L71" s="182">
        <f t="shared" si="16"/>
        <v>5</v>
      </c>
      <c r="M71" s="496">
        <v>0.2926829268292683</v>
      </c>
      <c r="O71" s="182"/>
      <c r="P71" s="182"/>
      <c r="Q71" s="182"/>
      <c r="R71" s="182"/>
      <c r="S71" s="182"/>
      <c r="T71" s="182"/>
      <c r="U71" s="182"/>
      <c r="V71" s="182"/>
      <c r="W71" s="182"/>
      <c r="X71" s="182"/>
      <c r="Y71" s="182"/>
      <c r="Z71" s="182"/>
      <c r="AA71" s="182"/>
      <c r="AB71" s="182"/>
    </row>
    <row r="72">
      <c r="A72" s="463">
        <v>40953.0</v>
      </c>
      <c r="B72" s="492">
        <f t="shared" ref="B72:I72" si="27">if(B46&gt;0,B46*ln(B46),0)</f>
        <v>-0.2859196438</v>
      </c>
      <c r="C72" s="492">
        <f t="shared" si="27"/>
        <v>-0.1699006291</v>
      </c>
      <c r="D72" s="492">
        <f t="shared" si="27"/>
        <v>-0.1954709719</v>
      </c>
      <c r="E72" s="492">
        <f t="shared" si="27"/>
        <v>-0.2179904793</v>
      </c>
      <c r="F72" s="492">
        <f t="shared" si="27"/>
        <v>-0.3669774743</v>
      </c>
      <c r="G72" s="492">
        <f t="shared" si="27"/>
        <v>-0.3367283048</v>
      </c>
      <c r="H72" s="492">
        <f t="shared" si="27"/>
        <v>0</v>
      </c>
      <c r="I72" s="492">
        <f t="shared" si="27"/>
        <v>0</v>
      </c>
      <c r="J72" s="380">
        <f t="shared" si="14"/>
        <v>1.572987503</v>
      </c>
      <c r="K72" s="300">
        <f t="shared" si="15"/>
        <v>4.821029543</v>
      </c>
      <c r="L72" s="182">
        <f t="shared" si="16"/>
        <v>6</v>
      </c>
      <c r="M72" s="496">
        <v>0.25882352941176473</v>
      </c>
      <c r="O72" s="182"/>
      <c r="P72" s="182"/>
      <c r="Q72" s="182"/>
      <c r="R72" s="182"/>
      <c r="S72" s="182"/>
      <c r="T72" s="182"/>
      <c r="U72" s="182"/>
      <c r="V72" s="182"/>
      <c r="W72" s="182"/>
      <c r="X72" s="182"/>
      <c r="Y72" s="182"/>
      <c r="Z72" s="182"/>
      <c r="AA72" s="182"/>
      <c r="AB72" s="182"/>
    </row>
    <row r="73">
      <c r="A73" s="463">
        <v>40983.0</v>
      </c>
      <c r="B73" s="492">
        <f t="shared" ref="B73:I73" si="28">if(B47&gt;0,B47*ln(B47),0)</f>
        <v>-0.07766283834</v>
      </c>
      <c r="C73" s="492">
        <f t="shared" si="28"/>
        <v>-0.2414799771</v>
      </c>
      <c r="D73" s="492">
        <f t="shared" si="28"/>
        <v>-0.3582862962</v>
      </c>
      <c r="E73" s="492">
        <f t="shared" si="28"/>
        <v>0</v>
      </c>
      <c r="F73" s="492">
        <f t="shared" si="28"/>
        <v>-0.3674336233</v>
      </c>
      <c r="G73" s="492">
        <f t="shared" si="28"/>
        <v>-0.3142866259</v>
      </c>
      <c r="H73" s="492">
        <f t="shared" si="28"/>
        <v>-0.04569426254</v>
      </c>
      <c r="I73" s="492">
        <f t="shared" si="28"/>
        <v>0</v>
      </c>
      <c r="J73" s="380">
        <f t="shared" si="14"/>
        <v>1.404843623</v>
      </c>
      <c r="K73" s="300">
        <f t="shared" si="15"/>
        <v>4.074889474</v>
      </c>
      <c r="L73" s="182">
        <f t="shared" si="16"/>
        <v>6</v>
      </c>
      <c r="M73" s="496">
        <v>0.43209876543209874</v>
      </c>
      <c r="O73" s="182"/>
      <c r="P73" s="182"/>
      <c r="Q73" s="182"/>
      <c r="R73" s="182"/>
      <c r="S73" s="182"/>
      <c r="T73" s="182"/>
      <c r="U73" s="182"/>
      <c r="V73" s="182"/>
      <c r="W73" s="182"/>
      <c r="X73" s="182"/>
      <c r="Y73" s="182"/>
      <c r="Z73" s="182"/>
      <c r="AA73" s="182"/>
      <c r="AB73" s="182"/>
    </row>
    <row r="74">
      <c r="A74" s="235"/>
      <c r="B74" s="492"/>
      <c r="C74" s="492"/>
      <c r="D74" s="492"/>
      <c r="E74" s="492"/>
      <c r="F74" s="492"/>
      <c r="G74" s="492"/>
      <c r="H74" s="492"/>
      <c r="I74" s="492"/>
      <c r="J74" s="493"/>
      <c r="K74" s="493"/>
      <c r="L74" s="493"/>
      <c r="M74" s="493"/>
      <c r="N74" s="182"/>
      <c r="O74" s="182"/>
      <c r="P74" s="182"/>
      <c r="Q74" s="182"/>
      <c r="R74" s="182"/>
      <c r="S74" s="182"/>
      <c r="T74" s="182"/>
      <c r="U74" s="182"/>
      <c r="V74" s="182"/>
      <c r="W74" s="182"/>
      <c r="X74" s="182"/>
      <c r="Y74" s="182"/>
      <c r="Z74" s="182"/>
      <c r="AA74" s="182"/>
      <c r="AB74" s="182"/>
    </row>
    <row r="75">
      <c r="A75" s="235" t="s">
        <v>1529</v>
      </c>
      <c r="B75" s="492">
        <f t="shared" ref="B75:I75" si="29">if(B51&gt;0,B51*ln(B51),0)</f>
        <v>0</v>
      </c>
      <c r="C75" s="492">
        <f t="shared" si="29"/>
        <v>-0.1465413918</v>
      </c>
      <c r="D75" s="492">
        <f t="shared" si="29"/>
        <v>-0.1768283886</v>
      </c>
      <c r="E75" s="492">
        <f t="shared" si="29"/>
        <v>0</v>
      </c>
      <c r="F75" s="492">
        <f t="shared" si="29"/>
        <v>-0.3624389147</v>
      </c>
      <c r="G75" s="492">
        <f t="shared" si="29"/>
        <v>-0.322782602</v>
      </c>
      <c r="H75" s="492">
        <f t="shared" si="29"/>
        <v>0</v>
      </c>
      <c r="I75" s="492">
        <f t="shared" si="29"/>
        <v>-0.06656668363</v>
      </c>
      <c r="J75" s="380">
        <f t="shared" ref="J75:J77" si="31">-sum(B75:I75)</f>
        <v>1.075157981</v>
      </c>
      <c r="K75" s="300">
        <f t="shared" ref="K75:K77" si="32">exp(J75)</f>
        <v>2.93045582</v>
      </c>
      <c r="L75" s="182">
        <f t="shared" ref="L75:L77" si="33">countif(B75:I75,"&lt;0")</f>
        <v>5</v>
      </c>
      <c r="M75" s="493"/>
      <c r="N75" s="182"/>
      <c r="O75" s="182"/>
      <c r="P75" s="182"/>
      <c r="Q75" s="182"/>
      <c r="R75" s="182"/>
      <c r="S75" s="182"/>
      <c r="T75" s="182"/>
      <c r="U75" s="182"/>
      <c r="V75" s="182"/>
      <c r="W75" s="182"/>
      <c r="X75" s="182"/>
      <c r="Y75" s="182"/>
      <c r="Z75" s="182"/>
      <c r="AA75" s="182"/>
      <c r="AB75" s="182"/>
    </row>
    <row r="76">
      <c r="A76" s="235" t="s">
        <v>1540</v>
      </c>
      <c r="B76" s="492">
        <f t="shared" ref="B76:I76" si="30">if(B56&gt;0,B56*ln(B56),0)</f>
        <v>0</v>
      </c>
      <c r="C76" s="492">
        <f t="shared" si="30"/>
        <v>-0.09954219273</v>
      </c>
      <c r="D76" s="492">
        <f t="shared" si="30"/>
        <v>-0.2741779203</v>
      </c>
      <c r="E76" s="492">
        <f t="shared" si="30"/>
        <v>-0.2070755541</v>
      </c>
      <c r="F76" s="492">
        <f t="shared" si="30"/>
        <v>-0.3678167931</v>
      </c>
      <c r="G76" s="492">
        <f t="shared" si="30"/>
        <v>-0.3672906257</v>
      </c>
      <c r="H76" s="492">
        <f t="shared" si="30"/>
        <v>0</v>
      </c>
      <c r="I76" s="492">
        <f t="shared" si="30"/>
        <v>0</v>
      </c>
      <c r="J76" s="380">
        <f t="shared" si="31"/>
        <v>1.315903086</v>
      </c>
      <c r="K76" s="300">
        <f t="shared" si="32"/>
        <v>3.728116275</v>
      </c>
      <c r="L76" s="182">
        <f t="shared" si="33"/>
        <v>5</v>
      </c>
      <c r="M76" s="493"/>
      <c r="N76" s="182"/>
      <c r="O76" s="182"/>
      <c r="P76" s="182"/>
      <c r="Q76" s="182"/>
      <c r="R76" s="182"/>
      <c r="S76" s="182"/>
      <c r="T76" s="182"/>
      <c r="U76" s="182"/>
      <c r="V76" s="182"/>
      <c r="W76" s="182"/>
      <c r="X76" s="182"/>
      <c r="Y76" s="182"/>
      <c r="Z76" s="182"/>
      <c r="AA76" s="182"/>
      <c r="AB76" s="182"/>
    </row>
    <row r="77">
      <c r="A77" s="235" t="s">
        <v>1535</v>
      </c>
      <c r="B77" s="492">
        <f t="shared" ref="B77:I77" si="34">if(B57&gt;0,B57*ln(B57),0)</f>
        <v>-0.04097922579</v>
      </c>
      <c r="C77" s="492">
        <f t="shared" si="34"/>
        <v>-0.1694289681</v>
      </c>
      <c r="D77" s="492">
        <f t="shared" si="34"/>
        <v>-0.3094001967</v>
      </c>
      <c r="E77" s="492">
        <f t="shared" si="34"/>
        <v>-0.1983387114</v>
      </c>
      <c r="F77" s="492">
        <f t="shared" si="34"/>
        <v>-0.3307574065</v>
      </c>
      <c r="G77" s="492">
        <f t="shared" si="34"/>
        <v>-0.3678333108</v>
      </c>
      <c r="H77" s="492">
        <f t="shared" si="34"/>
        <v>-0.1355238051</v>
      </c>
      <c r="I77" s="492">
        <f t="shared" si="34"/>
        <v>-0.1531981408</v>
      </c>
      <c r="J77" s="380">
        <f t="shared" si="31"/>
        <v>1.705459765</v>
      </c>
      <c r="K77" s="300">
        <f t="shared" si="32"/>
        <v>5.503915595</v>
      </c>
      <c r="L77" s="182">
        <f t="shared" si="33"/>
        <v>8</v>
      </c>
      <c r="M77" s="493"/>
      <c r="N77" s="182"/>
      <c r="O77" s="182"/>
      <c r="P77" s="182"/>
      <c r="Q77" s="182"/>
      <c r="R77" s="182"/>
      <c r="S77" s="182"/>
      <c r="T77" s="182"/>
      <c r="U77" s="182"/>
      <c r="V77" s="182"/>
      <c r="W77" s="182"/>
      <c r="X77" s="182"/>
      <c r="Y77" s="182"/>
      <c r="Z77" s="182"/>
      <c r="AA77" s="182"/>
      <c r="AB77" s="182"/>
    </row>
    <row r="78">
      <c r="A78" s="497"/>
      <c r="B78" s="493"/>
      <c r="C78" s="493"/>
      <c r="D78" s="493"/>
      <c r="E78" s="493"/>
      <c r="F78" s="493"/>
      <c r="G78" s="493"/>
      <c r="H78" s="493"/>
      <c r="I78" s="493"/>
      <c r="J78" s="493"/>
      <c r="K78" s="493"/>
      <c r="L78" s="493"/>
      <c r="M78" s="493"/>
      <c r="N78" s="182"/>
      <c r="O78" s="182"/>
      <c r="P78" s="182"/>
      <c r="Q78" s="182"/>
      <c r="R78" s="182"/>
      <c r="S78" s="182"/>
      <c r="T78" s="182"/>
      <c r="U78" s="182"/>
      <c r="V78" s="182"/>
      <c r="W78" s="182"/>
      <c r="X78" s="182"/>
      <c r="Y78" s="182"/>
      <c r="Z78" s="182"/>
      <c r="AA78" s="182"/>
      <c r="AB78" s="182"/>
    </row>
    <row r="79">
      <c r="A79" s="310" t="s">
        <v>1462</v>
      </c>
      <c r="B79" s="412" t="s">
        <v>389</v>
      </c>
      <c r="C79" s="419" t="s">
        <v>420</v>
      </c>
      <c r="D79" s="426" t="s">
        <v>358</v>
      </c>
      <c r="E79" s="433" t="s">
        <v>363</v>
      </c>
      <c r="F79" s="440" t="s">
        <v>413</v>
      </c>
      <c r="G79" s="447" t="s">
        <v>357</v>
      </c>
      <c r="H79" s="489" t="s">
        <v>380</v>
      </c>
      <c r="I79" s="490" t="s">
        <v>387</v>
      </c>
      <c r="J79" s="498" t="s">
        <v>1507</v>
      </c>
      <c r="K79" s="498" t="s">
        <v>1541</v>
      </c>
      <c r="L79" s="493"/>
      <c r="M79" s="493"/>
      <c r="N79" s="182"/>
      <c r="O79" s="182"/>
      <c r="P79" s="182"/>
      <c r="Q79" s="182"/>
      <c r="R79" s="182"/>
      <c r="S79" s="182"/>
      <c r="T79" s="182"/>
      <c r="U79" s="182"/>
      <c r="V79" s="182"/>
      <c r="W79" s="182"/>
      <c r="X79" s="182"/>
      <c r="Y79" s="182"/>
      <c r="Z79" s="182"/>
      <c r="AA79" s="182"/>
      <c r="AB79" s="182"/>
    </row>
    <row r="80">
      <c r="A80" s="463">
        <v>40022.0</v>
      </c>
      <c r="B80" s="380">
        <f>'07-28-09'!AJ14/'07-28-09'!$AE$18</f>
        <v>0</v>
      </c>
      <c r="C80" s="380">
        <f>'07-28-09'!AK14/'07-28-09'!$AE$18</f>
        <v>0</v>
      </c>
      <c r="D80" s="380">
        <f>'07-28-09'!AL14/'07-28-09'!$AE$18</f>
        <v>0.9166666667</v>
      </c>
      <c r="E80" s="380">
        <f>'07-28-09'!AM14/'07-28-09'!$AE$18</f>
        <v>0.3333333333</v>
      </c>
      <c r="F80" s="380">
        <f>'07-28-09'!AN14/'07-28-09'!$AE$18</f>
        <v>0.08333333333</v>
      </c>
      <c r="G80" s="380">
        <f>'07-28-09'!AO14/'07-28-09'!$AE$18</f>
        <v>0.25</v>
      </c>
      <c r="H80" s="380">
        <f>'07-28-09'!AP14/'07-28-09'!$AE$18</f>
        <v>0</v>
      </c>
      <c r="I80" s="380">
        <f>'07-28-09'!AQ14/'07-28-09'!$AE$18</f>
        <v>0</v>
      </c>
      <c r="J80" s="380">
        <f>'07-28-09'!AR14/'07-28-09'!$AE$18</f>
        <v>1.583333333</v>
      </c>
      <c r="K80" s="379">
        <f>'07-28-09'!AE18</f>
        <v>12</v>
      </c>
      <c r="L80" s="493"/>
      <c r="M80" s="493"/>
      <c r="N80" s="182"/>
      <c r="O80" s="182"/>
      <c r="P80" s="182"/>
      <c r="Q80" s="182"/>
      <c r="R80" s="182"/>
      <c r="S80" s="182"/>
      <c r="T80" s="182"/>
      <c r="U80" s="182"/>
      <c r="V80" s="182"/>
      <c r="W80" s="182"/>
      <c r="X80" s="182"/>
      <c r="Y80" s="182"/>
      <c r="Z80" s="182"/>
      <c r="AA80" s="182"/>
      <c r="AB80" s="182"/>
    </row>
    <row r="81">
      <c r="A81" s="463">
        <v>40122.0</v>
      </c>
      <c r="B81" s="380">
        <f>'11-05-09'!AI24/'11-05-09'!$AD$28</f>
        <v>0</v>
      </c>
      <c r="C81" s="380">
        <f>'11-05-09'!AJ24/'11-05-09'!$AD$28</f>
        <v>0</v>
      </c>
      <c r="D81" s="380">
        <f>'11-05-09'!AK24/'11-05-09'!$AD$28</f>
        <v>0.3181818182</v>
      </c>
      <c r="E81" s="380">
        <f>'11-05-09'!AL24/'11-05-09'!$AD$28</f>
        <v>0.2727272727</v>
      </c>
      <c r="F81" s="380">
        <f>'11-05-09'!AM24/'11-05-09'!$AD$28</f>
        <v>0.2272727273</v>
      </c>
      <c r="G81" s="380">
        <f>'11-05-09'!AN24/'11-05-09'!$AD$28</f>
        <v>0.1818181818</v>
      </c>
      <c r="H81" s="380">
        <f>'11-05-09'!AO24/'11-05-09'!$AD$28</f>
        <v>0.2272727273</v>
      </c>
      <c r="I81" s="380">
        <f>'11-05-09'!AP24/'11-05-09'!$AD$28</f>
        <v>0</v>
      </c>
      <c r="J81" s="380">
        <f>'11-05-09'!AQ24/'11-05-09'!$AD$28</f>
        <v>1.227272727</v>
      </c>
      <c r="K81" s="379">
        <f>'11-05-09'!AD28</f>
        <v>22</v>
      </c>
      <c r="L81" s="493"/>
      <c r="M81" s="493"/>
      <c r="N81" s="182"/>
      <c r="O81" s="182"/>
      <c r="P81" s="182"/>
      <c r="Q81" s="182"/>
      <c r="R81" s="182"/>
      <c r="S81" s="182"/>
      <c r="T81" s="182"/>
      <c r="U81" s="182"/>
      <c r="V81" s="182"/>
      <c r="W81" s="182"/>
      <c r="X81" s="182"/>
      <c r="Y81" s="182"/>
      <c r="Z81" s="182"/>
      <c r="AA81" s="182"/>
      <c r="AB81" s="182"/>
    </row>
    <row r="82">
      <c r="A82" s="463">
        <v>40206.0</v>
      </c>
      <c r="B82" s="380">
        <f>'01-28-10'!AK75/'01-28-10'!$AF$79</f>
        <v>0.04109589041</v>
      </c>
      <c r="C82" s="380">
        <f>'01-28-10'!AL75/'01-28-10'!$AF$79</f>
        <v>0.05479452055</v>
      </c>
      <c r="D82" s="380">
        <f>'01-28-10'!AM75/'01-28-10'!$AF$79</f>
        <v>0.5068493151</v>
      </c>
      <c r="E82" s="380">
        <f>'01-28-10'!AN75/'01-28-10'!$AF$79</f>
        <v>0.2191780822</v>
      </c>
      <c r="F82" s="380">
        <f>'01-28-10'!AO75/'01-28-10'!$AF$79</f>
        <v>0.2602739726</v>
      </c>
      <c r="G82" s="380">
        <f>'01-28-10'!AP75/'01-28-10'!$AF$79</f>
        <v>0.8219178082</v>
      </c>
      <c r="H82" s="380">
        <f>'01-28-10'!AQ75/'01-28-10'!$AF$79</f>
        <v>0.09589041096</v>
      </c>
      <c r="I82" s="380">
        <f>'01-28-10'!AR75/'01-28-10'!$AF$79</f>
        <v>0.05479452055</v>
      </c>
      <c r="J82" s="380">
        <f>'01-28-10'!AS75/'01-28-10'!$AF$79</f>
        <v>2.054794521</v>
      </c>
      <c r="K82" s="379">
        <f>'01-28-10'!AF79</f>
        <v>73</v>
      </c>
      <c r="L82" s="493"/>
      <c r="M82" s="493"/>
      <c r="N82" s="182"/>
      <c r="O82" s="182"/>
      <c r="P82" s="182"/>
      <c r="Q82" s="182"/>
      <c r="R82" s="182"/>
      <c r="S82" s="182"/>
      <c r="T82" s="182"/>
      <c r="U82" s="182"/>
      <c r="V82" s="182"/>
      <c r="W82" s="182"/>
      <c r="X82" s="182"/>
      <c r="Y82" s="182"/>
      <c r="Z82" s="182"/>
      <c r="AA82" s="182"/>
      <c r="AB82" s="182"/>
    </row>
    <row r="83">
      <c r="A83" s="463">
        <v>40243.0</v>
      </c>
      <c r="B83" s="380">
        <f>'03-06-10'!AN63/'03-06-10'!$AI$67</f>
        <v>0.04918032787</v>
      </c>
      <c r="C83" s="380">
        <f>'03-06-10'!AO63/'03-06-10'!$AI$67</f>
        <v>0.09836065574</v>
      </c>
      <c r="D83" s="380">
        <f>'03-06-10'!AP63/'03-06-10'!$AI$67</f>
        <v>0.2950819672</v>
      </c>
      <c r="E83" s="380">
        <f>'03-06-10'!AQ63/'03-06-10'!$AI$67</f>
        <v>0.2786885246</v>
      </c>
      <c r="F83" s="380">
        <f>'03-06-10'!AR63/'03-06-10'!$AI$67</f>
        <v>0.1803278689</v>
      </c>
      <c r="G83" s="380">
        <f>'03-06-10'!AS63/'03-06-10'!$AI$67</f>
        <v>1.180327869</v>
      </c>
      <c r="H83" s="380">
        <f>'03-06-10'!AT63/'03-06-10'!$AI$67</f>
        <v>0.04918032787</v>
      </c>
      <c r="I83" s="380">
        <f>'03-06-10'!AU63/'03-06-10'!$AI$67</f>
        <v>0.03278688525</v>
      </c>
      <c r="J83" s="380">
        <f>'03-06-10'!AV63/'03-06-10'!$AI$67</f>
        <v>2.163934426</v>
      </c>
      <c r="K83" s="379">
        <f>'03-06-10'!AI67</f>
        <v>61</v>
      </c>
      <c r="L83" s="493"/>
      <c r="M83" s="493"/>
      <c r="N83" s="182"/>
      <c r="O83" s="182"/>
      <c r="P83" s="182"/>
      <c r="Q83" s="182"/>
      <c r="R83" s="182"/>
      <c r="S83" s="182"/>
      <c r="T83" s="182"/>
      <c r="U83" s="182"/>
      <c r="V83" s="182"/>
      <c r="W83" s="182"/>
      <c r="X83" s="182"/>
      <c r="Y83" s="182"/>
      <c r="Z83" s="182"/>
      <c r="AA83" s="182"/>
      <c r="AB83" s="182"/>
    </row>
    <row r="84">
      <c r="A84" s="463">
        <v>40319.0</v>
      </c>
      <c r="B84" s="380">
        <f>'05-21-10'!AO74/'05-21-10'!$AJ$78</f>
        <v>0</v>
      </c>
      <c r="C84" s="380">
        <f>'05-21-10'!AP74/'05-21-10'!$AJ$78</f>
        <v>0</v>
      </c>
      <c r="D84" s="380">
        <f>'05-21-10'!AQ74/'05-21-10'!$AJ$78</f>
        <v>0.05555555556</v>
      </c>
      <c r="E84" s="380">
        <f>'05-21-10'!AR74/'05-21-10'!$AJ$78</f>
        <v>0.2638888889</v>
      </c>
      <c r="F84" s="380">
        <f>'05-21-10'!AS74/'05-21-10'!$AJ$78</f>
        <v>0.01388888889</v>
      </c>
      <c r="G84" s="380">
        <f>'05-21-10'!AT74/'05-21-10'!$AJ$78</f>
        <v>0.6527777778</v>
      </c>
      <c r="H84" s="380">
        <f>'05-21-10'!AU74/'05-21-10'!$AJ$78</f>
        <v>0.09722222222</v>
      </c>
      <c r="I84" s="380">
        <f>'05-21-10'!AV74/'05-21-10'!$AJ$78</f>
        <v>0.01388888889</v>
      </c>
      <c r="J84" s="380">
        <f>'05-21-10'!AW74/'05-21-10'!$AJ$78</f>
        <v>1.097222222</v>
      </c>
      <c r="K84" s="379">
        <f>'05-21-10'!AJ78</f>
        <v>72</v>
      </c>
      <c r="L84" s="493"/>
      <c r="M84" s="493"/>
      <c r="N84" s="182"/>
      <c r="O84" s="182"/>
      <c r="P84" s="182"/>
      <c r="Q84" s="182"/>
      <c r="R84" s="182"/>
      <c r="S84" s="182"/>
      <c r="T84" s="182"/>
      <c r="U84" s="182"/>
      <c r="V84" s="182"/>
      <c r="W84" s="182"/>
      <c r="X84" s="182"/>
      <c r="Y84" s="182"/>
      <c r="Z84" s="182"/>
      <c r="AA84" s="182"/>
      <c r="AB84" s="182"/>
    </row>
    <row r="85">
      <c r="A85" s="463">
        <v>40373.0</v>
      </c>
      <c r="B85" s="380">
        <f>'07-14-10'!AI66/'07-14-10'!$AD$70</f>
        <v>0.01587301587</v>
      </c>
      <c r="C85" s="380">
        <f>'07-14-10'!AJ66/'07-14-10'!$AD$70</f>
        <v>0.01587301587</v>
      </c>
      <c r="D85" s="380">
        <f>'07-14-10'!AK66/'07-14-10'!$AD$70</f>
        <v>0.1428571429</v>
      </c>
      <c r="E85" s="380">
        <f>'07-14-10'!AL66/'07-14-10'!$AD$70</f>
        <v>0.1746031746</v>
      </c>
      <c r="F85" s="380">
        <f>'07-14-10'!AM66/'07-14-10'!$AD$70</f>
        <v>0.1904761905</v>
      </c>
      <c r="G85" s="380">
        <f>'07-14-10'!AN66/'07-14-10'!$AD$70</f>
        <v>1.015873016</v>
      </c>
      <c r="H85" s="380">
        <f>'07-14-10'!AO66/'07-14-10'!$AD$70</f>
        <v>0.07936507937</v>
      </c>
      <c r="I85" s="380">
        <f>'07-14-10'!AP66/'07-14-10'!$AD$70</f>
        <v>0.01587301587</v>
      </c>
      <c r="J85" s="380">
        <f>'07-14-10'!AQ66/'07-14-10'!$AD$70</f>
        <v>1.650793651</v>
      </c>
      <c r="K85" s="379">
        <f>'07-14-10'!AD70</f>
        <v>63</v>
      </c>
      <c r="L85" s="182"/>
      <c r="M85" s="182"/>
      <c r="N85" s="182"/>
      <c r="O85" s="182"/>
      <c r="P85" s="182"/>
      <c r="Q85" s="182"/>
      <c r="R85" s="182"/>
      <c r="S85" s="182"/>
      <c r="T85" s="182"/>
      <c r="U85" s="182"/>
      <c r="V85" s="182"/>
      <c r="W85" s="182"/>
      <c r="X85" s="182"/>
      <c r="Y85" s="182"/>
      <c r="Z85" s="182"/>
      <c r="AA85" s="182"/>
      <c r="AB85" s="182"/>
    </row>
    <row r="86">
      <c r="A86" s="463">
        <v>40444.0</v>
      </c>
      <c r="B86" s="380">
        <f>'09-23-10'!AI71/'09-23-10'!$AD$75</f>
        <v>0</v>
      </c>
      <c r="C86" s="380">
        <f>'09-23-10'!AJ71/'09-23-10'!$AD$75</f>
        <v>0</v>
      </c>
      <c r="D86" s="380">
        <f>'09-23-10'!AK71/'09-23-10'!$AD$75</f>
        <v>0.1014492754</v>
      </c>
      <c r="E86" s="380">
        <f>'09-23-10'!AL71/'09-23-10'!$AD$75</f>
        <v>0.05797101449</v>
      </c>
      <c r="F86" s="380">
        <f>'09-23-10'!AM71/'09-23-10'!$AD$75</f>
        <v>0.4782608696</v>
      </c>
      <c r="G86" s="380">
        <f>'09-23-10'!AN71/'09-23-10'!$AD$75</f>
        <v>0.7826086957</v>
      </c>
      <c r="H86" s="380">
        <f>'09-23-10'!AO71/'09-23-10'!$AD$75</f>
        <v>0.115942029</v>
      </c>
      <c r="I86" s="380">
        <f>'09-23-10'!AP71/'09-23-10'!$AD$75</f>
        <v>0</v>
      </c>
      <c r="J86" s="380">
        <f>'09-23-10'!AQ71/'09-23-10'!$AD$75</f>
        <v>1.536231884</v>
      </c>
      <c r="K86" s="379">
        <f>'09-23-10'!AD75</f>
        <v>69</v>
      </c>
      <c r="L86" s="182"/>
      <c r="M86" s="182"/>
      <c r="N86" s="182"/>
      <c r="O86" s="182"/>
      <c r="P86" s="182"/>
      <c r="Q86" s="182"/>
      <c r="R86" s="182"/>
      <c r="S86" s="182"/>
      <c r="T86" s="182"/>
      <c r="U86" s="182"/>
      <c r="V86" s="182"/>
      <c r="W86" s="182"/>
      <c r="X86" s="182"/>
      <c r="Y86" s="182"/>
      <c r="Z86" s="182"/>
      <c r="AA86" s="182"/>
      <c r="AB86" s="182"/>
    </row>
    <row r="87">
      <c r="A87" s="463">
        <v>40487.0</v>
      </c>
      <c r="B87" s="380">
        <f>'11-05-10'!AL69/'11-05-10'!$AG$73</f>
        <v>0.01492537313</v>
      </c>
      <c r="C87" s="380">
        <f>'11-05-10'!AM69/'11-05-10'!$AG$73</f>
        <v>0.0447761194</v>
      </c>
      <c r="D87" s="380">
        <f>'11-05-10'!AN69/'11-05-10'!$AG$73</f>
        <v>0.08955223881</v>
      </c>
      <c r="E87" s="380">
        <f>'11-05-10'!AO69/'11-05-10'!$AG$73</f>
        <v>0.07462686567</v>
      </c>
      <c r="F87" s="380">
        <f>'11-05-10'!AP69/'11-05-10'!$AG$73</f>
        <v>0.1343283582</v>
      </c>
      <c r="G87" s="380">
        <f>'11-05-10'!AQ69/'11-05-10'!$AG$73</f>
        <v>0.8507462687</v>
      </c>
      <c r="H87" s="380">
        <f>'11-05-10'!AR69/'11-05-10'!$AG$73</f>
        <v>0.08955223881</v>
      </c>
      <c r="I87" s="380">
        <f>'11-05-10'!AS69/'11-05-10'!$AG$73</f>
        <v>0</v>
      </c>
      <c r="J87" s="380">
        <f>'11-05-10'!AT69/'11-05-10'!$AG$73</f>
        <v>1.298507463</v>
      </c>
      <c r="K87" s="379">
        <f>'11-05-10'!AG73</f>
        <v>67</v>
      </c>
      <c r="L87" s="182"/>
      <c r="M87" s="182"/>
      <c r="N87" s="182"/>
      <c r="O87" s="182"/>
      <c r="P87" s="182"/>
      <c r="Q87" s="182"/>
      <c r="R87" s="182"/>
      <c r="S87" s="182"/>
      <c r="T87" s="182"/>
      <c r="U87" s="182"/>
      <c r="V87" s="182"/>
      <c r="W87" s="182"/>
      <c r="X87" s="182"/>
      <c r="Y87" s="182"/>
      <c r="Z87" s="182"/>
      <c r="AA87" s="182"/>
      <c r="AB87" s="182"/>
    </row>
    <row r="88">
      <c r="A88" s="463">
        <v>40606.0</v>
      </c>
      <c r="B88" s="492">
        <f>'03-04-11'!AE61/'03-04-11'!$Z$65</f>
        <v>0</v>
      </c>
      <c r="C88" s="492">
        <f>'03-04-11'!AF61/'03-04-11'!$Z$65</f>
        <v>0</v>
      </c>
      <c r="D88" s="492">
        <f>'03-04-11'!AG61/'03-04-11'!$Z$65</f>
        <v>0.05172413793</v>
      </c>
      <c r="E88" s="492">
        <f>'03-04-11'!AH61/'03-04-11'!$Z$65</f>
        <v>0.03448275862</v>
      </c>
      <c r="F88" s="492">
        <f>'03-04-11'!AI61/'03-04-11'!$Z$65</f>
        <v>0</v>
      </c>
      <c r="G88" s="492">
        <f>'03-04-11'!AJ61/'03-04-11'!$Z$65</f>
        <v>0.1034482759</v>
      </c>
      <c r="H88" s="492">
        <f>'03-04-11'!AK61/'03-04-11'!$Z$65</f>
        <v>0.05172413793</v>
      </c>
      <c r="I88" s="492">
        <f>'03-04-11'!AL61/'03-04-11'!$Z$65</f>
        <v>0</v>
      </c>
      <c r="J88" s="492">
        <f>'03-04-11'!AM61/'03-04-11'!$Z$65</f>
        <v>0.2413793103</v>
      </c>
      <c r="K88" s="379">
        <f>'03-04-11'!Z65</f>
        <v>58</v>
      </c>
      <c r="L88" s="182"/>
      <c r="M88" s="182"/>
      <c r="N88" s="182"/>
      <c r="O88" s="182"/>
      <c r="P88" s="182"/>
      <c r="Q88" s="182"/>
      <c r="R88" s="182"/>
      <c r="S88" s="182"/>
      <c r="T88" s="182"/>
      <c r="U88" s="182"/>
      <c r="V88" s="182"/>
      <c r="W88" s="182"/>
      <c r="X88" s="182"/>
      <c r="Y88" s="182"/>
      <c r="Z88" s="182"/>
      <c r="AA88" s="182"/>
      <c r="AB88" s="182"/>
    </row>
    <row r="89">
      <c r="A89" s="463">
        <v>40737.0</v>
      </c>
      <c r="B89" s="380">
        <f>'07-13-11'!AJ83/'07-13-11'!$AE$87</f>
        <v>0.04938271605</v>
      </c>
      <c r="C89" s="380">
        <f>'07-13-11'!AK83/'07-13-11'!$AE$87</f>
        <v>0</v>
      </c>
      <c r="D89" s="380">
        <f>'07-13-11'!AL83/'07-13-11'!$AE$87</f>
        <v>0.02469135802</v>
      </c>
      <c r="E89" s="380">
        <f>'07-13-11'!AM83/'07-13-11'!$AE$87</f>
        <v>0.04938271605</v>
      </c>
      <c r="F89" s="380">
        <f>'07-13-11'!AN83/'07-13-11'!$AE$87</f>
        <v>0.02469135802</v>
      </c>
      <c r="G89" s="380">
        <f>'07-13-11'!AO83/'07-13-11'!$AE$87</f>
        <v>0.1728395062</v>
      </c>
      <c r="H89" s="380">
        <f>'07-13-11'!AP83/'07-13-11'!$AE$87</f>
        <v>0.01234567901</v>
      </c>
      <c r="I89" s="380">
        <f>'07-13-11'!AQ83/'07-13-11'!$AE$87</f>
        <v>0</v>
      </c>
      <c r="J89" s="380">
        <f>'07-13-11'!AR83/'07-13-11'!$AE$87</f>
        <v>0.3333333333</v>
      </c>
      <c r="K89" s="379">
        <f>'07-13-11'!AE87</f>
        <v>81</v>
      </c>
      <c r="L89" s="182"/>
      <c r="M89" s="182"/>
      <c r="N89" s="182"/>
      <c r="O89" s="182"/>
      <c r="P89" s="182"/>
      <c r="Q89" s="182"/>
      <c r="R89" s="182"/>
      <c r="S89" s="182"/>
      <c r="T89" s="182"/>
      <c r="U89" s="182"/>
      <c r="V89" s="182"/>
      <c r="W89" s="182"/>
      <c r="X89" s="182"/>
      <c r="Y89" s="182"/>
      <c r="Z89" s="182"/>
      <c r="AA89" s="182"/>
      <c r="AB89" s="182"/>
    </row>
    <row r="90">
      <c r="A90" s="463">
        <v>40925.0</v>
      </c>
      <c r="B90" s="380">
        <f>'01-17-12'!AK90/'01-17-12'!$AE$94</f>
        <v>0.09195402299</v>
      </c>
      <c r="C90" s="380">
        <f>'01-17-12'!AL90/'01-17-12'!$AE$94</f>
        <v>0.1034482759</v>
      </c>
      <c r="D90" s="380">
        <f>'01-17-12'!AM90/'01-17-12'!$AE$94</f>
        <v>0.1149425287</v>
      </c>
      <c r="E90" s="380">
        <f>'01-17-12'!AN90/'01-17-12'!$AE$94</f>
        <v>0.02298850575</v>
      </c>
      <c r="F90" s="380">
        <f>'01-17-12'!AO90/'01-17-12'!$AE$94</f>
        <v>0.1724137931</v>
      </c>
      <c r="G90" s="380">
        <f>'01-17-12'!AP90/'01-17-12'!$AE$94</f>
        <v>0.06896551724</v>
      </c>
      <c r="H90" s="380">
        <f>'01-17-12'!AQ90/'01-17-12'!$AE$94</f>
        <v>0</v>
      </c>
      <c r="I90" s="380">
        <f>'01-17-12'!AR90/'01-17-12'!$AE$94</f>
        <v>0</v>
      </c>
      <c r="J90" s="380">
        <f>'01-17-12'!AS90/'01-17-12'!$AE$94</f>
        <v>0.5747126437</v>
      </c>
      <c r="K90" s="379">
        <f>'01-17-12'!AE94</f>
        <v>87</v>
      </c>
      <c r="L90" s="182"/>
      <c r="M90" s="182"/>
      <c r="N90" s="182"/>
      <c r="O90" s="182"/>
      <c r="P90" s="182"/>
      <c r="Q90" s="182"/>
      <c r="R90" s="182"/>
      <c r="S90" s="182"/>
      <c r="T90" s="182"/>
      <c r="U90" s="182"/>
      <c r="V90" s="182"/>
      <c r="W90" s="182"/>
      <c r="X90" s="182"/>
      <c r="Y90" s="182"/>
      <c r="Z90" s="182"/>
      <c r="AA90" s="182"/>
      <c r="AB90" s="182"/>
    </row>
    <row r="91">
      <c r="A91" s="463">
        <v>40939.0</v>
      </c>
      <c r="B91" s="380">
        <f>'01-31-12'!AO92/'01-31-12'!$AJ$96</f>
        <v>0.175</v>
      </c>
      <c r="C91" s="380">
        <f>'01-31-12'!AP92/'01-31-12'!$AJ$96</f>
        <v>0.125</v>
      </c>
      <c r="D91" s="380">
        <f>'01-31-12'!AQ92/'01-31-12'!$AJ$96</f>
        <v>0.1125</v>
      </c>
      <c r="E91" s="380">
        <f>'01-31-12'!AR92/'01-31-12'!$AJ$96</f>
        <v>0</v>
      </c>
      <c r="F91" s="380">
        <f>'01-31-12'!AS92/'01-31-12'!$AJ$96</f>
        <v>0.2375</v>
      </c>
      <c r="G91" s="380">
        <f>'01-31-12'!AT92/'01-31-12'!$AJ$96</f>
        <v>0.2125</v>
      </c>
      <c r="H91" s="380">
        <f>'01-31-12'!AU92/'01-31-12'!$AJ$96</f>
        <v>0</v>
      </c>
      <c r="I91" s="380">
        <f>'01-31-12'!AV92/'01-31-12'!$AJ$96</f>
        <v>0</v>
      </c>
      <c r="J91" s="380">
        <f>'01-31-12'!AW92/'01-31-12'!$AJ$96</f>
        <v>0.8625</v>
      </c>
      <c r="K91" s="379">
        <f>'01-31-12'!AJ96</f>
        <v>80</v>
      </c>
      <c r="L91" s="182"/>
      <c r="M91" s="182"/>
      <c r="N91" s="182"/>
      <c r="O91" s="182"/>
      <c r="P91" s="182"/>
      <c r="Q91" s="182"/>
      <c r="R91" s="182"/>
      <c r="S91" s="182"/>
      <c r="T91" s="182"/>
      <c r="U91" s="182"/>
      <c r="V91" s="182"/>
      <c r="W91" s="182"/>
      <c r="X91" s="182"/>
      <c r="Y91" s="182"/>
      <c r="Z91" s="182"/>
      <c r="AA91" s="182"/>
      <c r="AB91" s="182"/>
    </row>
    <row r="92">
      <c r="A92" s="463">
        <v>40953.0</v>
      </c>
      <c r="B92" s="380">
        <f>'02-14-12'!AJ93/'02-14-12'!$AE$97</f>
        <v>0.1176470588</v>
      </c>
      <c r="C92" s="380">
        <f>'02-14-12'!AK93/'02-14-12'!$AE$97</f>
        <v>0.04705882353</v>
      </c>
      <c r="D92" s="380">
        <f>'02-14-12'!AL93/'02-14-12'!$AE$97</f>
        <v>0.05882352941</v>
      </c>
      <c r="E92" s="380">
        <f>'02-14-12'!AM93/'02-14-12'!$AE$97</f>
        <v>0.07058823529</v>
      </c>
      <c r="F92" s="380">
        <f>'02-14-12'!AN93/'02-14-12'!$AE$97</f>
        <v>0.3058823529</v>
      </c>
      <c r="G92" s="380">
        <f>'02-14-12'!AO93/'02-14-12'!$AE$97</f>
        <v>0.1764705882</v>
      </c>
      <c r="H92" s="380">
        <f>'02-14-12'!AP93/'02-14-12'!$AE$97</f>
        <v>0</v>
      </c>
      <c r="I92" s="380">
        <f>'02-14-12'!AQ93/'02-14-12'!$AE$97</f>
        <v>0</v>
      </c>
      <c r="J92" s="380">
        <f>'02-14-12'!AR93/'02-14-12'!$AE$97</f>
        <v>0.7764705882</v>
      </c>
      <c r="K92" s="379">
        <f>'02-14-12'!AE97</f>
        <v>85</v>
      </c>
      <c r="L92" s="182"/>
      <c r="M92" s="182"/>
      <c r="N92" s="182"/>
      <c r="O92" s="182"/>
      <c r="P92" s="182"/>
      <c r="Q92" s="182"/>
      <c r="R92" s="182"/>
      <c r="S92" s="182"/>
      <c r="T92" s="182"/>
      <c r="U92" s="182"/>
      <c r="V92" s="182"/>
      <c r="W92" s="182"/>
      <c r="X92" s="182"/>
      <c r="Y92" s="182"/>
      <c r="Z92" s="182"/>
      <c r="AA92" s="182"/>
      <c r="AB92" s="182"/>
    </row>
    <row r="93">
      <c r="A93" s="463">
        <v>40983.0</v>
      </c>
      <c r="B93" s="380">
        <f>'03-15-12'!AJ86/'03-15-12'!$AE$90</f>
        <v>0.02469135802</v>
      </c>
      <c r="C93" s="380">
        <f>'03-15-12'!AK86/'03-15-12'!$AE$90</f>
        <v>0.1358024691</v>
      </c>
      <c r="D93" s="380">
        <f>'03-15-12'!AL86/'03-15-12'!$AE$90</f>
        <v>0.3580246914</v>
      </c>
      <c r="E93" s="380">
        <f>'03-15-12'!AM86/'03-15-12'!$AE$90</f>
        <v>0</v>
      </c>
      <c r="F93" s="380">
        <f>'03-15-12'!AN86/'03-15-12'!$AE$90</f>
        <v>0.4814814815</v>
      </c>
      <c r="G93" s="380">
        <f>'03-15-12'!AO86/'03-15-12'!$AE$90</f>
        <v>0.2345679012</v>
      </c>
      <c r="H93" s="380">
        <f>'03-15-12'!AP86/'03-15-12'!$AE$90</f>
        <v>0.01234567901</v>
      </c>
      <c r="I93" s="380">
        <f>'03-15-12'!AQ86/'03-15-12'!$AE$90</f>
        <v>0</v>
      </c>
      <c r="J93" s="380">
        <f>'03-15-12'!AR86/'03-15-12'!$AE$90</f>
        <v>1.24691358</v>
      </c>
      <c r="K93" s="379">
        <f>'03-15-12'!AE90</f>
        <v>81</v>
      </c>
      <c r="L93" s="182"/>
      <c r="M93" s="182"/>
      <c r="N93" s="182"/>
      <c r="O93" s="182"/>
      <c r="P93" s="182"/>
      <c r="Q93" s="182"/>
      <c r="R93" s="182"/>
      <c r="S93" s="182"/>
      <c r="T93" s="182"/>
      <c r="U93" s="182"/>
      <c r="V93" s="182"/>
      <c r="W93" s="182"/>
      <c r="X93" s="182"/>
      <c r="Y93" s="182"/>
      <c r="Z93" s="182"/>
      <c r="AA93" s="182"/>
      <c r="AB93" s="182"/>
    </row>
    <row r="94">
      <c r="A94" s="488"/>
      <c r="B94" s="182"/>
      <c r="C94" s="182"/>
      <c r="D94" s="182"/>
      <c r="E94" s="182"/>
      <c r="F94" s="182"/>
      <c r="G94" s="182"/>
      <c r="H94" s="182"/>
      <c r="I94" s="182"/>
      <c r="J94" s="182"/>
      <c r="K94" s="182"/>
      <c r="L94" s="182"/>
      <c r="M94" s="182"/>
      <c r="N94" s="182"/>
      <c r="O94" s="182"/>
      <c r="P94" s="182"/>
      <c r="Q94" s="182"/>
      <c r="R94" s="182"/>
      <c r="S94" s="182"/>
      <c r="T94" s="182"/>
      <c r="U94" s="182"/>
      <c r="V94" s="182"/>
      <c r="W94" s="182"/>
      <c r="X94" s="182"/>
      <c r="Y94" s="182"/>
      <c r="Z94" s="182"/>
      <c r="AA94" s="182"/>
      <c r="AB94" s="182"/>
    </row>
    <row r="95">
      <c r="A95" s="488"/>
      <c r="B95" s="182"/>
      <c r="C95" s="182"/>
      <c r="D95" s="182"/>
      <c r="E95" s="182"/>
      <c r="F95" s="182"/>
      <c r="G95" s="182"/>
      <c r="H95" s="182"/>
      <c r="I95" s="182"/>
      <c r="J95" s="182"/>
      <c r="K95" s="182"/>
      <c r="L95" s="182"/>
      <c r="M95" s="182"/>
      <c r="N95" s="182"/>
      <c r="O95" s="182"/>
      <c r="P95" s="182"/>
      <c r="Q95" s="182"/>
      <c r="R95" s="182"/>
      <c r="S95" s="182"/>
      <c r="T95" s="182"/>
      <c r="U95" s="182"/>
      <c r="V95" s="182"/>
      <c r="W95" s="182"/>
      <c r="X95" s="182"/>
      <c r="Y95" s="182"/>
      <c r="Z95" s="182"/>
      <c r="AA95" s="182"/>
      <c r="AB95" s="182"/>
    </row>
    <row r="96">
      <c r="A96" s="488"/>
      <c r="B96" s="182"/>
      <c r="C96" s="182"/>
      <c r="D96" s="182"/>
      <c r="E96" s="182"/>
      <c r="F96" s="182"/>
      <c r="G96" s="182"/>
      <c r="H96" s="182"/>
      <c r="I96" s="182"/>
      <c r="J96" s="182"/>
      <c r="K96" s="182"/>
      <c r="L96" s="182"/>
      <c r="M96" s="182"/>
      <c r="N96" s="182"/>
      <c r="O96" s="182"/>
      <c r="P96" s="182"/>
      <c r="Q96" s="182"/>
      <c r="R96" s="182"/>
      <c r="S96" s="182"/>
      <c r="T96" s="182"/>
      <c r="U96" s="182"/>
      <c r="V96" s="182"/>
      <c r="W96" s="182"/>
      <c r="X96" s="182"/>
      <c r="Y96" s="182"/>
      <c r="Z96" s="182"/>
      <c r="AA96" s="182"/>
      <c r="AB96" s="182"/>
    </row>
    <row r="97">
      <c r="A97" s="488"/>
      <c r="B97" s="182"/>
      <c r="C97" s="182"/>
      <c r="D97" s="182"/>
      <c r="E97" s="182"/>
      <c r="F97" s="182"/>
      <c r="G97" s="182"/>
      <c r="H97" s="182"/>
      <c r="I97" s="182"/>
      <c r="J97" s="182"/>
      <c r="K97" s="182"/>
      <c r="L97" s="182"/>
      <c r="M97" s="182"/>
      <c r="N97" s="182"/>
      <c r="O97" s="182"/>
      <c r="P97" s="182"/>
      <c r="Q97" s="182"/>
      <c r="R97" s="182"/>
      <c r="S97" s="182"/>
      <c r="T97" s="182"/>
      <c r="U97" s="182"/>
      <c r="V97" s="182"/>
      <c r="W97" s="182"/>
      <c r="X97" s="182"/>
      <c r="Y97" s="182"/>
      <c r="Z97" s="182"/>
      <c r="AA97" s="182"/>
      <c r="AB97" s="182"/>
    </row>
    <row r="98">
      <c r="A98" s="488"/>
      <c r="B98" s="182"/>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row>
    <row r="99">
      <c r="A99" s="488"/>
      <c r="B99" s="182"/>
      <c r="C99" s="182"/>
      <c r="D99" s="182"/>
      <c r="E99" s="182"/>
      <c r="F99" s="182"/>
      <c r="G99" s="182"/>
      <c r="H99" s="182"/>
      <c r="I99" s="182"/>
      <c r="J99" s="182"/>
      <c r="K99" s="182"/>
      <c r="L99" s="182"/>
      <c r="M99" s="182"/>
      <c r="N99" s="182"/>
      <c r="O99" s="182"/>
      <c r="P99" s="182"/>
      <c r="Q99" s="182"/>
      <c r="R99" s="182"/>
      <c r="S99" s="182"/>
      <c r="T99" s="182"/>
      <c r="U99" s="182"/>
      <c r="V99" s="182"/>
      <c r="W99" s="182"/>
      <c r="X99" s="182"/>
      <c r="Y99" s="182"/>
      <c r="Z99" s="182"/>
      <c r="AA99" s="182"/>
      <c r="AB99" s="182"/>
    </row>
    <row r="100">
      <c r="A100" s="488"/>
      <c r="B100" s="182"/>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row>
    <row r="101">
      <c r="A101" s="488"/>
      <c r="B101" s="182"/>
      <c r="C101" s="182"/>
      <c r="D101" s="182"/>
      <c r="E101" s="182"/>
      <c r="F101" s="182"/>
      <c r="G101" s="182"/>
      <c r="H101" s="182"/>
      <c r="I101" s="182"/>
      <c r="J101" s="182"/>
      <c r="K101" s="182"/>
      <c r="L101" s="182"/>
      <c r="M101" s="182"/>
      <c r="N101" s="182"/>
      <c r="O101" s="182"/>
      <c r="P101" s="182"/>
      <c r="Q101" s="182"/>
      <c r="R101" s="182"/>
      <c r="S101" s="182"/>
      <c r="T101" s="182"/>
      <c r="U101" s="182"/>
      <c r="V101" s="182"/>
      <c r="W101" s="182"/>
      <c r="X101" s="182"/>
      <c r="Y101" s="182"/>
      <c r="Z101" s="182"/>
      <c r="AA101" s="182"/>
      <c r="AB101" s="182"/>
    </row>
    <row r="102">
      <c r="A102" s="488"/>
      <c r="B102" s="182"/>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c r="AA102" s="182"/>
      <c r="AB102" s="182"/>
    </row>
    <row r="103">
      <c r="A103" s="488"/>
      <c r="B103" s="182"/>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c r="Y103" s="182"/>
      <c r="Z103" s="182"/>
      <c r="AA103" s="182"/>
      <c r="AB103" s="182"/>
    </row>
    <row r="104">
      <c r="A104" s="488"/>
      <c r="B104" s="18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c r="AA104" s="182"/>
      <c r="AB104" s="182"/>
    </row>
    <row r="105">
      <c r="A105" s="488"/>
      <c r="B105" s="18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c r="AA105" s="182"/>
      <c r="AB105" s="182"/>
    </row>
    <row r="106">
      <c r="A106" s="488"/>
      <c r="B106" s="18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c r="AA106" s="182"/>
      <c r="AB106" s="182"/>
    </row>
    <row r="107">
      <c r="A107" s="488"/>
      <c r="B107" s="18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c r="AA107" s="182"/>
      <c r="AB107" s="182"/>
    </row>
    <row r="108">
      <c r="A108" s="488"/>
      <c r="B108" s="18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c r="AA108" s="182"/>
      <c r="AB108" s="182"/>
    </row>
    <row r="109">
      <c r="A109" s="488"/>
      <c r="B109" s="18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c r="AA109" s="182"/>
      <c r="AB109" s="182"/>
    </row>
    <row r="110">
      <c r="A110" s="488"/>
      <c r="B110" s="18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c r="AA110" s="182"/>
      <c r="AB110" s="182"/>
    </row>
    <row r="111">
      <c r="A111" s="488"/>
      <c r="B111" s="18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c r="AA111" s="182"/>
      <c r="AB111" s="182"/>
    </row>
    <row r="112">
      <c r="A112" s="488"/>
      <c r="B112" s="18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c r="AA112" s="182"/>
      <c r="AB112" s="182"/>
    </row>
    <row r="113">
      <c r="A113" s="488"/>
      <c r="B113" s="182"/>
      <c r="C113" s="182"/>
      <c r="D113" s="182"/>
      <c r="E113" s="182"/>
      <c r="F113" s="182"/>
      <c r="G113" s="182"/>
      <c r="H113" s="182"/>
      <c r="I113" s="182"/>
      <c r="J113" s="182"/>
      <c r="K113" s="182"/>
      <c r="L113" s="182"/>
      <c r="M113" s="182"/>
      <c r="N113" s="182"/>
      <c r="O113" s="182"/>
      <c r="P113" s="182"/>
      <c r="Q113" s="182"/>
      <c r="R113" s="182"/>
      <c r="S113" s="182"/>
      <c r="T113" s="182"/>
      <c r="U113" s="182"/>
      <c r="V113" s="182"/>
      <c r="W113" s="182"/>
      <c r="X113" s="182"/>
      <c r="Y113" s="182"/>
      <c r="Z113" s="182"/>
      <c r="AA113" s="182"/>
      <c r="AB113" s="182"/>
    </row>
    <row r="114">
      <c r="A114" s="488"/>
      <c r="B114" s="182"/>
      <c r="C114" s="182"/>
      <c r="D114" s="182"/>
      <c r="E114" s="182"/>
      <c r="F114" s="182"/>
      <c r="G114" s="182"/>
      <c r="H114" s="182"/>
      <c r="I114" s="182"/>
      <c r="J114" s="182"/>
      <c r="K114" s="182"/>
      <c r="L114" s="182"/>
      <c r="M114" s="182"/>
      <c r="N114" s="182"/>
      <c r="O114" s="182"/>
      <c r="P114" s="182"/>
      <c r="Q114" s="182"/>
      <c r="R114" s="182"/>
      <c r="S114" s="182"/>
      <c r="T114" s="182"/>
      <c r="U114" s="182"/>
      <c r="V114" s="182"/>
      <c r="W114" s="182"/>
      <c r="X114" s="182"/>
      <c r="Y114" s="182"/>
      <c r="Z114" s="182"/>
      <c r="AA114" s="182"/>
      <c r="AB114" s="182"/>
    </row>
    <row r="115">
      <c r="A115" s="488"/>
      <c r="B115" s="18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c r="AA115" s="182"/>
      <c r="AB115" s="182"/>
    </row>
    <row r="116">
      <c r="A116" s="488"/>
      <c r="B116" s="18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c r="AA116" s="182"/>
      <c r="AB116" s="182"/>
    </row>
    <row r="117">
      <c r="A117" s="488"/>
      <c r="B117" s="18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c r="AA117" s="182"/>
      <c r="AB117" s="182"/>
    </row>
    <row r="118">
      <c r="A118" s="488"/>
      <c r="B118" s="18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c r="AA118" s="182"/>
      <c r="AB118" s="182"/>
    </row>
    <row r="119">
      <c r="A119" s="488"/>
      <c r="B119" s="18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c r="AA119" s="182"/>
      <c r="AB119" s="182"/>
    </row>
    <row r="120">
      <c r="A120" s="488"/>
      <c r="B120" s="18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c r="AA120" s="182"/>
      <c r="AB120" s="182"/>
    </row>
    <row r="121">
      <c r="A121" s="488"/>
      <c r="B121" s="18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c r="AA121" s="182"/>
      <c r="AB121" s="182"/>
    </row>
    <row r="122">
      <c r="A122" s="488"/>
      <c r="B122" s="18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c r="AA122" s="182"/>
      <c r="AB122" s="182"/>
    </row>
    <row r="123">
      <c r="A123" s="488"/>
      <c r="B123" s="18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c r="AA123" s="182"/>
      <c r="AB123" s="182"/>
    </row>
    <row r="124">
      <c r="A124" s="488"/>
      <c r="B124" s="18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c r="AA124" s="182"/>
      <c r="AB124" s="182"/>
    </row>
    <row r="125">
      <c r="A125" s="488"/>
      <c r="B125" s="18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c r="AA125" s="182"/>
      <c r="AB125" s="182"/>
    </row>
    <row r="126">
      <c r="A126" s="488"/>
      <c r="B126" s="18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c r="AA126" s="182"/>
      <c r="AB126" s="182"/>
    </row>
    <row r="127">
      <c r="A127" s="488"/>
      <c r="B127" s="182"/>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c r="AA127" s="182"/>
      <c r="AB127" s="182"/>
    </row>
    <row r="128">
      <c r="A128" s="488"/>
      <c r="B128" s="182"/>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c r="AA128" s="182"/>
      <c r="AB128" s="182"/>
    </row>
    <row r="129">
      <c r="A129" s="488"/>
      <c r="B129" s="18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c r="AA129" s="182"/>
      <c r="AB129" s="182"/>
    </row>
    <row r="130">
      <c r="A130" s="488"/>
      <c r="B130" s="18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c r="AA130" s="182"/>
      <c r="AB130" s="182"/>
    </row>
    <row r="131">
      <c r="A131" s="488"/>
      <c r="B131" s="182"/>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c r="AA131" s="182"/>
      <c r="AB131" s="182"/>
    </row>
    <row r="132">
      <c r="A132" s="488"/>
      <c r="B132" s="182"/>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c r="AA132" s="182"/>
      <c r="AB132" s="182"/>
    </row>
    <row r="133">
      <c r="A133" s="488"/>
      <c r="B133" s="182"/>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c r="AA133" s="182"/>
      <c r="AB133" s="182"/>
    </row>
    <row r="134">
      <c r="A134" s="488"/>
      <c r="B134" s="182"/>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c r="AA134" s="182"/>
      <c r="AB134" s="182"/>
    </row>
    <row r="135">
      <c r="A135" s="488"/>
      <c r="B135" s="182"/>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c r="AA135" s="182"/>
      <c r="AB135" s="182"/>
    </row>
    <row r="136">
      <c r="A136" s="488"/>
      <c r="B136" s="182"/>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c r="AA136" s="182"/>
      <c r="AB136" s="182"/>
    </row>
    <row r="137">
      <c r="A137" s="488"/>
      <c r="B137" s="182"/>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c r="AA137" s="182"/>
      <c r="AB137" s="182"/>
    </row>
    <row r="138">
      <c r="A138" s="488"/>
      <c r="B138" s="182"/>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c r="AA138" s="182"/>
      <c r="AB138" s="182"/>
    </row>
    <row r="139">
      <c r="A139" s="488"/>
      <c r="B139" s="18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c r="AA139" s="182"/>
      <c r="AB139" s="182"/>
    </row>
    <row r="140">
      <c r="A140" s="488"/>
      <c r="B140" s="182"/>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c r="AA140" s="182"/>
      <c r="AB140" s="182"/>
    </row>
    <row r="141">
      <c r="A141" s="488"/>
      <c r="B141" s="18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c r="AA141" s="182"/>
      <c r="AB141" s="182"/>
    </row>
    <row r="142">
      <c r="A142" s="488"/>
      <c r="B142" s="18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c r="AA142" s="182"/>
      <c r="AB142" s="182"/>
    </row>
    <row r="143">
      <c r="A143" s="488"/>
      <c r="B143" s="18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c r="AA143" s="182"/>
      <c r="AB143" s="182"/>
    </row>
    <row r="144">
      <c r="A144" s="488"/>
      <c r="B144" s="18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c r="AA144" s="182"/>
      <c r="AB144" s="182"/>
    </row>
    <row r="145">
      <c r="A145" s="488"/>
      <c r="B145" s="18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c r="AA145" s="182"/>
      <c r="AB145" s="182"/>
    </row>
    <row r="146">
      <c r="A146" s="488"/>
      <c r="B146" s="18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c r="AA146" s="182"/>
      <c r="AB146" s="182"/>
    </row>
    <row r="147">
      <c r="A147" s="488"/>
      <c r="B147" s="18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c r="AA147" s="182"/>
      <c r="AB147" s="182"/>
    </row>
    <row r="148">
      <c r="A148" s="488"/>
      <c r="B148" s="18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c r="AA148" s="182"/>
      <c r="AB148" s="182"/>
    </row>
    <row r="149">
      <c r="A149" s="488"/>
      <c r="B149" s="18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c r="AA149" s="182"/>
      <c r="AB149" s="182"/>
    </row>
    <row r="150">
      <c r="A150" s="488"/>
      <c r="B150" s="18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c r="AA150" s="182"/>
      <c r="AB150" s="182"/>
    </row>
    <row r="151">
      <c r="A151" s="488"/>
      <c r="B151" s="182"/>
      <c r="C151" s="182"/>
      <c r="D151" s="182"/>
      <c r="E151" s="182"/>
      <c r="F151" s="182"/>
      <c r="G151" s="182"/>
      <c r="H151" s="182"/>
      <c r="I151" s="182"/>
      <c r="J151" s="182"/>
      <c r="K151" s="182"/>
      <c r="L151" s="182"/>
      <c r="M151" s="182"/>
      <c r="N151" s="182"/>
      <c r="O151" s="182"/>
      <c r="P151" s="182"/>
      <c r="Q151" s="182"/>
      <c r="R151" s="182"/>
      <c r="S151" s="182"/>
      <c r="T151" s="182"/>
      <c r="U151" s="182"/>
      <c r="V151" s="182"/>
      <c r="W151" s="182"/>
      <c r="X151" s="182"/>
      <c r="Y151" s="182"/>
      <c r="Z151" s="182"/>
      <c r="AA151" s="182"/>
      <c r="AB151" s="182"/>
    </row>
    <row r="152">
      <c r="A152" s="488"/>
      <c r="B152" s="182"/>
      <c r="C152" s="182"/>
      <c r="D152" s="182"/>
      <c r="E152" s="182"/>
      <c r="F152" s="182"/>
      <c r="G152" s="182"/>
      <c r="H152" s="182"/>
      <c r="I152" s="182"/>
      <c r="J152" s="182"/>
      <c r="K152" s="182"/>
      <c r="L152" s="182"/>
      <c r="M152" s="182"/>
      <c r="N152" s="182"/>
      <c r="O152" s="182"/>
      <c r="P152" s="182"/>
      <c r="Q152" s="182"/>
      <c r="R152" s="182"/>
      <c r="S152" s="182"/>
      <c r="T152" s="182"/>
      <c r="U152" s="182"/>
      <c r="V152" s="182"/>
      <c r="W152" s="182"/>
      <c r="X152" s="182"/>
      <c r="Y152" s="182"/>
      <c r="Z152" s="182"/>
      <c r="AA152" s="182"/>
      <c r="AB152" s="182"/>
    </row>
    <row r="153">
      <c r="A153" s="488"/>
      <c r="B153" s="182"/>
      <c r="C153" s="182"/>
      <c r="D153" s="182"/>
      <c r="E153" s="182"/>
      <c r="F153" s="182"/>
      <c r="G153" s="182"/>
      <c r="H153" s="182"/>
      <c r="I153" s="182"/>
      <c r="J153" s="182"/>
      <c r="K153" s="182"/>
      <c r="L153" s="182"/>
      <c r="M153" s="182"/>
      <c r="N153" s="182"/>
      <c r="O153" s="182"/>
      <c r="P153" s="182"/>
      <c r="Q153" s="182"/>
      <c r="R153" s="182"/>
      <c r="S153" s="182"/>
      <c r="T153" s="182"/>
      <c r="U153" s="182"/>
      <c r="V153" s="182"/>
      <c r="W153" s="182"/>
      <c r="X153" s="182"/>
      <c r="Y153" s="182"/>
      <c r="Z153" s="182"/>
      <c r="AA153" s="182"/>
      <c r="AB153" s="182"/>
    </row>
    <row r="154">
      <c r="A154" s="488"/>
      <c r="B154" s="182"/>
      <c r="C154" s="182"/>
      <c r="D154" s="182"/>
      <c r="E154" s="182"/>
      <c r="F154" s="182"/>
      <c r="G154" s="182"/>
      <c r="H154" s="182"/>
      <c r="I154" s="182"/>
      <c r="J154" s="182"/>
      <c r="K154" s="182"/>
      <c r="L154" s="182"/>
      <c r="M154" s="182"/>
      <c r="N154" s="182"/>
      <c r="O154" s="182"/>
      <c r="P154" s="182"/>
      <c r="Q154" s="182"/>
      <c r="R154" s="182"/>
      <c r="S154" s="182"/>
      <c r="T154" s="182"/>
      <c r="U154" s="182"/>
      <c r="V154" s="182"/>
      <c r="W154" s="182"/>
      <c r="X154" s="182"/>
      <c r="Y154" s="182"/>
      <c r="Z154" s="182"/>
      <c r="AA154" s="182"/>
      <c r="AB154" s="182"/>
    </row>
    <row r="155">
      <c r="A155" s="488"/>
      <c r="B155" s="182"/>
      <c r="C155" s="182"/>
      <c r="D155" s="182"/>
      <c r="E155" s="182"/>
      <c r="F155" s="182"/>
      <c r="G155" s="182"/>
      <c r="H155" s="182"/>
      <c r="I155" s="182"/>
      <c r="J155" s="182"/>
      <c r="K155" s="182"/>
      <c r="L155" s="182"/>
      <c r="M155" s="182"/>
      <c r="N155" s="182"/>
      <c r="O155" s="182"/>
      <c r="P155" s="182"/>
      <c r="Q155" s="182"/>
      <c r="R155" s="182"/>
      <c r="S155" s="182"/>
      <c r="T155" s="182"/>
      <c r="U155" s="182"/>
      <c r="V155" s="182"/>
      <c r="W155" s="182"/>
      <c r="X155" s="182"/>
      <c r="Y155" s="182"/>
      <c r="Z155" s="182"/>
      <c r="AA155" s="182"/>
      <c r="AB155" s="182"/>
    </row>
    <row r="156">
      <c r="A156" s="488"/>
      <c r="B156" s="182"/>
      <c r="C156" s="182"/>
      <c r="D156" s="182"/>
      <c r="E156" s="182"/>
      <c r="F156" s="182"/>
      <c r="G156" s="182"/>
      <c r="H156" s="182"/>
      <c r="I156" s="182"/>
      <c r="J156" s="182"/>
      <c r="K156" s="182"/>
      <c r="L156" s="182"/>
      <c r="M156" s="182"/>
      <c r="N156" s="182"/>
      <c r="O156" s="182"/>
      <c r="P156" s="182"/>
      <c r="Q156" s="182"/>
      <c r="R156" s="182"/>
      <c r="S156" s="182"/>
      <c r="T156" s="182"/>
      <c r="U156" s="182"/>
      <c r="V156" s="182"/>
      <c r="W156" s="182"/>
      <c r="X156" s="182"/>
      <c r="Y156" s="182"/>
      <c r="Z156" s="182"/>
      <c r="AA156" s="182"/>
      <c r="AB156" s="182"/>
    </row>
    <row r="157">
      <c r="A157" s="488"/>
      <c r="B157" s="182"/>
      <c r="C157" s="182"/>
      <c r="D157" s="182"/>
      <c r="E157" s="182"/>
      <c r="F157" s="182"/>
      <c r="G157" s="182"/>
      <c r="H157" s="182"/>
      <c r="I157" s="182"/>
      <c r="J157" s="182"/>
      <c r="K157" s="182"/>
      <c r="L157" s="182"/>
      <c r="M157" s="182"/>
      <c r="N157" s="182"/>
      <c r="O157" s="182"/>
      <c r="P157" s="182"/>
      <c r="Q157" s="182"/>
      <c r="R157" s="182"/>
      <c r="S157" s="182"/>
      <c r="T157" s="182"/>
      <c r="U157" s="182"/>
      <c r="V157" s="182"/>
      <c r="W157" s="182"/>
      <c r="X157" s="182"/>
      <c r="Y157" s="182"/>
      <c r="Z157" s="182"/>
      <c r="AA157" s="182"/>
      <c r="AB157" s="182"/>
    </row>
    <row r="158">
      <c r="A158" s="488"/>
      <c r="B158" s="182"/>
      <c r="C158" s="182"/>
      <c r="D158" s="182"/>
      <c r="E158" s="182"/>
      <c r="F158" s="182"/>
      <c r="G158" s="182"/>
      <c r="H158" s="182"/>
      <c r="I158" s="182"/>
      <c r="J158" s="182"/>
      <c r="K158" s="182"/>
      <c r="L158" s="182"/>
      <c r="M158" s="182"/>
      <c r="N158" s="182"/>
      <c r="O158" s="182"/>
      <c r="P158" s="182"/>
      <c r="Q158" s="182"/>
      <c r="R158" s="182"/>
      <c r="S158" s="182"/>
      <c r="T158" s="182"/>
      <c r="U158" s="182"/>
      <c r="V158" s="182"/>
      <c r="W158" s="182"/>
      <c r="X158" s="182"/>
      <c r="Y158" s="182"/>
      <c r="Z158" s="182"/>
      <c r="AA158" s="182"/>
      <c r="AB158" s="182"/>
    </row>
    <row r="159">
      <c r="A159" s="488"/>
      <c r="B159" s="182"/>
      <c r="C159" s="182"/>
      <c r="D159" s="182"/>
      <c r="E159" s="182"/>
      <c r="F159" s="182"/>
      <c r="G159" s="182"/>
      <c r="H159" s="182"/>
      <c r="I159" s="182"/>
      <c r="J159" s="182"/>
      <c r="K159" s="182"/>
      <c r="L159" s="182"/>
      <c r="M159" s="182"/>
      <c r="N159" s="182"/>
      <c r="O159" s="182"/>
      <c r="P159" s="182"/>
      <c r="Q159" s="182"/>
      <c r="R159" s="182"/>
      <c r="S159" s="182"/>
      <c r="T159" s="182"/>
      <c r="U159" s="182"/>
      <c r="V159" s="182"/>
      <c r="W159" s="182"/>
      <c r="X159" s="182"/>
      <c r="Y159" s="182"/>
      <c r="Z159" s="182"/>
      <c r="AA159" s="182"/>
      <c r="AB159" s="182"/>
    </row>
    <row r="160">
      <c r="A160" s="488"/>
      <c r="B160" s="182"/>
      <c r="C160" s="182"/>
      <c r="D160" s="182"/>
      <c r="E160" s="182"/>
      <c r="F160" s="182"/>
      <c r="G160" s="182"/>
      <c r="H160" s="182"/>
      <c r="I160" s="182"/>
      <c r="J160" s="182"/>
      <c r="K160" s="182"/>
      <c r="L160" s="182"/>
      <c r="M160" s="182"/>
      <c r="N160" s="182"/>
      <c r="O160" s="182"/>
      <c r="P160" s="182"/>
      <c r="Q160" s="182"/>
      <c r="R160" s="182"/>
      <c r="S160" s="182"/>
      <c r="T160" s="182"/>
      <c r="U160" s="182"/>
      <c r="V160" s="182"/>
      <c r="W160" s="182"/>
      <c r="X160" s="182"/>
      <c r="Y160" s="182"/>
      <c r="Z160" s="182"/>
      <c r="AA160" s="182"/>
      <c r="AB160" s="182"/>
    </row>
    <row r="161">
      <c r="A161" s="488"/>
      <c r="B161" s="182"/>
      <c r="C161" s="182"/>
      <c r="D161" s="182"/>
      <c r="E161" s="182"/>
      <c r="F161" s="182"/>
      <c r="G161" s="182"/>
      <c r="H161" s="182"/>
      <c r="I161" s="182"/>
      <c r="J161" s="182"/>
      <c r="K161" s="182"/>
      <c r="L161" s="182"/>
      <c r="M161" s="182"/>
      <c r="N161" s="182"/>
      <c r="O161" s="182"/>
      <c r="P161" s="182"/>
      <c r="Q161" s="182"/>
      <c r="R161" s="182"/>
      <c r="S161" s="182"/>
      <c r="T161" s="182"/>
      <c r="U161" s="182"/>
      <c r="V161" s="182"/>
      <c r="W161" s="182"/>
      <c r="X161" s="182"/>
      <c r="Y161" s="182"/>
      <c r="Z161" s="182"/>
      <c r="AA161" s="182"/>
      <c r="AB161" s="182"/>
    </row>
    <row r="162">
      <c r="A162" s="488"/>
      <c r="B162" s="182"/>
      <c r="C162" s="182"/>
      <c r="D162" s="182"/>
      <c r="E162" s="182"/>
      <c r="F162" s="182"/>
      <c r="G162" s="182"/>
      <c r="H162" s="182"/>
      <c r="I162" s="182"/>
      <c r="J162" s="182"/>
      <c r="K162" s="182"/>
      <c r="L162" s="182"/>
      <c r="M162" s="182"/>
      <c r="N162" s="182"/>
      <c r="O162" s="182"/>
      <c r="P162" s="182"/>
      <c r="Q162" s="182"/>
      <c r="R162" s="182"/>
      <c r="S162" s="182"/>
      <c r="T162" s="182"/>
      <c r="U162" s="182"/>
      <c r="V162" s="182"/>
      <c r="W162" s="182"/>
      <c r="X162" s="182"/>
      <c r="Y162" s="182"/>
      <c r="Z162" s="182"/>
      <c r="AA162" s="182"/>
      <c r="AB162" s="182"/>
    </row>
    <row r="163">
      <c r="A163" s="488"/>
      <c r="B163" s="182"/>
      <c r="C163" s="182"/>
      <c r="D163" s="182"/>
      <c r="E163" s="182"/>
      <c r="F163" s="182"/>
      <c r="G163" s="182"/>
      <c r="H163" s="182"/>
      <c r="I163" s="182"/>
      <c r="J163" s="182"/>
      <c r="K163" s="182"/>
      <c r="L163" s="182"/>
      <c r="M163" s="182"/>
      <c r="N163" s="182"/>
      <c r="O163" s="182"/>
      <c r="P163" s="182"/>
      <c r="Q163" s="182"/>
      <c r="R163" s="182"/>
      <c r="S163" s="182"/>
      <c r="T163" s="182"/>
      <c r="U163" s="182"/>
      <c r="V163" s="182"/>
      <c r="W163" s="182"/>
      <c r="X163" s="182"/>
      <c r="Y163" s="182"/>
      <c r="Z163" s="182"/>
      <c r="AA163" s="182"/>
      <c r="AB163" s="182"/>
    </row>
    <row r="164">
      <c r="A164" s="488"/>
      <c r="B164" s="182"/>
      <c r="C164" s="182"/>
      <c r="D164" s="182"/>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c r="AA164" s="182"/>
      <c r="AB164" s="182"/>
    </row>
    <row r="165">
      <c r="A165" s="488"/>
      <c r="B165" s="182"/>
      <c r="C165" s="182"/>
      <c r="D165" s="182"/>
      <c r="E165" s="182"/>
      <c r="F165" s="182"/>
      <c r="G165" s="182"/>
      <c r="H165" s="182"/>
      <c r="I165" s="182"/>
      <c r="J165" s="182"/>
      <c r="K165" s="182"/>
      <c r="L165" s="182"/>
      <c r="M165" s="182"/>
      <c r="N165" s="182"/>
      <c r="O165" s="182"/>
      <c r="P165" s="182"/>
      <c r="Q165" s="182"/>
      <c r="R165" s="182"/>
      <c r="S165" s="182"/>
      <c r="T165" s="182"/>
      <c r="U165" s="182"/>
      <c r="V165" s="182"/>
      <c r="W165" s="182"/>
      <c r="X165" s="182"/>
      <c r="Y165" s="182"/>
      <c r="Z165" s="182"/>
      <c r="AA165" s="182"/>
      <c r="AB165" s="182"/>
    </row>
    <row r="166">
      <c r="A166" s="488"/>
      <c r="B166" s="18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c r="AA166" s="182"/>
      <c r="AB166" s="182"/>
    </row>
    <row r="167">
      <c r="A167" s="488"/>
      <c r="B167" s="18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c r="AA167" s="182"/>
      <c r="AB167" s="182"/>
    </row>
    <row r="168">
      <c r="A168" s="488"/>
      <c r="B168" s="18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c r="AA168" s="182"/>
      <c r="AB168" s="182"/>
    </row>
    <row r="169">
      <c r="A169" s="488"/>
      <c r="B169" s="18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c r="AA169" s="182"/>
      <c r="AB169" s="182"/>
    </row>
    <row r="170">
      <c r="A170" s="488"/>
      <c r="B170" s="18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c r="AA170" s="182"/>
      <c r="AB170" s="182"/>
    </row>
    <row r="171">
      <c r="A171" s="488"/>
      <c r="B171" s="18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c r="AA171" s="182"/>
      <c r="AB171" s="182"/>
    </row>
    <row r="172">
      <c r="A172" s="488"/>
      <c r="B172" s="18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c r="AA172" s="182"/>
      <c r="AB172" s="182"/>
    </row>
    <row r="173">
      <c r="A173" s="488"/>
      <c r="B173" s="18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c r="AA173" s="182"/>
      <c r="AB173" s="182"/>
    </row>
    <row r="174">
      <c r="A174" s="488"/>
      <c r="B174" s="18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c r="AA174" s="182"/>
      <c r="AB174" s="182"/>
    </row>
    <row r="175">
      <c r="A175" s="488"/>
      <c r="B175" s="18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c r="AA175" s="182"/>
      <c r="AB175" s="182"/>
    </row>
    <row r="176">
      <c r="A176" s="488"/>
      <c r="B176" s="18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c r="AA176" s="182"/>
      <c r="AB176" s="182"/>
    </row>
    <row r="177">
      <c r="A177" s="488"/>
      <c r="B177" s="18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c r="AA177" s="182"/>
      <c r="AB177" s="182"/>
    </row>
    <row r="178">
      <c r="A178" s="488"/>
      <c r="B178" s="18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c r="AA178" s="182"/>
      <c r="AB178" s="182"/>
    </row>
    <row r="179">
      <c r="A179" s="488"/>
      <c r="B179" s="18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c r="AA179" s="182"/>
      <c r="AB179" s="182"/>
    </row>
    <row r="180">
      <c r="A180" s="488"/>
      <c r="B180" s="18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c r="AA180" s="182"/>
      <c r="AB180" s="182"/>
    </row>
    <row r="181">
      <c r="A181" s="488"/>
      <c r="B181" s="18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c r="AA181" s="182"/>
      <c r="AB181" s="182"/>
    </row>
    <row r="182">
      <c r="A182" s="488"/>
      <c r="B182" s="18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c r="AA182" s="182"/>
      <c r="AB182" s="182"/>
    </row>
    <row r="183">
      <c r="A183" s="488"/>
      <c r="B183" s="18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c r="AA183" s="182"/>
      <c r="AB183" s="182"/>
    </row>
    <row r="184">
      <c r="A184" s="488"/>
      <c r="B184" s="18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c r="AA184" s="182"/>
      <c r="AB184" s="182"/>
    </row>
    <row r="185">
      <c r="A185" s="488"/>
      <c r="B185" s="18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c r="AA185" s="182"/>
      <c r="AB185" s="182"/>
    </row>
    <row r="186">
      <c r="A186" s="488"/>
      <c r="B186" s="18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c r="AA186" s="182"/>
      <c r="AB186" s="182"/>
    </row>
    <row r="187">
      <c r="A187" s="488"/>
      <c r="B187" s="18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c r="AA187" s="182"/>
      <c r="AB187" s="182"/>
    </row>
    <row r="188">
      <c r="A188" s="488"/>
      <c r="B188" s="18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c r="AA188" s="182"/>
      <c r="AB188" s="182"/>
    </row>
    <row r="189">
      <c r="A189" s="488"/>
      <c r="B189" s="18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c r="AA189" s="182"/>
      <c r="AB189" s="182"/>
    </row>
    <row r="190">
      <c r="A190" s="488"/>
      <c r="B190" s="18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c r="AA190" s="182"/>
      <c r="AB190" s="182"/>
    </row>
    <row r="191">
      <c r="A191" s="488"/>
      <c r="B191" s="18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c r="AA191" s="182"/>
      <c r="AB191" s="182"/>
    </row>
    <row r="192">
      <c r="A192" s="488"/>
      <c r="B192" s="18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c r="AA192" s="182"/>
      <c r="AB192" s="182"/>
    </row>
    <row r="193">
      <c r="A193" s="488"/>
      <c r="B193" s="18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c r="AA193" s="182"/>
      <c r="AB193" s="182"/>
    </row>
    <row r="194">
      <c r="A194" s="488"/>
      <c r="B194" s="18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c r="AA194" s="182"/>
      <c r="AB194" s="182"/>
    </row>
    <row r="195">
      <c r="A195" s="488"/>
      <c r="B195" s="18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c r="AA195" s="182"/>
      <c r="AB195" s="182"/>
    </row>
    <row r="196">
      <c r="A196" s="488"/>
      <c r="B196" s="18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c r="AA196" s="182"/>
      <c r="AB196" s="182"/>
    </row>
    <row r="197">
      <c r="A197" s="488"/>
      <c r="B197" s="18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c r="AA197" s="182"/>
      <c r="AB197" s="182"/>
    </row>
    <row r="198">
      <c r="A198" s="488"/>
      <c r="B198" s="18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c r="AA198" s="182"/>
      <c r="AB198" s="182"/>
    </row>
    <row r="199">
      <c r="A199" s="488"/>
      <c r="B199" s="18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c r="AA199" s="182"/>
      <c r="AB199" s="182"/>
    </row>
    <row r="200">
      <c r="A200" s="488"/>
      <c r="B200" s="18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c r="AA200" s="182"/>
      <c r="AB200" s="182"/>
    </row>
    <row r="201">
      <c r="A201" s="488"/>
      <c r="B201" s="18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c r="AA201" s="182"/>
      <c r="AB201" s="182"/>
    </row>
    <row r="202">
      <c r="A202" s="488"/>
      <c r="B202" s="18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c r="AA202" s="182"/>
      <c r="AB202" s="182"/>
    </row>
    <row r="203">
      <c r="A203" s="488"/>
      <c r="B203" s="18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c r="AA203" s="182"/>
      <c r="AB203" s="182"/>
    </row>
    <row r="204">
      <c r="A204" s="488"/>
      <c r="B204" s="18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c r="AA204" s="182"/>
      <c r="AB204" s="182"/>
    </row>
    <row r="205">
      <c r="A205" s="488"/>
      <c r="B205" s="18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c r="AA205" s="182"/>
      <c r="AB205" s="182"/>
    </row>
    <row r="206">
      <c r="A206" s="488"/>
      <c r="B206" s="18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c r="AA206" s="182"/>
      <c r="AB206" s="182"/>
    </row>
    <row r="207">
      <c r="A207" s="488"/>
      <c r="B207" s="18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c r="AA207" s="182"/>
      <c r="AB207" s="182"/>
    </row>
    <row r="208">
      <c r="A208" s="488"/>
      <c r="B208" s="18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c r="AA208" s="182"/>
      <c r="AB208" s="182"/>
    </row>
    <row r="209">
      <c r="A209" s="488"/>
      <c r="B209" s="18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c r="AA209" s="182"/>
      <c r="AB209" s="182"/>
    </row>
    <row r="210">
      <c r="A210" s="488"/>
      <c r="B210" s="18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c r="AA210" s="182"/>
      <c r="AB210" s="182"/>
    </row>
    <row r="211">
      <c r="A211" s="488"/>
      <c r="B211" s="18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c r="AA211" s="182"/>
      <c r="AB211" s="182"/>
    </row>
    <row r="212">
      <c r="A212" s="488"/>
      <c r="B212" s="18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c r="AA212" s="182"/>
      <c r="AB212" s="182"/>
    </row>
    <row r="213">
      <c r="A213" s="488"/>
      <c r="B213" s="18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c r="AA213" s="182"/>
      <c r="AB213" s="182"/>
    </row>
    <row r="214">
      <c r="A214" s="488"/>
      <c r="B214" s="18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c r="AA214" s="182"/>
      <c r="AB214" s="182"/>
    </row>
    <row r="215">
      <c r="A215" s="488"/>
      <c r="B215" s="18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c r="AA215" s="182"/>
      <c r="AB215" s="182"/>
    </row>
    <row r="216">
      <c r="A216" s="488"/>
      <c r="B216" s="18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c r="AA216" s="182"/>
      <c r="AB216" s="182"/>
    </row>
    <row r="217">
      <c r="A217" s="488"/>
      <c r="B217" s="18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c r="AA217" s="182"/>
      <c r="AB217" s="182"/>
    </row>
    <row r="218">
      <c r="A218" s="488"/>
      <c r="B218" s="18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c r="AA218" s="182"/>
      <c r="AB218" s="182"/>
    </row>
    <row r="219">
      <c r="A219" s="488"/>
      <c r="B219" s="18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c r="AA219" s="182"/>
      <c r="AB219" s="182"/>
    </row>
    <row r="220">
      <c r="A220" s="488"/>
      <c r="B220" s="18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c r="AA220" s="182"/>
      <c r="AB220" s="182"/>
    </row>
    <row r="221">
      <c r="A221" s="488"/>
      <c r="B221" s="18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c r="AA221" s="182"/>
      <c r="AB221" s="182"/>
    </row>
    <row r="222">
      <c r="A222" s="488"/>
      <c r="B222" s="18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c r="AA222" s="182"/>
      <c r="AB222" s="182"/>
    </row>
    <row r="223">
      <c r="A223" s="488"/>
      <c r="B223" s="18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c r="AA223" s="182"/>
      <c r="AB223" s="182"/>
    </row>
    <row r="224">
      <c r="A224" s="488"/>
      <c r="B224" s="18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c r="AA224" s="182"/>
      <c r="AB224" s="182"/>
    </row>
    <row r="225">
      <c r="A225" s="488"/>
      <c r="B225" s="18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c r="AA225" s="182"/>
      <c r="AB225" s="182"/>
    </row>
    <row r="226">
      <c r="A226" s="488"/>
      <c r="B226" s="18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c r="AA226" s="182"/>
      <c r="AB226" s="182"/>
    </row>
    <row r="227">
      <c r="A227" s="488"/>
      <c r="B227" s="18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c r="AA227" s="182"/>
      <c r="AB227" s="182"/>
    </row>
    <row r="228">
      <c r="A228" s="488"/>
      <c r="B228" s="18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c r="AA228" s="182"/>
      <c r="AB228" s="182"/>
    </row>
    <row r="229">
      <c r="A229" s="488"/>
      <c r="B229" s="18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c r="AA229" s="182"/>
      <c r="AB229" s="182"/>
    </row>
    <row r="230">
      <c r="A230" s="488"/>
      <c r="B230" s="18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c r="AA230" s="182"/>
      <c r="AB230" s="182"/>
    </row>
    <row r="231">
      <c r="A231" s="488"/>
      <c r="B231" s="18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c r="AA231" s="182"/>
      <c r="AB231" s="182"/>
    </row>
    <row r="232">
      <c r="A232" s="488"/>
      <c r="B232" s="18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c r="AA232" s="182"/>
      <c r="AB232" s="182"/>
    </row>
    <row r="233">
      <c r="A233" s="488"/>
      <c r="B233" s="18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c r="AA233" s="182"/>
      <c r="AB233" s="182"/>
    </row>
    <row r="234">
      <c r="A234" s="488"/>
      <c r="B234" s="18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c r="AA234" s="182"/>
      <c r="AB234" s="182"/>
    </row>
    <row r="235">
      <c r="A235" s="488"/>
      <c r="B235" s="18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c r="AA235" s="182"/>
      <c r="AB235" s="182"/>
    </row>
    <row r="236">
      <c r="A236" s="488"/>
      <c r="B236" s="18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c r="AA236" s="182"/>
      <c r="AB236" s="182"/>
    </row>
    <row r="237">
      <c r="A237" s="488"/>
      <c r="B237" s="18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c r="AA237" s="182"/>
      <c r="AB237" s="182"/>
    </row>
    <row r="238">
      <c r="A238" s="488"/>
      <c r="B238" s="18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c r="AA238" s="182"/>
      <c r="AB238" s="182"/>
    </row>
    <row r="239">
      <c r="A239" s="488"/>
      <c r="B239" s="18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c r="AA239" s="182"/>
      <c r="AB239" s="182"/>
    </row>
    <row r="240">
      <c r="A240" s="488"/>
      <c r="B240" s="18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c r="AA240" s="182"/>
      <c r="AB240" s="182"/>
    </row>
    <row r="241">
      <c r="A241" s="488"/>
      <c r="B241" s="18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c r="AA241" s="182"/>
      <c r="AB241" s="182"/>
    </row>
    <row r="242">
      <c r="A242" s="488"/>
      <c r="B242" s="18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c r="AA242" s="182"/>
      <c r="AB242" s="182"/>
    </row>
    <row r="243">
      <c r="A243" s="488"/>
      <c r="B243" s="18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c r="AA243" s="182"/>
      <c r="AB243" s="182"/>
    </row>
    <row r="244">
      <c r="A244" s="488"/>
      <c r="B244" s="18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c r="AA244" s="182"/>
      <c r="AB244" s="182"/>
    </row>
    <row r="245">
      <c r="A245" s="488"/>
      <c r="B245" s="18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c r="AA245" s="182"/>
      <c r="AB245" s="182"/>
    </row>
    <row r="246">
      <c r="A246" s="488"/>
      <c r="B246" s="18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c r="AA246" s="182"/>
      <c r="AB246" s="182"/>
    </row>
    <row r="247">
      <c r="A247" s="488"/>
      <c r="B247" s="18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c r="AA247" s="182"/>
      <c r="AB247" s="182"/>
    </row>
    <row r="248">
      <c r="A248" s="488"/>
      <c r="B248" s="18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c r="AA248" s="182"/>
      <c r="AB248" s="182"/>
    </row>
    <row r="249">
      <c r="A249" s="488"/>
      <c r="B249" s="18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c r="AA249" s="182"/>
      <c r="AB249" s="182"/>
    </row>
    <row r="250">
      <c r="A250" s="488"/>
      <c r="B250" s="18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c r="AA250" s="182"/>
      <c r="AB250" s="182"/>
    </row>
    <row r="251">
      <c r="A251" s="488"/>
      <c r="B251" s="18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c r="AA251" s="182"/>
      <c r="AB251" s="182"/>
    </row>
    <row r="252">
      <c r="A252" s="488"/>
      <c r="B252" s="18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c r="AA252" s="182"/>
      <c r="AB252" s="182"/>
    </row>
    <row r="253">
      <c r="A253" s="488"/>
      <c r="B253" s="18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c r="AA253" s="182"/>
      <c r="AB253" s="182"/>
    </row>
    <row r="254">
      <c r="A254" s="488"/>
      <c r="B254" s="18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c r="AA254" s="182"/>
      <c r="AB254" s="182"/>
    </row>
    <row r="255">
      <c r="A255" s="488"/>
      <c r="B255" s="18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c r="AA255" s="182"/>
      <c r="AB255" s="182"/>
    </row>
    <row r="256">
      <c r="A256" s="488"/>
      <c r="B256" s="18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c r="AA256" s="182"/>
      <c r="AB256" s="182"/>
    </row>
    <row r="257">
      <c r="A257" s="488"/>
      <c r="B257" s="18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c r="AA257" s="182"/>
      <c r="AB257" s="182"/>
    </row>
    <row r="258">
      <c r="A258" s="488"/>
      <c r="B258" s="18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c r="AA258" s="182"/>
      <c r="AB258" s="182"/>
    </row>
    <row r="259">
      <c r="A259" s="488"/>
      <c r="B259" s="18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c r="AA259" s="182"/>
      <c r="AB259" s="182"/>
    </row>
    <row r="260">
      <c r="A260" s="488"/>
      <c r="B260" s="18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c r="AA260" s="182"/>
      <c r="AB260" s="182"/>
    </row>
    <row r="261">
      <c r="A261" s="488"/>
      <c r="B261" s="18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c r="AA261" s="182"/>
      <c r="AB261" s="182"/>
    </row>
    <row r="262">
      <c r="A262" s="488"/>
      <c r="B262" s="18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c r="AA262" s="182"/>
      <c r="AB262" s="182"/>
    </row>
    <row r="263">
      <c r="A263" s="488"/>
      <c r="B263" s="18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c r="AA263" s="182"/>
      <c r="AB263" s="182"/>
    </row>
    <row r="264">
      <c r="A264" s="488"/>
      <c r="B264" s="18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c r="AA264" s="182"/>
      <c r="AB264" s="182"/>
    </row>
    <row r="265">
      <c r="A265" s="488"/>
      <c r="B265" s="18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c r="AA265" s="182"/>
      <c r="AB265" s="182"/>
    </row>
    <row r="266">
      <c r="A266" s="488"/>
      <c r="B266" s="18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c r="AA266" s="182"/>
      <c r="AB266" s="182"/>
    </row>
    <row r="267">
      <c r="A267" s="488"/>
      <c r="B267" s="18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c r="AA267" s="182"/>
      <c r="AB267" s="182"/>
    </row>
    <row r="268">
      <c r="A268" s="488"/>
      <c r="B268" s="18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c r="AA268" s="182"/>
      <c r="AB268" s="182"/>
    </row>
    <row r="269">
      <c r="A269" s="488"/>
      <c r="B269" s="18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c r="AA269" s="182"/>
      <c r="AB269" s="182"/>
    </row>
    <row r="270">
      <c r="A270" s="488"/>
      <c r="B270" s="18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c r="AA270" s="182"/>
      <c r="AB270" s="182"/>
    </row>
    <row r="271">
      <c r="A271" s="488"/>
      <c r="B271" s="18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c r="AA271" s="182"/>
      <c r="AB271" s="182"/>
    </row>
    <row r="272">
      <c r="A272" s="488"/>
      <c r="B272" s="18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c r="AA272" s="182"/>
      <c r="AB272" s="182"/>
    </row>
    <row r="273">
      <c r="A273" s="488"/>
      <c r="B273" s="18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c r="AA273" s="182"/>
      <c r="AB273" s="182"/>
    </row>
    <row r="274">
      <c r="A274" s="488"/>
      <c r="B274" s="18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c r="AA274" s="182"/>
      <c r="AB274" s="182"/>
    </row>
    <row r="275">
      <c r="A275" s="488"/>
      <c r="B275" s="18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c r="AA275" s="182"/>
      <c r="AB275" s="182"/>
    </row>
    <row r="276">
      <c r="A276" s="488"/>
      <c r="B276" s="18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c r="AA276" s="182"/>
      <c r="AB276" s="182"/>
    </row>
    <row r="277">
      <c r="A277" s="488"/>
      <c r="B277" s="18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c r="AA277" s="182"/>
      <c r="AB277" s="182"/>
    </row>
    <row r="278">
      <c r="A278" s="488"/>
      <c r="B278" s="18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c r="AA278" s="182"/>
      <c r="AB278" s="182"/>
    </row>
    <row r="279">
      <c r="A279" s="488"/>
      <c r="B279" s="18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c r="AA279" s="182"/>
      <c r="AB279" s="182"/>
    </row>
    <row r="280">
      <c r="A280" s="488"/>
      <c r="B280" s="18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c r="AA280" s="182"/>
      <c r="AB280" s="182"/>
    </row>
    <row r="281">
      <c r="A281" s="488"/>
      <c r="B281" s="18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c r="AA281" s="182"/>
      <c r="AB281" s="182"/>
    </row>
    <row r="282">
      <c r="A282" s="488"/>
      <c r="B282" s="18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c r="AA282" s="182"/>
      <c r="AB282" s="182"/>
    </row>
    <row r="283">
      <c r="A283" s="488"/>
      <c r="B283" s="18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c r="AA283" s="182"/>
      <c r="AB283" s="182"/>
    </row>
    <row r="284">
      <c r="A284" s="488"/>
      <c r="B284" s="18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c r="AA284" s="182"/>
      <c r="AB284" s="182"/>
    </row>
    <row r="285">
      <c r="A285" s="488"/>
      <c r="B285" s="18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c r="AA285" s="182"/>
      <c r="AB285" s="182"/>
    </row>
    <row r="286">
      <c r="A286" s="488"/>
      <c r="B286" s="18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c r="AA286" s="182"/>
      <c r="AB286" s="182"/>
    </row>
    <row r="287">
      <c r="A287" s="488"/>
      <c r="B287" s="18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c r="AA287" s="182"/>
      <c r="AB287" s="182"/>
    </row>
    <row r="288">
      <c r="A288" s="488"/>
      <c r="B288" s="18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c r="AA288" s="182"/>
      <c r="AB288" s="182"/>
    </row>
    <row r="289">
      <c r="A289" s="488"/>
      <c r="B289" s="18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c r="AA289" s="182"/>
      <c r="AB289" s="182"/>
    </row>
    <row r="290">
      <c r="A290" s="488"/>
      <c r="B290" s="18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c r="AA290" s="182"/>
      <c r="AB290" s="182"/>
    </row>
    <row r="291">
      <c r="A291" s="488"/>
      <c r="B291" s="18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c r="AA291" s="182"/>
      <c r="AB291" s="182"/>
    </row>
    <row r="292">
      <c r="A292" s="488"/>
      <c r="B292" s="18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c r="AA292" s="182"/>
      <c r="AB292" s="182"/>
    </row>
    <row r="293">
      <c r="A293" s="488"/>
      <c r="B293" s="18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c r="AA293" s="182"/>
      <c r="AB293" s="182"/>
    </row>
    <row r="294">
      <c r="A294" s="488"/>
      <c r="B294" s="18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c r="AA294" s="182"/>
      <c r="AB294" s="182"/>
    </row>
    <row r="295">
      <c r="A295" s="488"/>
      <c r="B295" s="18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c r="AA295" s="182"/>
      <c r="AB295" s="182"/>
    </row>
    <row r="296">
      <c r="A296" s="488"/>
      <c r="B296" s="18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c r="AA296" s="182"/>
      <c r="AB296" s="182"/>
    </row>
    <row r="297">
      <c r="A297" s="488"/>
      <c r="B297" s="18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c r="AA297" s="182"/>
      <c r="AB297" s="182"/>
    </row>
    <row r="298">
      <c r="A298" s="488"/>
      <c r="B298" s="18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c r="AA298" s="182"/>
      <c r="AB298" s="182"/>
    </row>
    <row r="299">
      <c r="A299" s="488"/>
      <c r="B299" s="18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c r="AA299" s="182"/>
      <c r="AB299" s="182"/>
    </row>
    <row r="300">
      <c r="A300" s="488"/>
      <c r="B300" s="18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c r="AA300" s="182"/>
      <c r="AB300" s="182"/>
    </row>
    <row r="301">
      <c r="A301" s="488"/>
      <c r="B301" s="18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c r="AA301" s="182"/>
      <c r="AB301" s="182"/>
    </row>
    <row r="302">
      <c r="A302" s="488"/>
      <c r="B302" s="18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c r="AA302" s="182"/>
      <c r="AB302" s="182"/>
    </row>
    <row r="303">
      <c r="A303" s="488"/>
      <c r="B303" s="18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c r="AA303" s="182"/>
      <c r="AB303" s="182"/>
    </row>
    <row r="304">
      <c r="A304" s="488"/>
      <c r="B304" s="18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c r="AA304" s="182"/>
      <c r="AB304" s="182"/>
    </row>
    <row r="305">
      <c r="A305" s="488"/>
      <c r="B305" s="18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c r="AA305" s="182"/>
      <c r="AB305" s="182"/>
    </row>
    <row r="306">
      <c r="A306" s="488"/>
      <c r="B306" s="18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c r="AA306" s="182"/>
      <c r="AB306" s="182"/>
    </row>
    <row r="307">
      <c r="A307" s="488"/>
      <c r="B307" s="18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c r="AA307" s="182"/>
      <c r="AB307" s="182"/>
    </row>
    <row r="308">
      <c r="A308" s="488"/>
      <c r="B308" s="18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c r="AA308" s="182"/>
      <c r="AB308" s="182"/>
    </row>
    <row r="309">
      <c r="A309" s="488"/>
      <c r="B309" s="18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c r="AA309" s="182"/>
      <c r="AB309" s="182"/>
    </row>
    <row r="310">
      <c r="A310" s="488"/>
      <c r="B310" s="18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c r="AA310" s="182"/>
      <c r="AB310" s="182"/>
    </row>
    <row r="311">
      <c r="A311" s="488"/>
      <c r="B311" s="18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c r="AA311" s="182"/>
      <c r="AB311" s="182"/>
    </row>
    <row r="312">
      <c r="A312" s="488"/>
      <c r="B312" s="18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c r="AA312" s="182"/>
      <c r="AB312" s="182"/>
    </row>
    <row r="313">
      <c r="A313" s="488"/>
      <c r="B313" s="18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c r="AA313" s="182"/>
      <c r="AB313" s="182"/>
    </row>
    <row r="314">
      <c r="A314" s="488"/>
      <c r="B314" s="18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c r="AA314" s="182"/>
      <c r="AB314" s="182"/>
    </row>
    <row r="315">
      <c r="A315" s="488"/>
      <c r="B315" s="18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c r="AA315" s="182"/>
      <c r="AB315" s="182"/>
    </row>
    <row r="316">
      <c r="A316" s="488"/>
      <c r="B316" s="18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c r="AA316" s="182"/>
      <c r="AB316" s="182"/>
    </row>
    <row r="317">
      <c r="A317" s="488"/>
      <c r="B317" s="18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c r="AA317" s="182"/>
      <c r="AB317" s="182"/>
    </row>
    <row r="318">
      <c r="A318" s="488"/>
      <c r="B318" s="18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c r="AA318" s="182"/>
      <c r="AB318" s="182"/>
    </row>
    <row r="319">
      <c r="A319" s="488"/>
      <c r="B319" s="18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c r="AA319" s="182"/>
      <c r="AB319" s="182"/>
    </row>
    <row r="320">
      <c r="A320" s="488"/>
      <c r="B320" s="18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c r="AA320" s="182"/>
      <c r="AB320" s="182"/>
    </row>
    <row r="321">
      <c r="A321" s="488"/>
      <c r="B321" s="18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c r="AA321" s="182"/>
      <c r="AB321" s="182"/>
    </row>
    <row r="322">
      <c r="A322" s="488"/>
      <c r="B322" s="18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c r="AA322" s="182"/>
      <c r="AB322" s="182"/>
    </row>
    <row r="323">
      <c r="A323" s="488"/>
      <c r="B323" s="18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c r="AA323" s="182"/>
      <c r="AB323" s="182"/>
    </row>
    <row r="324">
      <c r="A324" s="488"/>
      <c r="B324" s="18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c r="AA324" s="182"/>
      <c r="AB324" s="182"/>
    </row>
    <row r="325">
      <c r="A325" s="488"/>
      <c r="B325" s="18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c r="AA325" s="182"/>
      <c r="AB325" s="182"/>
    </row>
    <row r="326">
      <c r="A326" s="488"/>
      <c r="B326" s="18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c r="AA326" s="182"/>
      <c r="AB326" s="182"/>
    </row>
    <row r="327">
      <c r="A327" s="488"/>
      <c r="B327" s="18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c r="AA327" s="182"/>
      <c r="AB327" s="182"/>
    </row>
    <row r="328">
      <c r="A328" s="488"/>
      <c r="B328" s="18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c r="AA328" s="182"/>
      <c r="AB328" s="182"/>
    </row>
    <row r="329">
      <c r="A329" s="488"/>
      <c r="B329" s="18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c r="AA329" s="182"/>
      <c r="AB329" s="182"/>
    </row>
    <row r="330">
      <c r="A330" s="488"/>
      <c r="B330" s="18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c r="AA330" s="182"/>
      <c r="AB330" s="182"/>
    </row>
    <row r="331">
      <c r="A331" s="488"/>
      <c r="B331" s="18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c r="AA331" s="182"/>
      <c r="AB331" s="182"/>
    </row>
    <row r="332">
      <c r="A332" s="488"/>
      <c r="B332" s="18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c r="AA332" s="182"/>
      <c r="AB332" s="182"/>
    </row>
    <row r="333">
      <c r="A333" s="488"/>
      <c r="B333" s="18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c r="AA333" s="182"/>
      <c r="AB333" s="182"/>
    </row>
    <row r="334">
      <c r="A334" s="488"/>
      <c r="B334" s="18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c r="AA334" s="182"/>
      <c r="AB334" s="182"/>
    </row>
    <row r="335">
      <c r="A335" s="488"/>
      <c r="B335" s="18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c r="AA335" s="182"/>
      <c r="AB335" s="182"/>
    </row>
    <row r="336">
      <c r="A336" s="488"/>
      <c r="B336" s="18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c r="AA336" s="182"/>
      <c r="AB336" s="182"/>
    </row>
    <row r="337">
      <c r="A337" s="488"/>
      <c r="B337" s="18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c r="AA337" s="182"/>
      <c r="AB337" s="182"/>
    </row>
    <row r="338">
      <c r="A338" s="488"/>
      <c r="B338" s="18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c r="AA338" s="182"/>
      <c r="AB338" s="182"/>
    </row>
    <row r="339">
      <c r="A339" s="488"/>
      <c r="B339" s="18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c r="AA339" s="182"/>
      <c r="AB339" s="182"/>
    </row>
    <row r="340">
      <c r="A340" s="488"/>
      <c r="B340" s="18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c r="AA340" s="182"/>
      <c r="AB340" s="182"/>
    </row>
    <row r="341">
      <c r="A341" s="488"/>
      <c r="B341" s="18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c r="AA341" s="182"/>
      <c r="AB341" s="182"/>
    </row>
    <row r="342">
      <c r="A342" s="488"/>
      <c r="B342" s="18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c r="AA342" s="182"/>
      <c r="AB342" s="182"/>
    </row>
    <row r="343">
      <c r="A343" s="488"/>
      <c r="B343" s="18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c r="AA343" s="182"/>
      <c r="AB343" s="182"/>
    </row>
    <row r="344">
      <c r="A344" s="488"/>
      <c r="B344" s="18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c r="AA344" s="182"/>
      <c r="AB344" s="182"/>
    </row>
    <row r="345">
      <c r="A345" s="488"/>
      <c r="B345" s="18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c r="AA345" s="182"/>
      <c r="AB345" s="182"/>
    </row>
    <row r="346">
      <c r="A346" s="488"/>
      <c r="B346" s="18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c r="AA346" s="182"/>
      <c r="AB346" s="182"/>
    </row>
    <row r="347">
      <c r="A347" s="488"/>
      <c r="B347" s="18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c r="AA347" s="182"/>
      <c r="AB347" s="182"/>
    </row>
    <row r="348">
      <c r="A348" s="488"/>
      <c r="B348" s="18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c r="AA348" s="182"/>
      <c r="AB348" s="182"/>
    </row>
    <row r="349">
      <c r="A349" s="488"/>
      <c r="B349" s="18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c r="AA349" s="182"/>
      <c r="AB349" s="182"/>
    </row>
    <row r="350">
      <c r="A350" s="488"/>
      <c r="B350" s="18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c r="AA350" s="182"/>
      <c r="AB350" s="182"/>
    </row>
    <row r="351">
      <c r="A351" s="488"/>
      <c r="B351" s="18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c r="AA351" s="182"/>
      <c r="AB351" s="182"/>
    </row>
    <row r="352">
      <c r="A352" s="488"/>
      <c r="B352" s="18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c r="AA352" s="182"/>
      <c r="AB352" s="182"/>
    </row>
    <row r="353">
      <c r="A353" s="488"/>
      <c r="B353" s="18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c r="AA353" s="182"/>
      <c r="AB353" s="182"/>
    </row>
    <row r="354">
      <c r="A354" s="488"/>
      <c r="B354" s="18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c r="AA354" s="182"/>
      <c r="AB354" s="182"/>
    </row>
    <row r="355">
      <c r="A355" s="488"/>
      <c r="B355" s="18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c r="AA355" s="182"/>
      <c r="AB355" s="182"/>
    </row>
    <row r="356">
      <c r="A356" s="488"/>
      <c r="B356" s="18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c r="AA356" s="182"/>
      <c r="AB356" s="182"/>
    </row>
    <row r="357">
      <c r="A357" s="488"/>
      <c r="B357" s="18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c r="AA357" s="182"/>
      <c r="AB357" s="182"/>
    </row>
    <row r="358">
      <c r="A358" s="488"/>
      <c r="B358" s="18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c r="AA358" s="182"/>
      <c r="AB358" s="182"/>
    </row>
    <row r="359">
      <c r="A359" s="488"/>
      <c r="B359" s="18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c r="AA359" s="182"/>
      <c r="AB359" s="182"/>
    </row>
    <row r="360">
      <c r="A360" s="488"/>
      <c r="B360" s="18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c r="AA360" s="182"/>
      <c r="AB360" s="182"/>
    </row>
    <row r="361">
      <c r="A361" s="488"/>
      <c r="B361" s="18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c r="AA361" s="182"/>
      <c r="AB361" s="182"/>
    </row>
    <row r="362">
      <c r="A362" s="488"/>
      <c r="B362" s="18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c r="AA362" s="182"/>
      <c r="AB362" s="182"/>
    </row>
    <row r="363">
      <c r="A363" s="488"/>
      <c r="B363" s="18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c r="AA363" s="182"/>
      <c r="AB363" s="182"/>
    </row>
    <row r="364">
      <c r="A364" s="488"/>
      <c r="B364" s="18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c r="AA364" s="182"/>
      <c r="AB364" s="182"/>
    </row>
    <row r="365">
      <c r="A365" s="488"/>
      <c r="B365" s="18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c r="AA365" s="182"/>
      <c r="AB365" s="182"/>
    </row>
    <row r="366">
      <c r="A366" s="488"/>
      <c r="B366" s="18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c r="AA366" s="182"/>
      <c r="AB366" s="182"/>
    </row>
    <row r="367">
      <c r="A367" s="488"/>
      <c r="B367" s="18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c r="AA367" s="182"/>
      <c r="AB367" s="182"/>
    </row>
    <row r="368">
      <c r="A368" s="488"/>
      <c r="B368" s="18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c r="AA368" s="182"/>
      <c r="AB368" s="182"/>
    </row>
    <row r="369">
      <c r="A369" s="488"/>
      <c r="B369" s="18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c r="AA369" s="182"/>
      <c r="AB369" s="182"/>
    </row>
    <row r="370">
      <c r="A370" s="488"/>
      <c r="B370" s="18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c r="AA370" s="182"/>
      <c r="AB370" s="182"/>
    </row>
    <row r="371">
      <c r="A371" s="488"/>
      <c r="B371" s="18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c r="AA371" s="182"/>
      <c r="AB371" s="182"/>
    </row>
    <row r="372">
      <c r="A372" s="488"/>
      <c r="B372" s="18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c r="AA372" s="182"/>
      <c r="AB372" s="182"/>
    </row>
    <row r="373">
      <c r="A373" s="488"/>
      <c r="B373" s="18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c r="AA373" s="182"/>
      <c r="AB373" s="182"/>
    </row>
    <row r="374">
      <c r="A374" s="488"/>
      <c r="B374" s="18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c r="AA374" s="182"/>
      <c r="AB374" s="182"/>
    </row>
    <row r="375">
      <c r="A375" s="488"/>
      <c r="B375" s="18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c r="AA375" s="182"/>
      <c r="AB375" s="182"/>
    </row>
    <row r="376">
      <c r="A376" s="488"/>
      <c r="B376" s="18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c r="AA376" s="182"/>
      <c r="AB376" s="182"/>
    </row>
    <row r="377">
      <c r="A377" s="488"/>
      <c r="B377" s="18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c r="AA377" s="182"/>
      <c r="AB377" s="182"/>
    </row>
    <row r="378">
      <c r="A378" s="488"/>
      <c r="B378" s="18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c r="AA378" s="182"/>
      <c r="AB378" s="182"/>
    </row>
    <row r="379">
      <c r="A379" s="488"/>
      <c r="B379" s="18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c r="AA379" s="182"/>
      <c r="AB379" s="182"/>
    </row>
    <row r="380">
      <c r="A380" s="488"/>
      <c r="B380" s="18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c r="AA380" s="182"/>
      <c r="AB380" s="182"/>
    </row>
    <row r="381">
      <c r="A381" s="488"/>
      <c r="B381" s="18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c r="AA381" s="182"/>
      <c r="AB381" s="182"/>
    </row>
    <row r="382">
      <c r="A382" s="488"/>
      <c r="B382" s="18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c r="AA382" s="182"/>
      <c r="AB382" s="182"/>
    </row>
    <row r="383">
      <c r="A383" s="488"/>
      <c r="B383" s="18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c r="AA383" s="182"/>
      <c r="AB383" s="182"/>
    </row>
    <row r="384">
      <c r="A384" s="488"/>
      <c r="B384" s="18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c r="AA384" s="182"/>
      <c r="AB384" s="182"/>
    </row>
    <row r="385">
      <c r="A385" s="488"/>
      <c r="B385" s="18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c r="AA385" s="182"/>
      <c r="AB385" s="182"/>
    </row>
    <row r="386">
      <c r="A386" s="488"/>
      <c r="B386" s="18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c r="AA386" s="182"/>
      <c r="AB386" s="182"/>
    </row>
    <row r="387">
      <c r="A387" s="488"/>
      <c r="B387" s="18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c r="AA387" s="182"/>
      <c r="AB387" s="182"/>
    </row>
    <row r="388">
      <c r="A388" s="488"/>
      <c r="B388" s="18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c r="AA388" s="182"/>
      <c r="AB388" s="182"/>
    </row>
    <row r="389">
      <c r="A389" s="488"/>
      <c r="B389" s="18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c r="AA389" s="182"/>
      <c r="AB389" s="182"/>
    </row>
    <row r="390">
      <c r="A390" s="488"/>
      <c r="B390" s="18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c r="AA390" s="182"/>
      <c r="AB390" s="182"/>
    </row>
    <row r="391">
      <c r="A391" s="488"/>
      <c r="B391" s="18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c r="AA391" s="182"/>
      <c r="AB391" s="182"/>
    </row>
    <row r="392">
      <c r="A392" s="488"/>
      <c r="B392" s="18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c r="AA392" s="182"/>
      <c r="AB392" s="182"/>
    </row>
    <row r="393">
      <c r="A393" s="488"/>
      <c r="B393" s="18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c r="AA393" s="182"/>
      <c r="AB393" s="182"/>
    </row>
    <row r="394">
      <c r="A394" s="488"/>
      <c r="B394" s="18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c r="AA394" s="182"/>
      <c r="AB394" s="182"/>
    </row>
    <row r="395">
      <c r="A395" s="488"/>
      <c r="B395" s="18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c r="AA395" s="182"/>
      <c r="AB395" s="182"/>
    </row>
    <row r="396">
      <c r="A396" s="488"/>
      <c r="B396" s="18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c r="AA396" s="182"/>
      <c r="AB396" s="182"/>
    </row>
    <row r="397">
      <c r="A397" s="488"/>
      <c r="B397" s="18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c r="AA397" s="182"/>
      <c r="AB397" s="182"/>
    </row>
    <row r="398">
      <c r="A398" s="488"/>
      <c r="B398" s="18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c r="AA398" s="182"/>
      <c r="AB398" s="182"/>
    </row>
    <row r="399">
      <c r="A399" s="488"/>
      <c r="B399" s="18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c r="AA399" s="182"/>
      <c r="AB399" s="182"/>
    </row>
    <row r="400">
      <c r="A400" s="488"/>
      <c r="B400" s="18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c r="AA400" s="182"/>
      <c r="AB400" s="182"/>
    </row>
    <row r="401">
      <c r="A401" s="488"/>
      <c r="B401" s="18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c r="AA401" s="182"/>
      <c r="AB401" s="182"/>
    </row>
    <row r="402">
      <c r="A402" s="488"/>
      <c r="B402" s="18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c r="AA402" s="182"/>
      <c r="AB402" s="182"/>
    </row>
    <row r="403">
      <c r="A403" s="488"/>
      <c r="B403" s="18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c r="AA403" s="182"/>
      <c r="AB403" s="182"/>
    </row>
    <row r="404">
      <c r="A404" s="488"/>
      <c r="B404" s="18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c r="AA404" s="182"/>
      <c r="AB404" s="182"/>
    </row>
    <row r="405">
      <c r="A405" s="488"/>
      <c r="B405" s="18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c r="AA405" s="182"/>
      <c r="AB405" s="182"/>
    </row>
    <row r="406">
      <c r="A406" s="488"/>
      <c r="B406" s="18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c r="AA406" s="182"/>
      <c r="AB406" s="182"/>
    </row>
    <row r="407">
      <c r="A407" s="488"/>
      <c r="B407" s="18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c r="AA407" s="182"/>
      <c r="AB407" s="182"/>
    </row>
    <row r="408">
      <c r="A408" s="488"/>
      <c r="B408" s="18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c r="AA408" s="182"/>
      <c r="AB408" s="182"/>
    </row>
    <row r="409">
      <c r="A409" s="488"/>
      <c r="B409" s="18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c r="AA409" s="182"/>
      <c r="AB409" s="182"/>
    </row>
    <row r="410">
      <c r="A410" s="488"/>
      <c r="B410" s="18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c r="AA410" s="182"/>
      <c r="AB410" s="182"/>
    </row>
    <row r="411">
      <c r="A411" s="488"/>
      <c r="B411" s="18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c r="AA411" s="182"/>
      <c r="AB411" s="182"/>
    </row>
    <row r="412">
      <c r="A412" s="488"/>
      <c r="B412" s="18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c r="AA412" s="182"/>
      <c r="AB412" s="182"/>
    </row>
    <row r="413">
      <c r="A413" s="488"/>
      <c r="B413" s="18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c r="AA413" s="182"/>
      <c r="AB413" s="182"/>
    </row>
    <row r="414">
      <c r="A414" s="488"/>
      <c r="B414" s="18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c r="AA414" s="182"/>
      <c r="AB414" s="182"/>
    </row>
    <row r="415">
      <c r="A415" s="488"/>
      <c r="B415" s="18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c r="AA415" s="182"/>
      <c r="AB415" s="182"/>
    </row>
    <row r="416">
      <c r="A416" s="488"/>
      <c r="B416" s="18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c r="AA416" s="182"/>
      <c r="AB416" s="182"/>
    </row>
    <row r="417">
      <c r="A417" s="488"/>
      <c r="B417" s="18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c r="AA417" s="182"/>
      <c r="AB417" s="182"/>
    </row>
    <row r="418">
      <c r="A418" s="488"/>
      <c r="B418" s="18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c r="AA418" s="182"/>
      <c r="AB418" s="182"/>
    </row>
    <row r="419">
      <c r="A419" s="488"/>
      <c r="B419" s="18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c r="AA419" s="182"/>
      <c r="AB419" s="182"/>
    </row>
    <row r="420">
      <c r="A420" s="488"/>
      <c r="B420" s="18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c r="AA420" s="182"/>
      <c r="AB420" s="182"/>
    </row>
    <row r="421">
      <c r="A421" s="488"/>
      <c r="B421" s="18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c r="AA421" s="182"/>
      <c r="AB421" s="182"/>
    </row>
    <row r="422">
      <c r="A422" s="488"/>
      <c r="B422" s="18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c r="AA422" s="182"/>
      <c r="AB422" s="182"/>
    </row>
    <row r="423">
      <c r="A423" s="488"/>
      <c r="B423" s="18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c r="AA423" s="182"/>
      <c r="AB423" s="182"/>
    </row>
    <row r="424">
      <c r="A424" s="488"/>
      <c r="B424" s="18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c r="AA424" s="182"/>
      <c r="AB424" s="182"/>
    </row>
    <row r="425">
      <c r="A425" s="488"/>
      <c r="B425" s="18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c r="AA425" s="182"/>
      <c r="AB425" s="182"/>
    </row>
    <row r="426">
      <c r="A426" s="488"/>
      <c r="B426" s="18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c r="AA426" s="182"/>
      <c r="AB426" s="182"/>
    </row>
    <row r="427">
      <c r="A427" s="488"/>
      <c r="B427" s="18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c r="AA427" s="182"/>
      <c r="AB427" s="182"/>
    </row>
    <row r="428">
      <c r="A428" s="488"/>
      <c r="B428" s="18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c r="AA428" s="182"/>
      <c r="AB428" s="182"/>
    </row>
    <row r="429">
      <c r="A429" s="488"/>
      <c r="B429" s="18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c r="AA429" s="182"/>
      <c r="AB429" s="182"/>
    </row>
    <row r="430">
      <c r="A430" s="488"/>
      <c r="B430" s="18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c r="AA430" s="182"/>
      <c r="AB430" s="182"/>
    </row>
    <row r="431">
      <c r="A431" s="488"/>
      <c r="B431" s="18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c r="AA431" s="182"/>
      <c r="AB431" s="182"/>
    </row>
    <row r="432">
      <c r="A432" s="488"/>
      <c r="B432" s="18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c r="AA432" s="182"/>
      <c r="AB432" s="182"/>
    </row>
    <row r="433">
      <c r="A433" s="488"/>
      <c r="B433" s="18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c r="AA433" s="182"/>
      <c r="AB433" s="182"/>
    </row>
    <row r="434">
      <c r="A434" s="488"/>
      <c r="B434" s="18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c r="AA434" s="182"/>
      <c r="AB434" s="182"/>
    </row>
    <row r="435">
      <c r="A435" s="488"/>
      <c r="B435" s="18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c r="AA435" s="182"/>
      <c r="AB435" s="182"/>
    </row>
    <row r="436">
      <c r="A436" s="488"/>
      <c r="B436" s="18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c r="AA436" s="182"/>
      <c r="AB436" s="182"/>
    </row>
    <row r="437">
      <c r="A437" s="488"/>
      <c r="B437" s="18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c r="AA437" s="182"/>
      <c r="AB437" s="182"/>
    </row>
    <row r="438">
      <c r="A438" s="488"/>
      <c r="B438" s="18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c r="AA438" s="182"/>
      <c r="AB438" s="182"/>
    </row>
    <row r="439">
      <c r="A439" s="488"/>
      <c r="B439" s="18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c r="AA439" s="182"/>
      <c r="AB439" s="182"/>
    </row>
    <row r="440">
      <c r="A440" s="488"/>
      <c r="B440" s="18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c r="AA440" s="182"/>
      <c r="AB440" s="182"/>
    </row>
    <row r="441">
      <c r="A441" s="488"/>
      <c r="B441" s="18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c r="AA441" s="182"/>
      <c r="AB441" s="182"/>
    </row>
    <row r="442">
      <c r="A442" s="488"/>
      <c r="B442" s="18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c r="AA442" s="182"/>
      <c r="AB442" s="182"/>
    </row>
    <row r="443">
      <c r="A443" s="488"/>
      <c r="B443" s="18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c r="AA443" s="182"/>
      <c r="AB443" s="182"/>
    </row>
    <row r="444">
      <c r="A444" s="488"/>
      <c r="B444" s="18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c r="AA444" s="182"/>
      <c r="AB444" s="182"/>
    </row>
    <row r="445">
      <c r="A445" s="488"/>
      <c r="B445" s="18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c r="AA445" s="182"/>
      <c r="AB445" s="182"/>
    </row>
    <row r="446">
      <c r="A446" s="488"/>
      <c r="B446" s="18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c r="AA446" s="182"/>
      <c r="AB446" s="182"/>
    </row>
    <row r="447">
      <c r="A447" s="488"/>
      <c r="B447" s="18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c r="AA447" s="182"/>
      <c r="AB447" s="182"/>
    </row>
    <row r="448">
      <c r="A448" s="488"/>
      <c r="B448" s="18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c r="AA448" s="182"/>
      <c r="AB448" s="182"/>
    </row>
    <row r="449">
      <c r="A449" s="488"/>
      <c r="B449" s="18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c r="AA449" s="182"/>
      <c r="AB449" s="182"/>
    </row>
    <row r="450">
      <c r="A450" s="488"/>
      <c r="B450" s="18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c r="AA450" s="182"/>
      <c r="AB450" s="182"/>
    </row>
    <row r="451">
      <c r="A451" s="488"/>
      <c r="B451" s="18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c r="AA451" s="182"/>
      <c r="AB451" s="182"/>
    </row>
    <row r="452">
      <c r="A452" s="488"/>
      <c r="B452" s="18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c r="AA452" s="182"/>
      <c r="AB452" s="182"/>
    </row>
    <row r="453">
      <c r="A453" s="488"/>
      <c r="B453" s="18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c r="AA453" s="182"/>
      <c r="AB453" s="182"/>
    </row>
    <row r="454">
      <c r="A454" s="488"/>
      <c r="B454" s="18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c r="AA454" s="182"/>
      <c r="AB454" s="182"/>
    </row>
    <row r="455">
      <c r="A455" s="488"/>
      <c r="B455" s="18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c r="AA455" s="182"/>
      <c r="AB455" s="182"/>
    </row>
    <row r="456">
      <c r="A456" s="488"/>
      <c r="B456" s="18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c r="AA456" s="182"/>
      <c r="AB456" s="182"/>
    </row>
    <row r="457">
      <c r="A457" s="488"/>
      <c r="B457" s="18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c r="AA457" s="182"/>
      <c r="AB457" s="182"/>
    </row>
    <row r="458">
      <c r="A458" s="488"/>
      <c r="B458" s="18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c r="AA458" s="182"/>
      <c r="AB458" s="182"/>
    </row>
    <row r="459">
      <c r="A459" s="488"/>
      <c r="B459" s="18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c r="AA459" s="182"/>
      <c r="AB459" s="182"/>
    </row>
    <row r="460">
      <c r="A460" s="488"/>
      <c r="B460" s="18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c r="AA460" s="182"/>
      <c r="AB460" s="182"/>
    </row>
    <row r="461">
      <c r="A461" s="488"/>
      <c r="B461" s="18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c r="AA461" s="182"/>
      <c r="AB461" s="182"/>
    </row>
    <row r="462">
      <c r="A462" s="488"/>
      <c r="B462" s="18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c r="AA462" s="182"/>
      <c r="AB462" s="182"/>
    </row>
    <row r="463">
      <c r="A463" s="488"/>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row>
    <row r="464">
      <c r="A464" s="488"/>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row>
    <row r="465">
      <c r="A465" s="488"/>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row>
    <row r="466">
      <c r="A466" s="488"/>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row>
    <row r="467">
      <c r="A467" s="488"/>
      <c r="B467" s="18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c r="AA467" s="182"/>
      <c r="AB467" s="182"/>
    </row>
    <row r="468">
      <c r="A468" s="488"/>
      <c r="B468" s="18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c r="AA468" s="182"/>
      <c r="AB468" s="182"/>
    </row>
    <row r="469">
      <c r="A469" s="488"/>
      <c r="B469" s="18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c r="AA469" s="182"/>
      <c r="AB469" s="182"/>
    </row>
    <row r="470">
      <c r="A470" s="488"/>
      <c r="B470" s="18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c r="AA470" s="182"/>
      <c r="AB470" s="182"/>
    </row>
    <row r="471">
      <c r="A471" s="488"/>
      <c r="B471" s="18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c r="AA471" s="182"/>
      <c r="AB471" s="182"/>
    </row>
    <row r="472">
      <c r="A472" s="488"/>
      <c r="B472" s="18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c r="AA472" s="182"/>
      <c r="AB472" s="182"/>
    </row>
    <row r="473">
      <c r="A473" s="488"/>
      <c r="B473" s="18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c r="AA473" s="182"/>
      <c r="AB473" s="182"/>
    </row>
    <row r="474">
      <c r="A474" s="488"/>
      <c r="B474" s="18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c r="AA474" s="182"/>
      <c r="AB474" s="182"/>
    </row>
    <row r="475">
      <c r="A475" s="488"/>
      <c r="B475" s="18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c r="AA475" s="182"/>
      <c r="AB475" s="182"/>
    </row>
    <row r="476">
      <c r="A476" s="488"/>
      <c r="B476" s="18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c r="AA476" s="182"/>
      <c r="AB476" s="182"/>
    </row>
    <row r="477">
      <c r="A477" s="488"/>
      <c r="B477" s="18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c r="AA477" s="182"/>
      <c r="AB477" s="182"/>
    </row>
    <row r="478">
      <c r="A478" s="488"/>
      <c r="B478" s="18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c r="AA478" s="182"/>
      <c r="AB478" s="182"/>
    </row>
    <row r="479">
      <c r="A479" s="488"/>
      <c r="B479" s="18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c r="AA479" s="182"/>
      <c r="AB479" s="182"/>
    </row>
    <row r="480">
      <c r="A480" s="488"/>
      <c r="B480" s="18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c r="AA480" s="182"/>
      <c r="AB480" s="182"/>
    </row>
    <row r="481">
      <c r="A481" s="488"/>
      <c r="B481" s="18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c r="AA481" s="182"/>
      <c r="AB481" s="182"/>
    </row>
    <row r="482">
      <c r="A482" s="488"/>
      <c r="B482" s="18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c r="AA482" s="182"/>
      <c r="AB482" s="182"/>
    </row>
    <row r="483">
      <c r="A483" s="488"/>
      <c r="B483" s="18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c r="AA483" s="182"/>
      <c r="AB483" s="182"/>
    </row>
    <row r="484">
      <c r="A484" s="488"/>
      <c r="B484" s="18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c r="AA484" s="182"/>
      <c r="AB484" s="182"/>
    </row>
    <row r="485">
      <c r="A485" s="488"/>
      <c r="B485" s="18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c r="AA485" s="182"/>
      <c r="AB485" s="182"/>
    </row>
    <row r="486">
      <c r="A486" s="488"/>
      <c r="B486" s="18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c r="AA486" s="182"/>
      <c r="AB486" s="182"/>
    </row>
    <row r="487">
      <c r="A487" s="488"/>
      <c r="B487" s="18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c r="AA487" s="182"/>
      <c r="AB487" s="182"/>
    </row>
    <row r="488">
      <c r="A488" s="488"/>
      <c r="B488" s="18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c r="AA488" s="182"/>
      <c r="AB488" s="182"/>
    </row>
    <row r="489">
      <c r="A489" s="488"/>
      <c r="B489" s="18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c r="AA489" s="182"/>
      <c r="AB489" s="182"/>
    </row>
    <row r="490">
      <c r="A490" s="488"/>
      <c r="B490" s="18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c r="AA490" s="182"/>
      <c r="AB490" s="182"/>
    </row>
    <row r="491">
      <c r="A491" s="488"/>
      <c r="B491" s="18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c r="AA491" s="182"/>
      <c r="AB491" s="182"/>
    </row>
    <row r="492">
      <c r="A492" s="488"/>
      <c r="B492" s="18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c r="AA492" s="182"/>
      <c r="AB492" s="182"/>
    </row>
    <row r="493">
      <c r="A493" s="488"/>
      <c r="B493" s="18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c r="AA493" s="182"/>
      <c r="AB493" s="182"/>
    </row>
    <row r="494">
      <c r="A494" s="488"/>
      <c r="B494" s="18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c r="AA494" s="182"/>
      <c r="AB494" s="182"/>
    </row>
    <row r="495">
      <c r="A495" s="488"/>
      <c r="B495" s="18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c r="AA495" s="182"/>
      <c r="AB495" s="182"/>
    </row>
    <row r="496">
      <c r="A496" s="488"/>
      <c r="B496" s="18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c r="AA496" s="182"/>
      <c r="AB496" s="182"/>
    </row>
    <row r="497">
      <c r="A497" s="488"/>
      <c r="B497" s="18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c r="AA497" s="182"/>
      <c r="AB497" s="182"/>
    </row>
    <row r="498">
      <c r="A498" s="488"/>
      <c r="B498" s="18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c r="AA498" s="182"/>
      <c r="AB498" s="182"/>
    </row>
    <row r="499">
      <c r="A499" s="488"/>
      <c r="B499" s="18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c r="AA499" s="182"/>
      <c r="AB499" s="182"/>
    </row>
    <row r="500">
      <c r="A500" s="488"/>
      <c r="B500" s="18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c r="AA500" s="182"/>
      <c r="AB500" s="182"/>
    </row>
    <row r="501">
      <c r="A501" s="488"/>
      <c r="B501" s="18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c r="AA501" s="182"/>
      <c r="AB501" s="182"/>
    </row>
    <row r="502">
      <c r="A502" s="488"/>
      <c r="B502" s="18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c r="AA502" s="182"/>
      <c r="AB502" s="182"/>
    </row>
    <row r="503">
      <c r="A503" s="488"/>
      <c r="B503" s="18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c r="AA503" s="182"/>
      <c r="AB503" s="182"/>
    </row>
    <row r="504">
      <c r="A504" s="488"/>
      <c r="B504" s="18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c r="AA504" s="182"/>
      <c r="AB504" s="182"/>
    </row>
    <row r="505">
      <c r="A505" s="488"/>
      <c r="B505" s="18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c r="AA505" s="182"/>
      <c r="AB505" s="182"/>
    </row>
    <row r="506">
      <c r="A506" s="488"/>
      <c r="B506" s="18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c r="AA506" s="182"/>
      <c r="AB506" s="182"/>
    </row>
    <row r="507">
      <c r="A507" s="488"/>
      <c r="B507" s="18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c r="AA507" s="182"/>
      <c r="AB507" s="182"/>
    </row>
    <row r="508">
      <c r="A508" s="488"/>
      <c r="B508" s="18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c r="AA508" s="182"/>
      <c r="AB508" s="182"/>
    </row>
    <row r="509">
      <c r="A509" s="488"/>
      <c r="B509" s="18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c r="AA509" s="182"/>
      <c r="AB509" s="182"/>
    </row>
    <row r="510">
      <c r="A510" s="488"/>
      <c r="B510" s="18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c r="AA510" s="182"/>
      <c r="AB510" s="182"/>
    </row>
    <row r="511">
      <c r="A511" s="488"/>
      <c r="B511" s="18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c r="AA511" s="182"/>
      <c r="AB511" s="182"/>
    </row>
    <row r="512">
      <c r="A512" s="488"/>
      <c r="B512" s="18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c r="AA512" s="182"/>
      <c r="AB512" s="182"/>
    </row>
    <row r="513">
      <c r="A513" s="488"/>
      <c r="B513" s="18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c r="AA513" s="182"/>
      <c r="AB513" s="182"/>
    </row>
    <row r="514">
      <c r="A514" s="488"/>
      <c r="B514" s="18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c r="AA514" s="182"/>
      <c r="AB514" s="182"/>
    </row>
    <row r="515">
      <c r="A515" s="488"/>
      <c r="B515" s="18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c r="AA515" s="182"/>
      <c r="AB515" s="182"/>
    </row>
    <row r="516">
      <c r="A516" s="488"/>
      <c r="B516" s="18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c r="AA516" s="182"/>
      <c r="AB516" s="182"/>
    </row>
    <row r="517">
      <c r="A517" s="488"/>
      <c r="B517" s="18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c r="AA517" s="182"/>
      <c r="AB517" s="182"/>
    </row>
    <row r="518">
      <c r="A518" s="488"/>
      <c r="B518" s="18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c r="AA518" s="182"/>
      <c r="AB518" s="182"/>
    </row>
    <row r="519">
      <c r="A519" s="488"/>
      <c r="B519" s="18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c r="AA519" s="182"/>
      <c r="AB519" s="182"/>
    </row>
    <row r="520">
      <c r="A520" s="488"/>
      <c r="B520" s="18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c r="AA520" s="182"/>
      <c r="AB520" s="182"/>
    </row>
    <row r="521">
      <c r="A521" s="488"/>
      <c r="B521" s="18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c r="AA521" s="182"/>
      <c r="AB521" s="182"/>
    </row>
    <row r="522">
      <c r="A522" s="488"/>
      <c r="B522" s="18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c r="AA522" s="182"/>
      <c r="AB522" s="182"/>
    </row>
    <row r="523">
      <c r="A523" s="488"/>
      <c r="B523" s="18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c r="AA523" s="182"/>
      <c r="AB523" s="182"/>
    </row>
    <row r="524">
      <c r="A524" s="488"/>
      <c r="B524" s="18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c r="AA524" s="182"/>
      <c r="AB524" s="182"/>
    </row>
    <row r="525">
      <c r="A525" s="488"/>
      <c r="B525" s="18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c r="AA525" s="182"/>
      <c r="AB525" s="182"/>
    </row>
    <row r="526">
      <c r="A526" s="488"/>
      <c r="B526" s="18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c r="AA526" s="182"/>
      <c r="AB526" s="182"/>
    </row>
    <row r="527">
      <c r="A527" s="488"/>
      <c r="B527" s="18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c r="AA527" s="182"/>
      <c r="AB527" s="182"/>
    </row>
    <row r="528">
      <c r="A528" s="488"/>
      <c r="B528" s="18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c r="AA528" s="182"/>
      <c r="AB528" s="182"/>
    </row>
    <row r="529">
      <c r="A529" s="488"/>
      <c r="B529" s="18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c r="AA529" s="182"/>
      <c r="AB529" s="182"/>
    </row>
    <row r="530">
      <c r="A530" s="488"/>
      <c r="B530" s="18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c r="AA530" s="182"/>
      <c r="AB530" s="182"/>
    </row>
    <row r="531">
      <c r="A531" s="488"/>
      <c r="B531" s="18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c r="AA531" s="182"/>
      <c r="AB531" s="182"/>
    </row>
    <row r="532">
      <c r="A532" s="488"/>
      <c r="B532" s="18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c r="AA532" s="182"/>
      <c r="AB532" s="182"/>
    </row>
    <row r="533">
      <c r="A533" s="488"/>
      <c r="B533" s="18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c r="AA533" s="182"/>
      <c r="AB533" s="182"/>
    </row>
    <row r="534">
      <c r="A534" s="488"/>
      <c r="B534" s="18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c r="AA534" s="182"/>
      <c r="AB534" s="182"/>
    </row>
    <row r="535">
      <c r="A535" s="488"/>
      <c r="B535" s="18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c r="AA535" s="182"/>
      <c r="AB535" s="182"/>
    </row>
    <row r="536">
      <c r="A536" s="488"/>
      <c r="B536" s="18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c r="AA536" s="182"/>
      <c r="AB536" s="182"/>
    </row>
    <row r="537">
      <c r="A537" s="488"/>
      <c r="B537" s="18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c r="AA537" s="182"/>
      <c r="AB537" s="182"/>
    </row>
    <row r="538">
      <c r="A538" s="488"/>
      <c r="B538" s="18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c r="AA538" s="182"/>
      <c r="AB538" s="182"/>
    </row>
    <row r="539">
      <c r="A539" s="488"/>
      <c r="B539" s="18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c r="AA539" s="182"/>
      <c r="AB539" s="182"/>
    </row>
    <row r="540">
      <c r="A540" s="488"/>
      <c r="B540" s="18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c r="AA540" s="182"/>
      <c r="AB540" s="182"/>
    </row>
    <row r="541">
      <c r="A541" s="488"/>
      <c r="B541" s="18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c r="AA541" s="182"/>
      <c r="AB541" s="182"/>
    </row>
    <row r="542">
      <c r="A542" s="488"/>
      <c r="B542" s="18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c r="AA542" s="182"/>
      <c r="AB542" s="182"/>
    </row>
    <row r="543">
      <c r="A543" s="488"/>
      <c r="B543" s="18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c r="AA543" s="182"/>
      <c r="AB543" s="182"/>
    </row>
    <row r="544">
      <c r="A544" s="488"/>
      <c r="B544" s="18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c r="AA544" s="182"/>
      <c r="AB544" s="182"/>
    </row>
    <row r="545">
      <c r="A545" s="488"/>
      <c r="B545" s="18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c r="AA545" s="182"/>
      <c r="AB545" s="182"/>
    </row>
    <row r="546">
      <c r="A546" s="488"/>
      <c r="B546" s="18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c r="AA546" s="182"/>
      <c r="AB546" s="182"/>
    </row>
    <row r="547">
      <c r="A547" s="488"/>
      <c r="B547" s="18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c r="AA547" s="182"/>
      <c r="AB547" s="182"/>
    </row>
    <row r="548">
      <c r="A548" s="488"/>
      <c r="B548" s="18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c r="AA548" s="182"/>
      <c r="AB548" s="182"/>
    </row>
    <row r="549">
      <c r="A549" s="488"/>
      <c r="B549" s="18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c r="AA549" s="182"/>
      <c r="AB549" s="182"/>
    </row>
    <row r="550">
      <c r="A550" s="488"/>
      <c r="B550" s="18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c r="AA550" s="182"/>
      <c r="AB550" s="182"/>
    </row>
    <row r="551">
      <c r="A551" s="488"/>
      <c r="B551" s="18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c r="AA551" s="182"/>
      <c r="AB551" s="182"/>
    </row>
    <row r="552">
      <c r="A552" s="488"/>
      <c r="B552" s="18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c r="AA552" s="182"/>
      <c r="AB552" s="182"/>
    </row>
    <row r="553">
      <c r="A553" s="488"/>
      <c r="B553" s="18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c r="AA553" s="182"/>
      <c r="AB553" s="182"/>
    </row>
    <row r="554">
      <c r="A554" s="488"/>
      <c r="B554" s="18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c r="AA554" s="182"/>
      <c r="AB554" s="182"/>
    </row>
    <row r="555">
      <c r="A555" s="488"/>
      <c r="B555" s="18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c r="AA555" s="182"/>
      <c r="AB555" s="182"/>
    </row>
    <row r="556">
      <c r="A556" s="488"/>
      <c r="B556" s="18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c r="AA556" s="182"/>
      <c r="AB556" s="182"/>
    </row>
    <row r="557">
      <c r="A557" s="488"/>
      <c r="B557" s="18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c r="AA557" s="182"/>
      <c r="AB557" s="182"/>
    </row>
    <row r="558">
      <c r="A558" s="488"/>
      <c r="B558" s="18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c r="AA558" s="182"/>
      <c r="AB558" s="182"/>
    </row>
    <row r="559">
      <c r="A559" s="488"/>
      <c r="B559" s="18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c r="AA559" s="182"/>
      <c r="AB559" s="182"/>
    </row>
    <row r="560">
      <c r="A560" s="488"/>
      <c r="B560" s="18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c r="AA560" s="182"/>
      <c r="AB560" s="182"/>
    </row>
    <row r="561">
      <c r="A561" s="488"/>
      <c r="B561" s="18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c r="AA561" s="182"/>
      <c r="AB561" s="182"/>
    </row>
    <row r="562">
      <c r="A562" s="488"/>
      <c r="B562" s="18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c r="AA562" s="182"/>
      <c r="AB562" s="182"/>
    </row>
    <row r="563">
      <c r="A563" s="488"/>
      <c r="B563" s="18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c r="AA563" s="182"/>
      <c r="AB563" s="182"/>
    </row>
    <row r="564">
      <c r="A564" s="488"/>
      <c r="B564" s="18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c r="AA564" s="182"/>
      <c r="AB564" s="182"/>
    </row>
    <row r="565">
      <c r="A565" s="488"/>
      <c r="B565" s="18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c r="AA565" s="182"/>
      <c r="AB565" s="182"/>
    </row>
    <row r="566">
      <c r="A566" s="488"/>
      <c r="B566" s="18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c r="AA566" s="182"/>
      <c r="AB566" s="182"/>
    </row>
    <row r="567">
      <c r="A567" s="488"/>
      <c r="B567" s="18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c r="AA567" s="182"/>
      <c r="AB567" s="182"/>
    </row>
    <row r="568">
      <c r="A568" s="488"/>
      <c r="B568" s="18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c r="AA568" s="182"/>
      <c r="AB568" s="182"/>
    </row>
    <row r="569">
      <c r="A569" s="488"/>
      <c r="B569" s="18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c r="AA569" s="182"/>
      <c r="AB569" s="182"/>
    </row>
    <row r="570">
      <c r="A570" s="488"/>
      <c r="B570" s="18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c r="AA570" s="182"/>
      <c r="AB570" s="182"/>
    </row>
    <row r="571">
      <c r="A571" s="488"/>
      <c r="B571" s="18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c r="AA571" s="182"/>
      <c r="AB571" s="182"/>
    </row>
    <row r="572">
      <c r="A572" s="488"/>
      <c r="B572" s="18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c r="AA572" s="182"/>
      <c r="AB572" s="182"/>
    </row>
    <row r="573">
      <c r="A573" s="488"/>
      <c r="B573" s="18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c r="AA573" s="182"/>
      <c r="AB573" s="182"/>
    </row>
    <row r="574">
      <c r="A574" s="488"/>
      <c r="B574" s="18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c r="AA574" s="182"/>
      <c r="AB574" s="182"/>
    </row>
    <row r="575">
      <c r="A575" s="488"/>
      <c r="B575" s="18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c r="AA575" s="182"/>
      <c r="AB575" s="182"/>
    </row>
    <row r="576">
      <c r="A576" s="488"/>
      <c r="B576" s="18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c r="AA576" s="182"/>
      <c r="AB576" s="182"/>
    </row>
    <row r="577">
      <c r="A577" s="488"/>
      <c r="B577" s="18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c r="AA577" s="182"/>
      <c r="AB577" s="182"/>
    </row>
    <row r="578">
      <c r="A578" s="488"/>
      <c r="B578" s="18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c r="AA578" s="182"/>
      <c r="AB578" s="182"/>
    </row>
    <row r="579">
      <c r="A579" s="488"/>
      <c r="B579" s="18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c r="AA579" s="182"/>
      <c r="AB579" s="182"/>
    </row>
    <row r="580">
      <c r="A580" s="488"/>
      <c r="B580" s="18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c r="AA580" s="182"/>
      <c r="AB580" s="182"/>
    </row>
    <row r="581">
      <c r="A581" s="488"/>
      <c r="B581" s="18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c r="AA581" s="182"/>
      <c r="AB581" s="182"/>
    </row>
    <row r="582">
      <c r="A582" s="488"/>
      <c r="B582" s="18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c r="AA582" s="182"/>
      <c r="AB582" s="182"/>
    </row>
    <row r="583">
      <c r="A583" s="488"/>
      <c r="B583" s="18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c r="AA583" s="182"/>
      <c r="AB583" s="182"/>
    </row>
    <row r="584">
      <c r="A584" s="488"/>
      <c r="B584" s="18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c r="AA584" s="182"/>
      <c r="AB584" s="182"/>
    </row>
    <row r="585">
      <c r="A585" s="488"/>
      <c r="B585" s="18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c r="AA585" s="182"/>
      <c r="AB585" s="182"/>
    </row>
    <row r="586">
      <c r="A586" s="488"/>
      <c r="B586" s="18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c r="AA586" s="182"/>
      <c r="AB586" s="182"/>
    </row>
    <row r="587">
      <c r="A587" s="488"/>
      <c r="B587" s="18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c r="AA587" s="182"/>
      <c r="AB587" s="182"/>
    </row>
    <row r="588">
      <c r="A588" s="488"/>
      <c r="B588" s="18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c r="AA588" s="182"/>
      <c r="AB588" s="182"/>
    </row>
    <row r="589">
      <c r="A589" s="488"/>
      <c r="B589" s="18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c r="AA589" s="182"/>
      <c r="AB589" s="182"/>
    </row>
    <row r="590">
      <c r="A590" s="488"/>
      <c r="B590" s="18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c r="AA590" s="182"/>
      <c r="AB590" s="182"/>
    </row>
    <row r="591">
      <c r="A591" s="488"/>
      <c r="B591" s="18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c r="AA591" s="182"/>
      <c r="AB591" s="182"/>
    </row>
    <row r="592">
      <c r="A592" s="488"/>
      <c r="B592" s="18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c r="AA592" s="182"/>
      <c r="AB592" s="182"/>
    </row>
    <row r="593">
      <c r="A593" s="488"/>
      <c r="B593" s="18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c r="AA593" s="182"/>
      <c r="AB593" s="182"/>
    </row>
    <row r="594">
      <c r="A594" s="488"/>
      <c r="B594" s="18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c r="AA594" s="182"/>
      <c r="AB594" s="182"/>
    </row>
    <row r="595">
      <c r="A595" s="488"/>
      <c r="B595" s="18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c r="AA595" s="182"/>
      <c r="AB595" s="182"/>
    </row>
    <row r="596">
      <c r="A596" s="488"/>
      <c r="B596" s="18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c r="AA596" s="182"/>
      <c r="AB596" s="182"/>
    </row>
    <row r="597">
      <c r="A597" s="488"/>
      <c r="B597" s="18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c r="AA597" s="182"/>
      <c r="AB597" s="182"/>
    </row>
    <row r="598">
      <c r="A598" s="488"/>
      <c r="B598" s="18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c r="AA598" s="182"/>
      <c r="AB598" s="182"/>
    </row>
    <row r="599">
      <c r="A599" s="488"/>
      <c r="B599" s="18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c r="AA599" s="182"/>
      <c r="AB599" s="182"/>
    </row>
    <row r="600">
      <c r="A600" s="488"/>
      <c r="B600" s="18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c r="AA600" s="182"/>
      <c r="AB600" s="182"/>
    </row>
    <row r="601">
      <c r="A601" s="488"/>
      <c r="B601" s="18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c r="AA601" s="182"/>
      <c r="AB601" s="182"/>
    </row>
    <row r="602">
      <c r="A602" s="488"/>
      <c r="B602" s="18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c r="AA602" s="182"/>
      <c r="AB602" s="182"/>
    </row>
    <row r="603">
      <c r="A603" s="488"/>
      <c r="B603" s="18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c r="AA603" s="182"/>
      <c r="AB603" s="182"/>
    </row>
    <row r="604">
      <c r="A604" s="488"/>
      <c r="B604" s="18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c r="AA604" s="182"/>
      <c r="AB604" s="182"/>
    </row>
    <row r="605">
      <c r="A605" s="488"/>
      <c r="B605" s="18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c r="AA605" s="182"/>
      <c r="AB605" s="182"/>
    </row>
    <row r="606">
      <c r="A606" s="488"/>
      <c r="B606" s="18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c r="AA606" s="182"/>
      <c r="AB606" s="182"/>
    </row>
    <row r="607">
      <c r="A607" s="488"/>
      <c r="B607" s="18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c r="AA607" s="182"/>
      <c r="AB607" s="182"/>
    </row>
    <row r="608">
      <c r="A608" s="488"/>
      <c r="B608" s="18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c r="AA608" s="182"/>
      <c r="AB608" s="182"/>
    </row>
    <row r="609">
      <c r="A609" s="488"/>
      <c r="B609" s="18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c r="AA609" s="182"/>
      <c r="AB609" s="182"/>
    </row>
    <row r="610">
      <c r="A610" s="488"/>
      <c r="B610" s="18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c r="AA610" s="182"/>
      <c r="AB610" s="182"/>
    </row>
    <row r="611">
      <c r="A611" s="488"/>
      <c r="B611" s="18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c r="AA611" s="182"/>
      <c r="AB611" s="182"/>
    </row>
    <row r="612">
      <c r="A612" s="488"/>
      <c r="B612" s="18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c r="AA612" s="182"/>
      <c r="AB612" s="182"/>
    </row>
    <row r="613">
      <c r="A613" s="488"/>
      <c r="B613" s="18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c r="AA613" s="182"/>
      <c r="AB613" s="182"/>
    </row>
    <row r="614">
      <c r="A614" s="488"/>
      <c r="B614" s="18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c r="AA614" s="182"/>
      <c r="AB614" s="182"/>
    </row>
    <row r="615">
      <c r="A615" s="488"/>
      <c r="B615" s="18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c r="AA615" s="182"/>
      <c r="AB615" s="182"/>
    </row>
    <row r="616">
      <c r="A616" s="488"/>
      <c r="B616" s="18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c r="AA616" s="182"/>
      <c r="AB616" s="182"/>
    </row>
    <row r="617">
      <c r="A617" s="488"/>
      <c r="B617" s="18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c r="AA617" s="182"/>
      <c r="AB617" s="182"/>
    </row>
    <row r="618">
      <c r="A618" s="488"/>
      <c r="B618" s="18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c r="AA618" s="182"/>
      <c r="AB618" s="182"/>
    </row>
    <row r="619">
      <c r="A619" s="488"/>
      <c r="B619" s="18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c r="AA619" s="182"/>
      <c r="AB619" s="182"/>
    </row>
    <row r="620">
      <c r="A620" s="488"/>
      <c r="B620" s="18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c r="AA620" s="182"/>
      <c r="AB620" s="182"/>
    </row>
    <row r="621">
      <c r="A621" s="488"/>
      <c r="B621" s="18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c r="AA621" s="182"/>
      <c r="AB621" s="182"/>
    </row>
    <row r="622">
      <c r="A622" s="488"/>
      <c r="B622" s="18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c r="AA622" s="182"/>
      <c r="AB622" s="182"/>
    </row>
    <row r="623">
      <c r="A623" s="488"/>
      <c r="B623" s="18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c r="AA623" s="182"/>
      <c r="AB623" s="182"/>
    </row>
    <row r="624">
      <c r="A624" s="488"/>
      <c r="B624" s="18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c r="AA624" s="182"/>
      <c r="AB624" s="182"/>
    </row>
    <row r="625">
      <c r="A625" s="488"/>
      <c r="B625" s="18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c r="AA625" s="182"/>
      <c r="AB625" s="182"/>
    </row>
    <row r="626">
      <c r="A626" s="488"/>
      <c r="B626" s="18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c r="AA626" s="182"/>
      <c r="AB626" s="182"/>
    </row>
    <row r="627">
      <c r="A627" s="488"/>
      <c r="B627" s="18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c r="AA627" s="182"/>
      <c r="AB627" s="182"/>
    </row>
    <row r="628">
      <c r="A628" s="488"/>
      <c r="B628" s="18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c r="AA628" s="182"/>
      <c r="AB628" s="182"/>
    </row>
    <row r="629">
      <c r="A629" s="488"/>
      <c r="B629" s="18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c r="AA629" s="182"/>
      <c r="AB629" s="182"/>
    </row>
    <row r="630">
      <c r="A630" s="488"/>
      <c r="B630" s="18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c r="AA630" s="182"/>
      <c r="AB630" s="182"/>
    </row>
    <row r="631">
      <c r="A631" s="488"/>
      <c r="B631" s="18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c r="AA631" s="182"/>
      <c r="AB631" s="182"/>
    </row>
    <row r="632">
      <c r="A632" s="488"/>
      <c r="B632" s="18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c r="AA632" s="182"/>
      <c r="AB632" s="182"/>
    </row>
    <row r="633">
      <c r="A633" s="488"/>
      <c r="B633" s="18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c r="AA633" s="182"/>
      <c r="AB633" s="182"/>
    </row>
    <row r="634">
      <c r="A634" s="488"/>
      <c r="B634" s="18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c r="AA634" s="182"/>
      <c r="AB634" s="182"/>
    </row>
    <row r="635">
      <c r="A635" s="488"/>
      <c r="B635" s="18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c r="AA635" s="182"/>
      <c r="AB635" s="182"/>
    </row>
    <row r="636">
      <c r="A636" s="488"/>
      <c r="B636" s="18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c r="AA636" s="182"/>
      <c r="AB636" s="182"/>
    </row>
    <row r="637">
      <c r="A637" s="488"/>
      <c r="B637" s="18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c r="AA637" s="182"/>
      <c r="AB637" s="182"/>
    </row>
    <row r="638">
      <c r="A638" s="488"/>
      <c r="B638" s="18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c r="AA638" s="182"/>
      <c r="AB638" s="182"/>
    </row>
    <row r="639">
      <c r="A639" s="488"/>
      <c r="B639" s="18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c r="AA639" s="182"/>
      <c r="AB639" s="182"/>
    </row>
    <row r="640">
      <c r="A640" s="488"/>
      <c r="B640" s="18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c r="AA640" s="182"/>
      <c r="AB640" s="182"/>
    </row>
    <row r="641">
      <c r="A641" s="488"/>
      <c r="B641" s="18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c r="AA641" s="182"/>
      <c r="AB641" s="182"/>
    </row>
    <row r="642">
      <c r="A642" s="488"/>
      <c r="B642" s="18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c r="AA642" s="182"/>
      <c r="AB642" s="182"/>
    </row>
    <row r="643">
      <c r="A643" s="488"/>
      <c r="B643" s="18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c r="AA643" s="182"/>
      <c r="AB643" s="182"/>
    </row>
    <row r="644">
      <c r="A644" s="488"/>
      <c r="B644" s="18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c r="AA644" s="182"/>
      <c r="AB644" s="182"/>
    </row>
    <row r="645">
      <c r="A645" s="488"/>
      <c r="B645" s="18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c r="AA645" s="182"/>
      <c r="AB645" s="182"/>
    </row>
    <row r="646">
      <c r="A646" s="488"/>
      <c r="B646" s="18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c r="AA646" s="182"/>
      <c r="AB646" s="182"/>
    </row>
    <row r="647">
      <c r="A647" s="488"/>
      <c r="B647" s="18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c r="AA647" s="182"/>
      <c r="AB647" s="182"/>
    </row>
    <row r="648">
      <c r="A648" s="488"/>
      <c r="B648" s="18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c r="AA648" s="182"/>
      <c r="AB648" s="182"/>
    </row>
    <row r="649">
      <c r="A649" s="488"/>
      <c r="B649" s="18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c r="AA649" s="182"/>
      <c r="AB649" s="182"/>
    </row>
    <row r="650">
      <c r="A650" s="488"/>
      <c r="B650" s="18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c r="AA650" s="182"/>
      <c r="AB650" s="182"/>
    </row>
    <row r="651">
      <c r="A651" s="488"/>
      <c r="B651" s="18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c r="AA651" s="182"/>
      <c r="AB651" s="182"/>
    </row>
    <row r="652">
      <c r="A652" s="488"/>
      <c r="B652" s="18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c r="AA652" s="182"/>
      <c r="AB652" s="182"/>
    </row>
    <row r="653">
      <c r="A653" s="488"/>
      <c r="B653" s="18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c r="AA653" s="182"/>
      <c r="AB653" s="182"/>
    </row>
    <row r="654">
      <c r="A654" s="488"/>
      <c r="B654" s="18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c r="AA654" s="182"/>
      <c r="AB654" s="182"/>
    </row>
    <row r="655">
      <c r="A655" s="488"/>
      <c r="B655" s="18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c r="AA655" s="182"/>
      <c r="AB655" s="182"/>
    </row>
    <row r="656">
      <c r="A656" s="488"/>
      <c r="B656" s="18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c r="AA656" s="182"/>
      <c r="AB656" s="182"/>
    </row>
    <row r="657">
      <c r="A657" s="488"/>
      <c r="B657" s="18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c r="AA657" s="182"/>
      <c r="AB657" s="182"/>
    </row>
    <row r="658">
      <c r="A658" s="488"/>
      <c r="B658" s="18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c r="AA658" s="182"/>
      <c r="AB658" s="182"/>
    </row>
    <row r="659">
      <c r="A659" s="488"/>
      <c r="B659" s="18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c r="AA659" s="182"/>
      <c r="AB659" s="182"/>
    </row>
    <row r="660">
      <c r="A660" s="488"/>
      <c r="B660" s="18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c r="AA660" s="182"/>
      <c r="AB660" s="182"/>
    </row>
    <row r="661">
      <c r="A661" s="488"/>
      <c r="B661" s="18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c r="AA661" s="182"/>
      <c r="AB661" s="182"/>
    </row>
    <row r="662">
      <c r="A662" s="488"/>
      <c r="B662" s="18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c r="AA662" s="182"/>
      <c r="AB662" s="182"/>
    </row>
    <row r="663">
      <c r="A663" s="488"/>
      <c r="B663" s="18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c r="AA663" s="182"/>
      <c r="AB663" s="182"/>
    </row>
    <row r="664">
      <c r="A664" s="488"/>
      <c r="B664" s="18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c r="AA664" s="182"/>
      <c r="AB664" s="182"/>
    </row>
    <row r="665">
      <c r="A665" s="488"/>
      <c r="B665" s="18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c r="AA665" s="182"/>
      <c r="AB665" s="182"/>
    </row>
    <row r="666">
      <c r="A666" s="488"/>
      <c r="B666" s="18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c r="AA666" s="182"/>
      <c r="AB666" s="182"/>
    </row>
    <row r="667">
      <c r="A667" s="488"/>
      <c r="B667" s="18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c r="AA667" s="182"/>
      <c r="AB667" s="182"/>
    </row>
    <row r="668">
      <c r="A668" s="488"/>
      <c r="B668" s="18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c r="AA668" s="182"/>
      <c r="AB668" s="182"/>
    </row>
    <row r="669">
      <c r="A669" s="488"/>
      <c r="B669" s="18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c r="AA669" s="182"/>
      <c r="AB669" s="182"/>
    </row>
    <row r="670">
      <c r="A670" s="488"/>
      <c r="B670" s="18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c r="AA670" s="182"/>
      <c r="AB670" s="182"/>
    </row>
    <row r="671">
      <c r="A671" s="488"/>
      <c r="B671" s="18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c r="AA671" s="182"/>
      <c r="AB671" s="182"/>
    </row>
    <row r="672">
      <c r="A672" s="488"/>
      <c r="B672" s="18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c r="AA672" s="182"/>
      <c r="AB672" s="182"/>
    </row>
    <row r="673">
      <c r="A673" s="488"/>
      <c r="B673" s="18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c r="AA673" s="182"/>
      <c r="AB673" s="182"/>
    </row>
    <row r="674">
      <c r="A674" s="488"/>
      <c r="B674" s="18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c r="AA674" s="182"/>
      <c r="AB674" s="182"/>
    </row>
    <row r="675">
      <c r="A675" s="488"/>
      <c r="B675" s="18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c r="AA675" s="182"/>
      <c r="AB675" s="182"/>
    </row>
    <row r="676">
      <c r="A676" s="488"/>
      <c r="B676" s="18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c r="AA676" s="182"/>
      <c r="AB676" s="182"/>
    </row>
    <row r="677">
      <c r="A677" s="488"/>
      <c r="B677" s="18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c r="AA677" s="182"/>
      <c r="AB677" s="182"/>
    </row>
    <row r="678">
      <c r="A678" s="488"/>
      <c r="B678" s="18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c r="AA678" s="182"/>
      <c r="AB678" s="182"/>
    </row>
    <row r="679">
      <c r="A679" s="488"/>
      <c r="B679" s="18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c r="AA679" s="182"/>
      <c r="AB679" s="182"/>
    </row>
    <row r="680">
      <c r="A680" s="488"/>
      <c r="B680" s="18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c r="AA680" s="182"/>
      <c r="AB680" s="182"/>
    </row>
    <row r="681">
      <c r="A681" s="488"/>
      <c r="B681" s="18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c r="AA681" s="182"/>
      <c r="AB681" s="182"/>
    </row>
    <row r="682">
      <c r="A682" s="488"/>
      <c r="B682" s="18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c r="AA682" s="182"/>
      <c r="AB682" s="182"/>
    </row>
    <row r="683">
      <c r="A683" s="488"/>
      <c r="B683" s="18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c r="AA683" s="182"/>
      <c r="AB683" s="182"/>
    </row>
    <row r="684">
      <c r="A684" s="488"/>
      <c r="B684" s="18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c r="AA684" s="182"/>
      <c r="AB684" s="182"/>
    </row>
    <row r="685">
      <c r="A685" s="488"/>
      <c r="B685" s="18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c r="AA685" s="182"/>
      <c r="AB685" s="182"/>
    </row>
    <row r="686">
      <c r="A686" s="488"/>
      <c r="B686" s="18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c r="AA686" s="182"/>
      <c r="AB686" s="182"/>
    </row>
    <row r="687">
      <c r="A687" s="488"/>
      <c r="B687" s="18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c r="AA687" s="182"/>
      <c r="AB687" s="182"/>
    </row>
    <row r="688">
      <c r="A688" s="488"/>
      <c r="B688" s="18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c r="AA688" s="182"/>
      <c r="AB688" s="182"/>
    </row>
    <row r="689">
      <c r="A689" s="488"/>
      <c r="B689" s="18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c r="AA689" s="182"/>
      <c r="AB689" s="182"/>
    </row>
    <row r="690">
      <c r="A690" s="488"/>
      <c r="B690" s="18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c r="AA690" s="182"/>
      <c r="AB690" s="182"/>
    </row>
    <row r="691">
      <c r="A691" s="488"/>
      <c r="B691" s="18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c r="AA691" s="182"/>
      <c r="AB691" s="182"/>
    </row>
    <row r="692">
      <c r="A692" s="488"/>
      <c r="B692" s="18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c r="AA692" s="182"/>
      <c r="AB692" s="182"/>
    </row>
    <row r="693">
      <c r="A693" s="488"/>
      <c r="B693" s="18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c r="AA693" s="182"/>
      <c r="AB693" s="182"/>
    </row>
    <row r="694">
      <c r="A694" s="488"/>
      <c r="B694" s="18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c r="AA694" s="182"/>
      <c r="AB694" s="182"/>
    </row>
    <row r="695">
      <c r="A695" s="488"/>
      <c r="B695" s="18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c r="AA695" s="182"/>
      <c r="AB695" s="182"/>
    </row>
    <row r="696">
      <c r="A696" s="488"/>
      <c r="B696" s="18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c r="AA696" s="182"/>
      <c r="AB696" s="182"/>
    </row>
    <row r="697">
      <c r="A697" s="488"/>
      <c r="B697" s="18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c r="AA697" s="182"/>
      <c r="AB697" s="182"/>
    </row>
    <row r="698">
      <c r="A698" s="488"/>
      <c r="B698" s="18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c r="AA698" s="182"/>
      <c r="AB698" s="182"/>
    </row>
    <row r="699">
      <c r="A699" s="488"/>
      <c r="B699" s="18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c r="AA699" s="182"/>
      <c r="AB699" s="182"/>
    </row>
    <row r="700">
      <c r="A700" s="488"/>
      <c r="B700" s="18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c r="AA700" s="182"/>
      <c r="AB700" s="182"/>
    </row>
    <row r="701">
      <c r="A701" s="488"/>
      <c r="B701" s="18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c r="AA701" s="182"/>
      <c r="AB701" s="182"/>
    </row>
    <row r="702">
      <c r="A702" s="488"/>
      <c r="B702" s="18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c r="AA702" s="182"/>
      <c r="AB702" s="182"/>
    </row>
    <row r="703">
      <c r="A703" s="488"/>
      <c r="B703" s="18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c r="AA703" s="182"/>
      <c r="AB703" s="182"/>
    </row>
    <row r="704">
      <c r="A704" s="488"/>
      <c r="B704" s="18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c r="AA704" s="182"/>
      <c r="AB704" s="182"/>
    </row>
    <row r="705">
      <c r="A705" s="488"/>
      <c r="B705" s="18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c r="AA705" s="182"/>
      <c r="AB705" s="182"/>
    </row>
    <row r="706">
      <c r="A706" s="488"/>
      <c r="B706" s="18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c r="AA706" s="182"/>
      <c r="AB706" s="182"/>
    </row>
    <row r="707">
      <c r="A707" s="488"/>
      <c r="B707" s="18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c r="AA707" s="182"/>
      <c r="AB707" s="182"/>
    </row>
    <row r="708">
      <c r="A708" s="488"/>
      <c r="B708" s="18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c r="AA708" s="182"/>
      <c r="AB708" s="182"/>
    </row>
    <row r="709">
      <c r="A709" s="488"/>
      <c r="B709" s="18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c r="AA709" s="182"/>
      <c r="AB709" s="182"/>
    </row>
    <row r="710">
      <c r="A710" s="488"/>
      <c r="B710" s="18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c r="AA710" s="182"/>
      <c r="AB710" s="182"/>
    </row>
    <row r="711">
      <c r="A711" s="488"/>
      <c r="B711" s="18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c r="AA711" s="182"/>
      <c r="AB711" s="182"/>
    </row>
    <row r="712">
      <c r="A712" s="488"/>
      <c r="B712" s="18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c r="AA712" s="182"/>
      <c r="AB712" s="182"/>
    </row>
    <row r="713">
      <c r="A713" s="488"/>
      <c r="B713" s="18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c r="AA713" s="182"/>
      <c r="AB713" s="182"/>
    </row>
    <row r="714">
      <c r="A714" s="488"/>
      <c r="B714" s="18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c r="AA714" s="182"/>
      <c r="AB714" s="182"/>
    </row>
    <row r="715">
      <c r="A715" s="488"/>
      <c r="B715" s="18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c r="AA715" s="182"/>
      <c r="AB715" s="182"/>
    </row>
    <row r="716">
      <c r="A716" s="488"/>
      <c r="B716" s="18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c r="AA716" s="182"/>
      <c r="AB716" s="182"/>
    </row>
    <row r="717">
      <c r="A717" s="488"/>
      <c r="B717" s="18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c r="AA717" s="182"/>
      <c r="AB717" s="182"/>
    </row>
    <row r="718">
      <c r="A718" s="488"/>
      <c r="B718" s="18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c r="AA718" s="182"/>
      <c r="AB718" s="182"/>
    </row>
    <row r="719">
      <c r="A719" s="488"/>
      <c r="B719" s="18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c r="AA719" s="182"/>
      <c r="AB719" s="182"/>
    </row>
    <row r="720">
      <c r="A720" s="488"/>
      <c r="B720" s="18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c r="AA720" s="182"/>
      <c r="AB720" s="182"/>
    </row>
    <row r="721">
      <c r="A721" s="488"/>
      <c r="B721" s="18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c r="AA721" s="182"/>
      <c r="AB721" s="182"/>
    </row>
    <row r="722">
      <c r="A722" s="488"/>
      <c r="B722" s="18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c r="AA722" s="182"/>
      <c r="AB722" s="182"/>
    </row>
    <row r="723">
      <c r="A723" s="488"/>
      <c r="B723" s="18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c r="AA723" s="182"/>
      <c r="AB723" s="182"/>
    </row>
    <row r="724">
      <c r="A724" s="488"/>
      <c r="B724" s="18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c r="AA724" s="182"/>
      <c r="AB724" s="182"/>
    </row>
    <row r="725">
      <c r="A725" s="488"/>
      <c r="B725" s="18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c r="AA725" s="182"/>
      <c r="AB725" s="182"/>
    </row>
    <row r="726">
      <c r="A726" s="488"/>
      <c r="B726" s="18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c r="AA726" s="182"/>
      <c r="AB726" s="182"/>
    </row>
    <row r="727">
      <c r="A727" s="488"/>
      <c r="B727" s="18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c r="AA727" s="182"/>
      <c r="AB727" s="182"/>
    </row>
    <row r="728">
      <c r="A728" s="488"/>
      <c r="B728" s="18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c r="AA728" s="182"/>
      <c r="AB728" s="182"/>
    </row>
    <row r="729">
      <c r="A729" s="488"/>
      <c r="B729" s="18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c r="AA729" s="182"/>
      <c r="AB729" s="182"/>
    </row>
    <row r="730">
      <c r="A730" s="488"/>
      <c r="B730" s="18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c r="AA730" s="182"/>
      <c r="AB730" s="182"/>
    </row>
    <row r="731">
      <c r="A731" s="488"/>
      <c r="B731" s="18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c r="AA731" s="182"/>
      <c r="AB731" s="182"/>
    </row>
    <row r="732">
      <c r="A732" s="488"/>
      <c r="B732" s="18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c r="AA732" s="182"/>
      <c r="AB732" s="182"/>
    </row>
    <row r="733">
      <c r="A733" s="488"/>
      <c r="B733" s="18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c r="AA733" s="182"/>
      <c r="AB733" s="182"/>
    </row>
    <row r="734">
      <c r="A734" s="488"/>
      <c r="B734" s="18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c r="AA734" s="182"/>
      <c r="AB734" s="182"/>
    </row>
    <row r="735">
      <c r="A735" s="488"/>
      <c r="B735" s="18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c r="AA735" s="182"/>
      <c r="AB735" s="182"/>
    </row>
    <row r="736">
      <c r="A736" s="488"/>
      <c r="B736" s="18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c r="AA736" s="182"/>
      <c r="AB736" s="182"/>
    </row>
    <row r="737">
      <c r="A737" s="488"/>
      <c r="B737" s="18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c r="AA737" s="182"/>
      <c r="AB737" s="182"/>
    </row>
    <row r="738">
      <c r="A738" s="488"/>
      <c r="B738" s="18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c r="AA738" s="182"/>
      <c r="AB738" s="182"/>
    </row>
    <row r="739">
      <c r="A739" s="488"/>
      <c r="B739" s="18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c r="AA739" s="182"/>
      <c r="AB739" s="182"/>
    </row>
    <row r="740">
      <c r="A740" s="488"/>
      <c r="B740" s="18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c r="AA740" s="182"/>
      <c r="AB740" s="182"/>
    </row>
    <row r="741">
      <c r="A741" s="488"/>
      <c r="B741" s="18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c r="AA741" s="182"/>
      <c r="AB741" s="182"/>
    </row>
    <row r="742">
      <c r="A742" s="488"/>
      <c r="B742" s="18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c r="AA742" s="182"/>
      <c r="AB742" s="182"/>
    </row>
    <row r="743">
      <c r="A743" s="488"/>
      <c r="B743" s="18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c r="AA743" s="182"/>
      <c r="AB743" s="182"/>
    </row>
    <row r="744">
      <c r="A744" s="488"/>
      <c r="B744" s="18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c r="AA744" s="182"/>
      <c r="AB744" s="182"/>
    </row>
    <row r="745">
      <c r="A745" s="488"/>
      <c r="B745" s="18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c r="AA745" s="182"/>
      <c r="AB745" s="182"/>
    </row>
    <row r="746">
      <c r="A746" s="488"/>
      <c r="B746" s="18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c r="AA746" s="182"/>
      <c r="AB746" s="182"/>
    </row>
    <row r="747">
      <c r="A747" s="488"/>
      <c r="B747" s="18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c r="AA747" s="182"/>
      <c r="AB747" s="182"/>
    </row>
    <row r="748">
      <c r="A748" s="488"/>
      <c r="B748" s="18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c r="AA748" s="182"/>
      <c r="AB748" s="182"/>
    </row>
    <row r="749">
      <c r="A749" s="488"/>
      <c r="B749" s="18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c r="AA749" s="182"/>
      <c r="AB749" s="182"/>
    </row>
    <row r="750">
      <c r="A750" s="488"/>
      <c r="B750" s="18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c r="AA750" s="182"/>
      <c r="AB750" s="182"/>
    </row>
    <row r="751">
      <c r="A751" s="488"/>
      <c r="B751" s="18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c r="AA751" s="182"/>
      <c r="AB751" s="182"/>
    </row>
    <row r="752">
      <c r="A752" s="488"/>
      <c r="B752" s="18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c r="AA752" s="182"/>
      <c r="AB752" s="182"/>
    </row>
    <row r="753">
      <c r="A753" s="488"/>
      <c r="B753" s="18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c r="AA753" s="182"/>
      <c r="AB753" s="182"/>
    </row>
    <row r="754">
      <c r="A754" s="488"/>
      <c r="B754" s="18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c r="AA754" s="182"/>
      <c r="AB754" s="182"/>
    </row>
    <row r="755">
      <c r="A755" s="488"/>
      <c r="B755" s="18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c r="AA755" s="182"/>
      <c r="AB755" s="182"/>
    </row>
    <row r="756">
      <c r="A756" s="488"/>
      <c r="B756" s="18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c r="AA756" s="182"/>
      <c r="AB756" s="182"/>
    </row>
    <row r="757">
      <c r="A757" s="488"/>
      <c r="B757" s="18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c r="AA757" s="182"/>
      <c r="AB757" s="182"/>
    </row>
    <row r="758">
      <c r="A758" s="488"/>
      <c r="B758" s="18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c r="AA758" s="182"/>
      <c r="AB758" s="182"/>
    </row>
    <row r="759">
      <c r="A759" s="488"/>
      <c r="B759" s="18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c r="AA759" s="182"/>
      <c r="AB759" s="182"/>
    </row>
    <row r="760">
      <c r="A760" s="488"/>
      <c r="B760" s="18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c r="AA760" s="182"/>
      <c r="AB760" s="182"/>
    </row>
    <row r="761">
      <c r="A761" s="488"/>
      <c r="B761" s="18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c r="AA761" s="182"/>
      <c r="AB761" s="182"/>
    </row>
    <row r="762">
      <c r="A762" s="488"/>
      <c r="B762" s="18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c r="AA762" s="182"/>
      <c r="AB762" s="182"/>
    </row>
    <row r="763">
      <c r="A763" s="488"/>
      <c r="B763" s="18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c r="AA763" s="182"/>
      <c r="AB763" s="182"/>
    </row>
    <row r="764">
      <c r="A764" s="488"/>
      <c r="B764" s="18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c r="AA764" s="182"/>
      <c r="AB764" s="182"/>
    </row>
    <row r="765">
      <c r="A765" s="488"/>
      <c r="B765" s="18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c r="AA765" s="182"/>
      <c r="AB765" s="182"/>
    </row>
    <row r="766">
      <c r="A766" s="488"/>
      <c r="B766" s="18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c r="AA766" s="182"/>
      <c r="AB766" s="182"/>
    </row>
    <row r="767">
      <c r="A767" s="488"/>
      <c r="B767" s="18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c r="AA767" s="182"/>
      <c r="AB767" s="182"/>
    </row>
    <row r="768">
      <c r="A768" s="488"/>
      <c r="B768" s="18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c r="AA768" s="182"/>
      <c r="AB768" s="182"/>
    </row>
    <row r="769">
      <c r="A769" s="488"/>
      <c r="B769" s="18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c r="AA769" s="182"/>
      <c r="AB769" s="182"/>
    </row>
    <row r="770">
      <c r="A770" s="488"/>
      <c r="B770" s="18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c r="AA770" s="182"/>
      <c r="AB770" s="182"/>
    </row>
    <row r="771">
      <c r="A771" s="488"/>
      <c r="B771" s="18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c r="AA771" s="182"/>
      <c r="AB771" s="182"/>
    </row>
    <row r="772">
      <c r="A772" s="488"/>
      <c r="B772" s="18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c r="AA772" s="182"/>
      <c r="AB772" s="182"/>
    </row>
    <row r="773">
      <c r="A773" s="488"/>
      <c r="B773" s="18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c r="AA773" s="182"/>
      <c r="AB773" s="182"/>
    </row>
    <row r="774">
      <c r="A774" s="488"/>
      <c r="B774" s="18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c r="AA774" s="182"/>
      <c r="AB774" s="182"/>
    </row>
    <row r="775">
      <c r="A775" s="488"/>
      <c r="B775" s="18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c r="AA775" s="182"/>
      <c r="AB775" s="182"/>
    </row>
    <row r="776">
      <c r="A776" s="488"/>
      <c r="B776" s="18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c r="AA776" s="182"/>
      <c r="AB776" s="182"/>
    </row>
    <row r="777">
      <c r="A777" s="488"/>
      <c r="B777" s="18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c r="AA777" s="182"/>
      <c r="AB777" s="182"/>
    </row>
    <row r="778">
      <c r="A778" s="488"/>
      <c r="B778" s="18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c r="AA778" s="182"/>
      <c r="AB778" s="182"/>
    </row>
    <row r="779">
      <c r="A779" s="488"/>
      <c r="B779" s="18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c r="AA779" s="182"/>
      <c r="AB779" s="182"/>
    </row>
    <row r="780">
      <c r="A780" s="488"/>
      <c r="B780" s="18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c r="AA780" s="182"/>
      <c r="AB780" s="182"/>
    </row>
    <row r="781">
      <c r="A781" s="488"/>
      <c r="B781" s="18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c r="AA781" s="182"/>
      <c r="AB781" s="182"/>
    </row>
    <row r="782">
      <c r="A782" s="488"/>
      <c r="B782" s="18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c r="AA782" s="182"/>
      <c r="AB782" s="182"/>
    </row>
    <row r="783">
      <c r="A783" s="488"/>
      <c r="B783" s="18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c r="AA783" s="182"/>
      <c r="AB783" s="182"/>
    </row>
    <row r="784">
      <c r="A784" s="488"/>
      <c r="B784" s="18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c r="AA784" s="182"/>
      <c r="AB784" s="182"/>
    </row>
    <row r="785">
      <c r="A785" s="488"/>
      <c r="B785" s="18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c r="AA785" s="182"/>
      <c r="AB785" s="182"/>
    </row>
    <row r="786">
      <c r="A786" s="488"/>
      <c r="B786" s="18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c r="AA786" s="182"/>
      <c r="AB786" s="182"/>
    </row>
    <row r="787">
      <c r="A787" s="488"/>
      <c r="B787" s="18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c r="AA787" s="182"/>
      <c r="AB787" s="182"/>
    </row>
    <row r="788">
      <c r="A788" s="488"/>
      <c r="B788" s="18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c r="AA788" s="182"/>
      <c r="AB788" s="182"/>
    </row>
    <row r="789">
      <c r="A789" s="488"/>
      <c r="B789" s="18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c r="AA789" s="182"/>
      <c r="AB789" s="182"/>
    </row>
    <row r="790">
      <c r="A790" s="488"/>
      <c r="B790" s="18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c r="AA790" s="182"/>
      <c r="AB790" s="182"/>
    </row>
    <row r="791">
      <c r="A791" s="488"/>
      <c r="B791" s="18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c r="AA791" s="182"/>
      <c r="AB791" s="182"/>
    </row>
    <row r="792">
      <c r="A792" s="488"/>
      <c r="B792" s="18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c r="AA792" s="182"/>
      <c r="AB792" s="182"/>
    </row>
    <row r="793">
      <c r="A793" s="488"/>
      <c r="B793" s="18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c r="AA793" s="182"/>
      <c r="AB793" s="182"/>
    </row>
    <row r="794">
      <c r="A794" s="488"/>
      <c r="B794" s="18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c r="AA794" s="182"/>
      <c r="AB794" s="182"/>
    </row>
    <row r="795">
      <c r="A795" s="488"/>
      <c r="B795" s="18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c r="AA795" s="182"/>
      <c r="AB795" s="182"/>
    </row>
    <row r="796">
      <c r="A796" s="488"/>
      <c r="B796" s="18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c r="AA796" s="182"/>
      <c r="AB796" s="182"/>
    </row>
    <row r="797">
      <c r="A797" s="488"/>
      <c r="B797" s="18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c r="AA797" s="182"/>
      <c r="AB797" s="182"/>
    </row>
    <row r="798">
      <c r="A798" s="488"/>
      <c r="B798" s="18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c r="AA798" s="182"/>
      <c r="AB798" s="182"/>
    </row>
    <row r="799">
      <c r="A799" s="488"/>
      <c r="B799" s="18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c r="AA799" s="182"/>
      <c r="AB799" s="182"/>
    </row>
    <row r="800">
      <c r="A800" s="488"/>
      <c r="B800" s="18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c r="AA800" s="182"/>
      <c r="AB800" s="182"/>
    </row>
    <row r="801">
      <c r="A801" s="488"/>
      <c r="B801" s="18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c r="AA801" s="182"/>
      <c r="AB801" s="182"/>
    </row>
    <row r="802">
      <c r="A802" s="488"/>
      <c r="B802" s="18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c r="AA802" s="182"/>
      <c r="AB802" s="182"/>
    </row>
    <row r="803">
      <c r="A803" s="488"/>
      <c r="B803" s="18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c r="AA803" s="182"/>
      <c r="AB803" s="182"/>
    </row>
    <row r="804">
      <c r="A804" s="488"/>
      <c r="B804" s="18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c r="AA804" s="182"/>
      <c r="AB804" s="182"/>
    </row>
    <row r="805">
      <c r="A805" s="488"/>
      <c r="B805" s="18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c r="AA805" s="182"/>
      <c r="AB805" s="182"/>
    </row>
    <row r="806">
      <c r="A806" s="488"/>
      <c r="B806" s="18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c r="AA806" s="182"/>
      <c r="AB806" s="182"/>
    </row>
    <row r="807">
      <c r="A807" s="488"/>
      <c r="B807" s="18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c r="AA807" s="182"/>
      <c r="AB807" s="182"/>
    </row>
    <row r="808">
      <c r="A808" s="488"/>
      <c r="B808" s="18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c r="AA808" s="182"/>
      <c r="AB808" s="182"/>
    </row>
    <row r="809">
      <c r="A809" s="488"/>
      <c r="B809" s="18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c r="AA809" s="182"/>
      <c r="AB809" s="182"/>
    </row>
    <row r="810">
      <c r="A810" s="488"/>
      <c r="B810" s="18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c r="AA810" s="182"/>
      <c r="AB810" s="182"/>
    </row>
    <row r="811">
      <c r="A811" s="488"/>
      <c r="B811" s="18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c r="AA811" s="182"/>
      <c r="AB811" s="182"/>
    </row>
    <row r="812">
      <c r="A812" s="488"/>
      <c r="B812" s="18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c r="AA812" s="182"/>
      <c r="AB812" s="182"/>
    </row>
    <row r="813">
      <c r="A813" s="488"/>
      <c r="B813" s="18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c r="AA813" s="182"/>
      <c r="AB813" s="182"/>
    </row>
    <row r="814">
      <c r="A814" s="488"/>
      <c r="B814" s="18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c r="AA814" s="182"/>
      <c r="AB814" s="182"/>
    </row>
    <row r="815">
      <c r="A815" s="488"/>
      <c r="B815" s="18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c r="AA815" s="182"/>
      <c r="AB815" s="182"/>
    </row>
    <row r="816">
      <c r="A816" s="488"/>
      <c r="B816" s="18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c r="AA816" s="182"/>
      <c r="AB816" s="182"/>
    </row>
    <row r="817">
      <c r="A817" s="488"/>
      <c r="B817" s="18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c r="AA817" s="182"/>
      <c r="AB817" s="182"/>
    </row>
    <row r="818">
      <c r="A818" s="488"/>
      <c r="B818" s="18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c r="AA818" s="182"/>
      <c r="AB818" s="182"/>
    </row>
    <row r="819">
      <c r="A819" s="488"/>
      <c r="B819" s="18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c r="AA819" s="182"/>
      <c r="AB819" s="182"/>
    </row>
    <row r="820">
      <c r="A820" s="488"/>
      <c r="B820" s="18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c r="AA820" s="182"/>
      <c r="AB820" s="182"/>
    </row>
    <row r="821">
      <c r="A821" s="488"/>
      <c r="B821" s="18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c r="AA821" s="182"/>
      <c r="AB821" s="182"/>
    </row>
    <row r="822">
      <c r="A822" s="488"/>
      <c r="B822" s="18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c r="AA822" s="182"/>
      <c r="AB822" s="182"/>
    </row>
    <row r="823">
      <c r="A823" s="488"/>
      <c r="B823" s="18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c r="AA823" s="182"/>
      <c r="AB823" s="182"/>
    </row>
    <row r="824">
      <c r="A824" s="488"/>
      <c r="B824" s="18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c r="AA824" s="182"/>
      <c r="AB824" s="182"/>
    </row>
    <row r="825">
      <c r="A825" s="488"/>
      <c r="B825" s="18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c r="AA825" s="182"/>
      <c r="AB825" s="182"/>
    </row>
    <row r="826">
      <c r="A826" s="488"/>
      <c r="B826" s="18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c r="AA826" s="182"/>
      <c r="AB826" s="182"/>
    </row>
    <row r="827">
      <c r="A827" s="488"/>
      <c r="B827" s="18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c r="AA827" s="182"/>
      <c r="AB827" s="182"/>
    </row>
    <row r="828">
      <c r="A828" s="488"/>
      <c r="B828" s="18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c r="AA828" s="182"/>
      <c r="AB828" s="182"/>
    </row>
    <row r="829">
      <c r="A829" s="488"/>
      <c r="B829" s="18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c r="AA829" s="182"/>
      <c r="AB829" s="182"/>
    </row>
    <row r="830">
      <c r="A830" s="488"/>
      <c r="B830" s="18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c r="AA830" s="182"/>
      <c r="AB830" s="182"/>
    </row>
    <row r="831">
      <c r="A831" s="488"/>
      <c r="B831" s="18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c r="AA831" s="182"/>
      <c r="AB831" s="182"/>
    </row>
    <row r="832">
      <c r="A832" s="488"/>
      <c r="B832" s="18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c r="AA832" s="182"/>
      <c r="AB832" s="182"/>
    </row>
    <row r="833">
      <c r="A833" s="488"/>
      <c r="B833" s="18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c r="AA833" s="182"/>
      <c r="AB833" s="182"/>
    </row>
    <row r="834">
      <c r="A834" s="488"/>
      <c r="B834" s="18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c r="AA834" s="182"/>
      <c r="AB834" s="182"/>
    </row>
    <row r="835">
      <c r="A835" s="488"/>
      <c r="B835" s="18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c r="AA835" s="182"/>
      <c r="AB835" s="182"/>
    </row>
    <row r="836">
      <c r="A836" s="488"/>
      <c r="B836" s="18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c r="AA836" s="182"/>
      <c r="AB836" s="182"/>
    </row>
    <row r="837">
      <c r="A837" s="488"/>
      <c r="B837" s="18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c r="AA837" s="182"/>
      <c r="AB837" s="182"/>
    </row>
    <row r="838">
      <c r="A838" s="488"/>
      <c r="B838" s="18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c r="AA838" s="182"/>
      <c r="AB838" s="182"/>
    </row>
    <row r="839">
      <c r="A839" s="488"/>
      <c r="B839" s="18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c r="AA839" s="182"/>
      <c r="AB839" s="182"/>
    </row>
    <row r="840">
      <c r="A840" s="488"/>
      <c r="B840" s="18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c r="AA840" s="182"/>
      <c r="AB840" s="182"/>
    </row>
    <row r="841">
      <c r="A841" s="488"/>
      <c r="B841" s="18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c r="AA841" s="182"/>
      <c r="AB841" s="182"/>
    </row>
    <row r="842">
      <c r="A842" s="488"/>
      <c r="B842" s="18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c r="AA842" s="182"/>
      <c r="AB842" s="182"/>
    </row>
    <row r="843">
      <c r="A843" s="488"/>
      <c r="B843" s="18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c r="AA843" s="182"/>
      <c r="AB843" s="182"/>
    </row>
    <row r="844">
      <c r="A844" s="488"/>
      <c r="B844" s="18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c r="AA844" s="182"/>
      <c r="AB844" s="182"/>
    </row>
    <row r="845">
      <c r="A845" s="488"/>
      <c r="B845" s="18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c r="AA845" s="182"/>
      <c r="AB845" s="182"/>
    </row>
    <row r="846">
      <c r="A846" s="488"/>
      <c r="B846" s="18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c r="AA846" s="182"/>
      <c r="AB846" s="182"/>
    </row>
    <row r="847">
      <c r="A847" s="488"/>
      <c r="B847" s="18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c r="AA847" s="182"/>
      <c r="AB847" s="182"/>
    </row>
    <row r="848">
      <c r="A848" s="488"/>
      <c r="B848" s="18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c r="AA848" s="182"/>
      <c r="AB848" s="182"/>
    </row>
    <row r="849">
      <c r="A849" s="488"/>
      <c r="B849" s="18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c r="AA849" s="182"/>
      <c r="AB849" s="182"/>
    </row>
    <row r="850">
      <c r="A850" s="488"/>
      <c r="B850" s="18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c r="AA850" s="182"/>
      <c r="AB850" s="182"/>
    </row>
    <row r="851">
      <c r="A851" s="488"/>
      <c r="B851" s="18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c r="AA851" s="182"/>
      <c r="AB851" s="182"/>
    </row>
    <row r="852">
      <c r="A852" s="488"/>
      <c r="B852" s="18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c r="AA852" s="182"/>
      <c r="AB852" s="182"/>
    </row>
    <row r="853">
      <c r="A853" s="488"/>
      <c r="B853" s="18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c r="AA853" s="182"/>
      <c r="AB853" s="182"/>
    </row>
    <row r="854">
      <c r="A854" s="488"/>
      <c r="B854" s="18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c r="AA854" s="182"/>
      <c r="AB854" s="182"/>
    </row>
    <row r="855">
      <c r="A855" s="488"/>
      <c r="B855" s="18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c r="AA855" s="182"/>
      <c r="AB855" s="182"/>
    </row>
    <row r="856">
      <c r="A856" s="488"/>
      <c r="B856" s="18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c r="AA856" s="182"/>
      <c r="AB856" s="182"/>
    </row>
    <row r="857">
      <c r="A857" s="488"/>
      <c r="B857" s="18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c r="AA857" s="182"/>
      <c r="AB857" s="182"/>
    </row>
    <row r="858">
      <c r="A858" s="488"/>
      <c r="B858" s="18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c r="AA858" s="182"/>
      <c r="AB858" s="182"/>
    </row>
    <row r="859">
      <c r="A859" s="488"/>
      <c r="B859" s="18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c r="AA859" s="182"/>
      <c r="AB859" s="182"/>
    </row>
    <row r="860">
      <c r="A860" s="488"/>
      <c r="B860" s="18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c r="AA860" s="182"/>
      <c r="AB860" s="182"/>
    </row>
    <row r="861">
      <c r="A861" s="488"/>
      <c r="B861" s="18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c r="AA861" s="182"/>
      <c r="AB861" s="182"/>
    </row>
    <row r="862">
      <c r="A862" s="488"/>
      <c r="B862" s="18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c r="AA862" s="182"/>
      <c r="AB862" s="182"/>
    </row>
    <row r="863">
      <c r="A863" s="488"/>
      <c r="B863" s="18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c r="AA863" s="182"/>
      <c r="AB863" s="182"/>
    </row>
    <row r="864">
      <c r="A864" s="488"/>
      <c r="B864" s="18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c r="AA864" s="182"/>
      <c r="AB864" s="182"/>
    </row>
    <row r="865">
      <c r="A865" s="488"/>
      <c r="B865" s="18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c r="AA865" s="182"/>
      <c r="AB865" s="182"/>
    </row>
    <row r="866">
      <c r="A866" s="488"/>
      <c r="B866" s="18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c r="AA866" s="182"/>
      <c r="AB866" s="182"/>
    </row>
    <row r="867">
      <c r="A867" s="488"/>
      <c r="B867" s="18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c r="AA867" s="182"/>
      <c r="AB867" s="182"/>
    </row>
    <row r="868">
      <c r="A868" s="488"/>
      <c r="B868" s="18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c r="AA868" s="182"/>
      <c r="AB868" s="182"/>
    </row>
    <row r="869">
      <c r="A869" s="488"/>
      <c r="B869" s="18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c r="AA869" s="182"/>
      <c r="AB869" s="182"/>
    </row>
    <row r="870">
      <c r="A870" s="488"/>
      <c r="B870" s="18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c r="AA870" s="182"/>
      <c r="AB870" s="182"/>
    </row>
    <row r="871">
      <c r="A871" s="488"/>
      <c r="B871" s="18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c r="AA871" s="182"/>
      <c r="AB871" s="182"/>
    </row>
    <row r="872">
      <c r="A872" s="488"/>
      <c r="B872" s="18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c r="AA872" s="182"/>
      <c r="AB872" s="182"/>
    </row>
    <row r="873">
      <c r="A873" s="488"/>
      <c r="B873" s="18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c r="AA873" s="182"/>
      <c r="AB873" s="182"/>
    </row>
    <row r="874">
      <c r="A874" s="488"/>
      <c r="B874" s="18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c r="AA874" s="182"/>
      <c r="AB874" s="182"/>
    </row>
    <row r="875">
      <c r="A875" s="488"/>
      <c r="B875" s="18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c r="AA875" s="182"/>
      <c r="AB875" s="182"/>
    </row>
    <row r="876">
      <c r="A876" s="488"/>
      <c r="B876" s="18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c r="AA876" s="182"/>
      <c r="AB876" s="182"/>
    </row>
    <row r="877">
      <c r="A877" s="488"/>
      <c r="B877" s="18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c r="AA877" s="182"/>
      <c r="AB877" s="182"/>
    </row>
    <row r="878">
      <c r="A878" s="488"/>
      <c r="B878" s="18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c r="AA878" s="182"/>
      <c r="AB878" s="182"/>
    </row>
    <row r="879">
      <c r="A879" s="488"/>
      <c r="B879" s="18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c r="AA879" s="182"/>
      <c r="AB879" s="182"/>
    </row>
    <row r="880">
      <c r="A880" s="488"/>
      <c r="B880" s="18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c r="AA880" s="182"/>
      <c r="AB880" s="182"/>
    </row>
    <row r="881">
      <c r="A881" s="488"/>
      <c r="B881" s="18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c r="AA881" s="182"/>
      <c r="AB881" s="182"/>
    </row>
    <row r="882">
      <c r="A882" s="488"/>
      <c r="B882" s="18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c r="AA882" s="182"/>
      <c r="AB882" s="182"/>
    </row>
    <row r="883">
      <c r="A883" s="488"/>
      <c r="B883" s="18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c r="AA883" s="182"/>
      <c r="AB883" s="182"/>
    </row>
    <row r="884">
      <c r="A884" s="488"/>
      <c r="B884" s="18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c r="AA884" s="182"/>
      <c r="AB884" s="182"/>
    </row>
    <row r="885">
      <c r="A885" s="488"/>
      <c r="B885" s="18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c r="AA885" s="182"/>
      <c r="AB885" s="182"/>
    </row>
    <row r="886">
      <c r="A886" s="488"/>
      <c r="B886" s="18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c r="AA886" s="182"/>
      <c r="AB886" s="182"/>
    </row>
    <row r="887">
      <c r="A887" s="488"/>
      <c r="B887" s="18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c r="AA887" s="182"/>
      <c r="AB887" s="182"/>
    </row>
    <row r="888">
      <c r="A888" s="488"/>
      <c r="B888" s="18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c r="AA888" s="182"/>
      <c r="AB888" s="182"/>
    </row>
    <row r="889">
      <c r="A889" s="488"/>
      <c r="B889" s="18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c r="AA889" s="182"/>
      <c r="AB889" s="182"/>
    </row>
    <row r="890">
      <c r="A890" s="488"/>
      <c r="B890" s="18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c r="AA890" s="182"/>
      <c r="AB890" s="182"/>
    </row>
    <row r="891">
      <c r="A891" s="488"/>
      <c r="B891" s="18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c r="AA891" s="182"/>
      <c r="AB891" s="182"/>
    </row>
    <row r="892">
      <c r="A892" s="488"/>
      <c r="B892" s="18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c r="AA892" s="182"/>
      <c r="AB892" s="182"/>
    </row>
    <row r="893">
      <c r="A893" s="488"/>
      <c r="B893" s="18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c r="AA893" s="182"/>
      <c r="AB893" s="182"/>
    </row>
    <row r="894">
      <c r="A894" s="488"/>
      <c r="B894" s="18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c r="AA894" s="182"/>
      <c r="AB894" s="182"/>
    </row>
    <row r="895">
      <c r="A895" s="488"/>
      <c r="B895" s="18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c r="AA895" s="182"/>
      <c r="AB895" s="182"/>
    </row>
    <row r="896">
      <c r="A896" s="488"/>
      <c r="B896" s="18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c r="AA896" s="182"/>
      <c r="AB896" s="182"/>
    </row>
    <row r="897">
      <c r="A897" s="488"/>
      <c r="B897" s="18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c r="AA897" s="182"/>
      <c r="AB897" s="182"/>
    </row>
    <row r="898">
      <c r="A898" s="488"/>
      <c r="B898" s="18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c r="AA898" s="182"/>
      <c r="AB898" s="182"/>
    </row>
    <row r="899">
      <c r="A899" s="488"/>
      <c r="B899" s="18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c r="AA899" s="182"/>
      <c r="AB899" s="182"/>
    </row>
    <row r="900">
      <c r="A900" s="488"/>
      <c r="B900" s="18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c r="AA900" s="182"/>
      <c r="AB900" s="182"/>
    </row>
    <row r="901">
      <c r="A901" s="488"/>
      <c r="B901" s="18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c r="AA901" s="182"/>
      <c r="AB901" s="182"/>
    </row>
    <row r="902">
      <c r="A902" s="488"/>
      <c r="B902" s="18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c r="AA902" s="182"/>
      <c r="AB902" s="182"/>
    </row>
    <row r="903">
      <c r="A903" s="488"/>
      <c r="B903" s="18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c r="AA903" s="182"/>
      <c r="AB903" s="182"/>
    </row>
    <row r="904">
      <c r="A904" s="488"/>
      <c r="B904" s="18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c r="AA904" s="182"/>
      <c r="AB904" s="182"/>
    </row>
    <row r="905">
      <c r="A905" s="488"/>
      <c r="B905" s="18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c r="AA905" s="182"/>
      <c r="AB905" s="182"/>
    </row>
    <row r="906">
      <c r="A906" s="488"/>
      <c r="B906" s="18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c r="AA906" s="182"/>
      <c r="AB906" s="182"/>
    </row>
    <row r="907">
      <c r="A907" s="488"/>
      <c r="B907" s="18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c r="AA907" s="182"/>
      <c r="AB907" s="182"/>
    </row>
    <row r="908">
      <c r="A908" s="488"/>
      <c r="B908" s="18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c r="AA908" s="182"/>
      <c r="AB908" s="182"/>
    </row>
    <row r="909">
      <c r="A909" s="488"/>
      <c r="B909" s="18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c r="AA909" s="182"/>
      <c r="AB909" s="182"/>
    </row>
    <row r="910">
      <c r="A910" s="488"/>
      <c r="B910" s="18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c r="AA910" s="182"/>
      <c r="AB910" s="182"/>
    </row>
    <row r="911">
      <c r="A911" s="488"/>
      <c r="B911" s="18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c r="AA911" s="182"/>
      <c r="AB911" s="182"/>
    </row>
    <row r="912">
      <c r="A912" s="488"/>
      <c r="B912" s="18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c r="AA912" s="182"/>
      <c r="AB912" s="182"/>
    </row>
    <row r="913">
      <c r="A913" s="488"/>
      <c r="B913" s="18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c r="AA913" s="182"/>
      <c r="AB913" s="182"/>
    </row>
    <row r="914">
      <c r="A914" s="488"/>
      <c r="B914" s="18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c r="AA914" s="182"/>
      <c r="AB914" s="182"/>
    </row>
    <row r="915">
      <c r="A915" s="488"/>
      <c r="B915" s="18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c r="AA915" s="182"/>
      <c r="AB915" s="182"/>
    </row>
    <row r="916">
      <c r="A916" s="488"/>
      <c r="B916" s="18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c r="AA916" s="182"/>
      <c r="AB916" s="182"/>
    </row>
    <row r="917">
      <c r="A917" s="488"/>
      <c r="B917" s="18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c r="AA917" s="182"/>
      <c r="AB917" s="182"/>
    </row>
    <row r="918">
      <c r="A918" s="488"/>
      <c r="B918" s="18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c r="AA918" s="182"/>
      <c r="AB918" s="182"/>
    </row>
    <row r="919">
      <c r="A919" s="488"/>
      <c r="B919" s="18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c r="AA919" s="182"/>
      <c r="AB919" s="182"/>
    </row>
    <row r="920">
      <c r="A920" s="488"/>
      <c r="B920" s="18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c r="AA920" s="182"/>
      <c r="AB920" s="182"/>
    </row>
    <row r="921">
      <c r="A921" s="488"/>
      <c r="B921" s="18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c r="AA921" s="182"/>
      <c r="AB921" s="182"/>
    </row>
    <row r="922">
      <c r="A922" s="488"/>
      <c r="B922" s="18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c r="AA922" s="182"/>
      <c r="AB922" s="182"/>
    </row>
    <row r="923">
      <c r="A923" s="488"/>
      <c r="B923" s="18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c r="AA923" s="182"/>
      <c r="AB923" s="182"/>
    </row>
    <row r="924">
      <c r="A924" s="488"/>
      <c r="B924" s="18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c r="AA924" s="182"/>
      <c r="AB924" s="182"/>
    </row>
    <row r="925">
      <c r="A925" s="488"/>
      <c r="B925" s="18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c r="AA925" s="182"/>
      <c r="AB925" s="182"/>
    </row>
    <row r="926">
      <c r="A926" s="488"/>
      <c r="B926" s="18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c r="AA926" s="182"/>
      <c r="AB926" s="182"/>
    </row>
    <row r="927">
      <c r="A927" s="488"/>
      <c r="B927" s="18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c r="AA927" s="182"/>
      <c r="AB927" s="182"/>
    </row>
    <row r="928">
      <c r="A928" s="488"/>
      <c r="B928" s="18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c r="AA928" s="182"/>
      <c r="AB928" s="182"/>
    </row>
    <row r="929">
      <c r="A929" s="488"/>
      <c r="B929" s="18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c r="AA929" s="182"/>
      <c r="AB929" s="182"/>
    </row>
    <row r="930">
      <c r="A930" s="488"/>
      <c r="B930" s="18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c r="AA930" s="182"/>
      <c r="AB930" s="182"/>
    </row>
    <row r="931">
      <c r="A931" s="488"/>
      <c r="B931" s="18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c r="AA931" s="182"/>
      <c r="AB931" s="182"/>
    </row>
    <row r="932">
      <c r="A932" s="488"/>
      <c r="B932" s="18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c r="AA932" s="182"/>
      <c r="AB932" s="182"/>
    </row>
    <row r="933">
      <c r="A933" s="488"/>
      <c r="B933" s="18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c r="AA933" s="182"/>
      <c r="AB933" s="182"/>
    </row>
    <row r="934">
      <c r="A934" s="488"/>
      <c r="B934" s="18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c r="AA934" s="182"/>
      <c r="AB934" s="182"/>
    </row>
    <row r="935">
      <c r="A935" s="488"/>
      <c r="B935" s="18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c r="AA935" s="182"/>
      <c r="AB935" s="182"/>
    </row>
    <row r="936">
      <c r="A936" s="488"/>
      <c r="B936" s="18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c r="AA936" s="182"/>
      <c r="AB936" s="182"/>
    </row>
    <row r="937">
      <c r="A937" s="488"/>
      <c r="B937" s="18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c r="AA937" s="182"/>
      <c r="AB937" s="182"/>
    </row>
    <row r="938">
      <c r="A938" s="488"/>
      <c r="B938" s="18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c r="AA938" s="182"/>
      <c r="AB938" s="182"/>
    </row>
    <row r="939">
      <c r="A939" s="488"/>
      <c r="B939" s="18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c r="AA939" s="182"/>
      <c r="AB939" s="182"/>
    </row>
    <row r="940">
      <c r="A940" s="488"/>
      <c r="B940" s="18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c r="AA940" s="182"/>
      <c r="AB940" s="182"/>
    </row>
    <row r="941">
      <c r="A941" s="488"/>
      <c r="B941" s="18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c r="AA941" s="182"/>
      <c r="AB941" s="182"/>
    </row>
    <row r="942">
      <c r="A942" s="488"/>
      <c r="B942" s="18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c r="AA942" s="182"/>
      <c r="AB942" s="182"/>
    </row>
    <row r="943">
      <c r="A943" s="488"/>
      <c r="B943" s="18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c r="AA943" s="182"/>
      <c r="AB943" s="182"/>
    </row>
    <row r="944">
      <c r="A944" s="488"/>
      <c r="B944" s="18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c r="AA944" s="182"/>
      <c r="AB944" s="182"/>
    </row>
    <row r="945">
      <c r="A945" s="488"/>
      <c r="B945" s="18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c r="AA945" s="182"/>
      <c r="AB945" s="182"/>
    </row>
    <row r="946">
      <c r="A946" s="488"/>
      <c r="B946" s="18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c r="AA946" s="182"/>
      <c r="AB946" s="182"/>
    </row>
    <row r="947">
      <c r="A947" s="488"/>
      <c r="B947" s="18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c r="AA947" s="182"/>
      <c r="AB947" s="182"/>
    </row>
    <row r="948">
      <c r="A948" s="488"/>
      <c r="B948" s="18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c r="AA948" s="182"/>
      <c r="AB948" s="182"/>
    </row>
    <row r="949">
      <c r="A949" s="488"/>
      <c r="B949" s="18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c r="AA949" s="182"/>
      <c r="AB949" s="182"/>
    </row>
    <row r="950">
      <c r="A950" s="488"/>
      <c r="B950" s="18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c r="AA950" s="182"/>
      <c r="AB950" s="182"/>
    </row>
    <row r="951">
      <c r="A951" s="488"/>
      <c r="B951" s="18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c r="AA951" s="182"/>
      <c r="AB951" s="182"/>
    </row>
    <row r="952">
      <c r="A952" s="488"/>
      <c r="B952" s="18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c r="AA952" s="182"/>
      <c r="AB952" s="182"/>
    </row>
    <row r="953">
      <c r="A953" s="488"/>
      <c r="B953" s="18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c r="AA953" s="182"/>
      <c r="AB953" s="182"/>
    </row>
    <row r="954">
      <c r="A954" s="488"/>
      <c r="B954" s="18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c r="AA954" s="182"/>
      <c r="AB954" s="182"/>
    </row>
    <row r="955">
      <c r="A955" s="488"/>
      <c r="B955" s="18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c r="AA955" s="182"/>
      <c r="AB955" s="182"/>
    </row>
    <row r="956">
      <c r="A956" s="488"/>
      <c r="B956" s="18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c r="AA956" s="182"/>
      <c r="AB956" s="182"/>
    </row>
    <row r="957">
      <c r="A957" s="488"/>
      <c r="B957" s="18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c r="AA957" s="182"/>
      <c r="AB957" s="182"/>
    </row>
    <row r="958">
      <c r="A958" s="488"/>
      <c r="B958" s="18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c r="AA958" s="182"/>
      <c r="AB958" s="182"/>
    </row>
    <row r="959">
      <c r="A959" s="488"/>
      <c r="B959" s="18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c r="AA959" s="182"/>
      <c r="AB959" s="182"/>
    </row>
    <row r="960">
      <c r="A960" s="488"/>
      <c r="B960" s="18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c r="AA960" s="182"/>
      <c r="AB960" s="182"/>
    </row>
    <row r="961">
      <c r="A961" s="488"/>
      <c r="B961" s="18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c r="AA961" s="182"/>
      <c r="AB961" s="182"/>
    </row>
    <row r="962">
      <c r="A962" s="488"/>
      <c r="B962" s="18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c r="AA962" s="182"/>
      <c r="AB962" s="182"/>
    </row>
    <row r="963">
      <c r="A963" s="488"/>
      <c r="B963" s="18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c r="AA963" s="182"/>
      <c r="AB963" s="182"/>
    </row>
    <row r="964">
      <c r="A964" s="488"/>
      <c r="B964" s="18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c r="AA964" s="182"/>
      <c r="AB964" s="182"/>
    </row>
    <row r="965">
      <c r="A965" s="488"/>
      <c r="B965" s="18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c r="AA965" s="182"/>
      <c r="AB965" s="182"/>
    </row>
    <row r="966">
      <c r="A966" s="488"/>
      <c r="B966" s="18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c r="AA966" s="182"/>
      <c r="AB966" s="182"/>
    </row>
    <row r="967">
      <c r="A967" s="488"/>
      <c r="B967" s="18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c r="AA967" s="182"/>
      <c r="AB967" s="182"/>
    </row>
    <row r="968">
      <c r="A968" s="488"/>
      <c r="B968" s="18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c r="AA968" s="182"/>
      <c r="AB968" s="182"/>
    </row>
    <row r="969">
      <c r="A969" s="488"/>
      <c r="B969" s="18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c r="AA969" s="182"/>
      <c r="AB969" s="182"/>
    </row>
    <row r="970">
      <c r="A970" s="488"/>
      <c r="B970" s="18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c r="AA970" s="182"/>
      <c r="AB970" s="182"/>
    </row>
    <row r="971">
      <c r="A971" s="488"/>
      <c r="B971" s="18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c r="AA971" s="182"/>
      <c r="AB971" s="182"/>
    </row>
    <row r="972">
      <c r="A972" s="488"/>
      <c r="B972" s="18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c r="AA972" s="182"/>
      <c r="AB972" s="182"/>
    </row>
    <row r="973">
      <c r="A973" s="488"/>
      <c r="B973" s="18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c r="AA973" s="182"/>
      <c r="AB973" s="182"/>
    </row>
    <row r="974">
      <c r="A974" s="488"/>
      <c r="B974" s="18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c r="AA974" s="182"/>
      <c r="AB974" s="182"/>
    </row>
    <row r="975">
      <c r="A975" s="488"/>
      <c r="B975" s="18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c r="AA975" s="182"/>
      <c r="AB975" s="182"/>
    </row>
    <row r="976">
      <c r="A976" s="488"/>
      <c r="B976" s="18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c r="AA976" s="182"/>
      <c r="AB976" s="182"/>
    </row>
    <row r="977">
      <c r="A977" s="488"/>
      <c r="B977" s="18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c r="AA977" s="182"/>
      <c r="AB977" s="182"/>
    </row>
    <row r="978">
      <c r="A978" s="488"/>
      <c r="B978" s="18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c r="AA978" s="182"/>
      <c r="AB978" s="182"/>
    </row>
    <row r="979">
      <c r="A979" s="488"/>
      <c r="B979" s="18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c r="AA979" s="182"/>
      <c r="AB979" s="182"/>
    </row>
    <row r="980">
      <c r="A980" s="488"/>
      <c r="B980" s="18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c r="AA980" s="182"/>
      <c r="AB980" s="182"/>
    </row>
    <row r="981">
      <c r="A981" s="488"/>
      <c r="B981" s="18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c r="AA981" s="182"/>
      <c r="AB981" s="182"/>
    </row>
    <row r="982">
      <c r="A982" s="488"/>
      <c r="B982" s="18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c r="AA982" s="182"/>
      <c r="AB982" s="182"/>
    </row>
    <row r="983">
      <c r="A983" s="488"/>
      <c r="B983" s="18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c r="AA983" s="182"/>
      <c r="AB983" s="182"/>
    </row>
    <row r="984">
      <c r="A984" s="488"/>
      <c r="B984" s="18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c r="AA984" s="182"/>
      <c r="AB984" s="182"/>
    </row>
    <row r="985">
      <c r="A985" s="488"/>
      <c r="B985" s="18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c r="AA985" s="182"/>
      <c r="AB985" s="182"/>
    </row>
    <row r="986">
      <c r="A986" s="488"/>
      <c r="B986" s="18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c r="AA986" s="182"/>
      <c r="AB986" s="182"/>
    </row>
    <row r="987">
      <c r="A987" s="488"/>
      <c r="B987" s="18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c r="AA987" s="182"/>
      <c r="AB987" s="182"/>
    </row>
    <row r="988">
      <c r="A988" s="488"/>
      <c r="B988" s="18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c r="AA988" s="182"/>
      <c r="AB988" s="182"/>
    </row>
    <row r="989">
      <c r="A989" s="488"/>
      <c r="B989" s="18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c r="AA989" s="182"/>
      <c r="AB989" s="182"/>
    </row>
    <row r="990">
      <c r="A990" s="488"/>
      <c r="B990" s="182"/>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c r="AA990" s="182"/>
      <c r="AB990" s="182"/>
    </row>
    <row r="991">
      <c r="A991" s="488"/>
      <c r="B991" s="182"/>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c r="AA991" s="182"/>
      <c r="AB991" s="182"/>
    </row>
    <row r="992">
      <c r="A992" s="488"/>
      <c r="B992" s="182"/>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c r="AA992" s="182"/>
      <c r="AB992" s="182"/>
    </row>
    <row r="993">
      <c r="A993" s="488"/>
      <c r="B993" s="182"/>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c r="AA993" s="182"/>
      <c r="AB993" s="182"/>
    </row>
    <row r="994">
      <c r="A994" s="488"/>
      <c r="B994" s="182"/>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c r="AA994" s="182"/>
      <c r="AB994" s="182"/>
    </row>
    <row r="995">
      <c r="A995" s="488"/>
      <c r="B995" s="182"/>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c r="AA995" s="182"/>
      <c r="AB995" s="182"/>
    </row>
    <row r="996">
      <c r="A996" s="488"/>
      <c r="B996" s="182"/>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c r="AA996" s="182"/>
      <c r="AB996" s="182"/>
    </row>
    <row r="997">
      <c r="A997" s="488"/>
      <c r="B997" s="182"/>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c r="AA997" s="182"/>
      <c r="AB997" s="182"/>
    </row>
    <row r="998">
      <c r="A998" s="488"/>
      <c r="B998" s="182"/>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c r="AA998" s="182"/>
      <c r="AB998" s="182"/>
    </row>
    <row r="999">
      <c r="A999" s="488"/>
      <c r="B999" s="182"/>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c r="AA999" s="182"/>
      <c r="AB999" s="182"/>
    </row>
    <row r="1000">
      <c r="A1000" s="488"/>
      <c r="B1000" s="182"/>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c r="AA1000" s="182"/>
      <c r="AB1000" s="182"/>
    </row>
    <row r="1001">
      <c r="A1001" s="488"/>
      <c r="B1001" s="182"/>
      <c r="C1001" s="182"/>
      <c r="D1001" s="182"/>
      <c r="E1001" s="182"/>
      <c r="F1001" s="182"/>
      <c r="G1001" s="182"/>
      <c r="H1001" s="182"/>
      <c r="I1001" s="182"/>
      <c r="J1001" s="182"/>
      <c r="K1001" s="182"/>
      <c r="L1001" s="182"/>
      <c r="M1001" s="182"/>
      <c r="N1001" s="182"/>
      <c r="O1001" s="182"/>
      <c r="P1001" s="182"/>
      <c r="Q1001" s="182"/>
      <c r="R1001" s="182"/>
      <c r="S1001" s="182"/>
      <c r="T1001" s="182"/>
      <c r="U1001" s="182"/>
      <c r="V1001" s="182"/>
      <c r="W1001" s="182"/>
      <c r="X1001" s="182"/>
      <c r="Y1001" s="182"/>
      <c r="Z1001" s="182"/>
      <c r="AA1001" s="182"/>
      <c r="AB1001" s="182"/>
    </row>
    <row r="1002">
      <c r="A1002" s="488"/>
      <c r="B1002" s="182"/>
      <c r="C1002" s="182"/>
      <c r="D1002" s="182"/>
      <c r="E1002" s="182"/>
      <c r="F1002" s="182"/>
      <c r="G1002" s="182"/>
      <c r="H1002" s="182"/>
      <c r="I1002" s="182"/>
      <c r="J1002" s="182"/>
      <c r="K1002" s="182"/>
      <c r="L1002" s="182"/>
      <c r="M1002" s="182"/>
      <c r="N1002" s="182"/>
      <c r="O1002" s="182"/>
      <c r="P1002" s="182"/>
      <c r="Q1002" s="182"/>
      <c r="R1002" s="182"/>
      <c r="S1002" s="182"/>
      <c r="T1002" s="182"/>
      <c r="U1002" s="182"/>
      <c r="V1002" s="182"/>
      <c r="W1002" s="182"/>
      <c r="X1002" s="182"/>
      <c r="Y1002" s="182"/>
      <c r="Z1002" s="182"/>
      <c r="AA1002" s="182"/>
      <c r="AB1002" s="182"/>
    </row>
    <row r="1003">
      <c r="A1003" s="488"/>
      <c r="B1003" s="182"/>
      <c r="C1003" s="182"/>
      <c r="D1003" s="182"/>
      <c r="E1003" s="182"/>
      <c r="F1003" s="182"/>
      <c r="G1003" s="182"/>
      <c r="H1003" s="182"/>
      <c r="I1003" s="182"/>
      <c r="J1003" s="182"/>
      <c r="K1003" s="182"/>
      <c r="L1003" s="182"/>
      <c r="M1003" s="182"/>
      <c r="N1003" s="182"/>
      <c r="O1003" s="182"/>
      <c r="P1003" s="182"/>
      <c r="Q1003" s="182"/>
      <c r="R1003" s="182"/>
      <c r="S1003" s="182"/>
      <c r="T1003" s="182"/>
      <c r="U1003" s="182"/>
      <c r="V1003" s="182"/>
      <c r="W1003" s="182"/>
      <c r="X1003" s="182"/>
      <c r="Y1003" s="182"/>
      <c r="Z1003" s="182"/>
      <c r="AA1003" s="182"/>
      <c r="AB1003" s="182"/>
    </row>
    <row r="1004">
      <c r="A1004" s="488"/>
      <c r="B1004" s="182"/>
      <c r="C1004" s="182"/>
      <c r="D1004" s="182"/>
      <c r="E1004" s="182"/>
      <c r="F1004" s="182"/>
      <c r="G1004" s="182"/>
      <c r="H1004" s="182"/>
      <c r="I1004" s="182"/>
      <c r="J1004" s="182"/>
      <c r="K1004" s="182"/>
      <c r="L1004" s="182"/>
      <c r="M1004" s="182"/>
      <c r="N1004" s="182"/>
      <c r="O1004" s="182"/>
      <c r="P1004" s="182"/>
      <c r="Q1004" s="182"/>
      <c r="R1004" s="182"/>
      <c r="S1004" s="182"/>
      <c r="T1004" s="182"/>
      <c r="U1004" s="182"/>
      <c r="V1004" s="182"/>
      <c r="W1004" s="182"/>
      <c r="X1004" s="182"/>
      <c r="Y1004" s="182"/>
      <c r="Z1004" s="182"/>
      <c r="AA1004" s="182"/>
      <c r="AB1004" s="182"/>
    </row>
    <row r="1005">
      <c r="A1005" s="488"/>
      <c r="B1005" s="182"/>
      <c r="C1005" s="182"/>
      <c r="D1005" s="182"/>
      <c r="E1005" s="182"/>
      <c r="F1005" s="182"/>
      <c r="G1005" s="182"/>
      <c r="H1005" s="182"/>
      <c r="I1005" s="182"/>
      <c r="J1005" s="182"/>
      <c r="K1005" s="182"/>
      <c r="L1005" s="182"/>
      <c r="M1005" s="182"/>
      <c r="N1005" s="182"/>
      <c r="O1005" s="182"/>
      <c r="P1005" s="182"/>
      <c r="Q1005" s="182"/>
      <c r="R1005" s="182"/>
      <c r="S1005" s="182"/>
      <c r="T1005" s="182"/>
      <c r="U1005" s="182"/>
      <c r="V1005" s="182"/>
      <c r="W1005" s="182"/>
      <c r="X1005" s="182"/>
      <c r="Y1005" s="182"/>
      <c r="Z1005" s="182"/>
      <c r="AA1005" s="182"/>
      <c r="AB1005" s="182"/>
    </row>
    <row r="1006">
      <c r="A1006" s="488"/>
      <c r="B1006" s="182"/>
      <c r="C1006" s="182"/>
      <c r="D1006" s="182"/>
      <c r="E1006" s="182"/>
      <c r="F1006" s="182"/>
      <c r="G1006" s="182"/>
      <c r="H1006" s="182"/>
      <c r="I1006" s="182"/>
      <c r="J1006" s="182"/>
      <c r="K1006" s="182"/>
      <c r="L1006" s="182"/>
      <c r="M1006" s="182"/>
      <c r="N1006" s="182"/>
      <c r="O1006" s="182"/>
      <c r="P1006" s="182"/>
      <c r="Q1006" s="182"/>
      <c r="R1006" s="182"/>
      <c r="S1006" s="182"/>
      <c r="T1006" s="182"/>
      <c r="U1006" s="182"/>
      <c r="V1006" s="182"/>
      <c r="W1006" s="182"/>
      <c r="X1006" s="182"/>
      <c r="Y1006" s="182"/>
      <c r="Z1006" s="182"/>
      <c r="AA1006" s="182"/>
      <c r="AB1006" s="182"/>
    </row>
    <row r="1007">
      <c r="A1007" s="488"/>
      <c r="B1007" s="182"/>
      <c r="C1007" s="182"/>
      <c r="D1007" s="182"/>
      <c r="E1007" s="182"/>
      <c r="F1007" s="182"/>
      <c r="G1007" s="182"/>
      <c r="H1007" s="182"/>
      <c r="I1007" s="182"/>
      <c r="J1007" s="182"/>
      <c r="K1007" s="182"/>
      <c r="L1007" s="182"/>
      <c r="M1007" s="182"/>
      <c r="N1007" s="182"/>
      <c r="O1007" s="182"/>
      <c r="P1007" s="182"/>
      <c r="Q1007" s="182"/>
      <c r="R1007" s="182"/>
      <c r="S1007" s="182"/>
      <c r="T1007" s="182"/>
      <c r="U1007" s="182"/>
      <c r="V1007" s="182"/>
      <c r="W1007" s="182"/>
      <c r="X1007" s="182"/>
      <c r="Y1007" s="182"/>
      <c r="Z1007" s="182"/>
      <c r="AA1007" s="182"/>
      <c r="AB1007" s="182"/>
    </row>
    <row r="1008">
      <c r="A1008" s="488"/>
      <c r="B1008" s="182"/>
      <c r="C1008" s="182"/>
      <c r="D1008" s="182"/>
      <c r="E1008" s="182"/>
      <c r="F1008" s="182"/>
      <c r="G1008" s="182"/>
      <c r="H1008" s="182"/>
      <c r="I1008" s="182"/>
      <c r="J1008" s="182"/>
      <c r="K1008" s="182"/>
      <c r="L1008" s="182"/>
      <c r="M1008" s="182"/>
      <c r="N1008" s="182"/>
      <c r="O1008" s="182"/>
      <c r="P1008" s="182"/>
      <c r="Q1008" s="182"/>
      <c r="R1008" s="182"/>
      <c r="S1008" s="182"/>
      <c r="T1008" s="182"/>
      <c r="U1008" s="182"/>
      <c r="V1008" s="182"/>
      <c r="W1008" s="182"/>
      <c r="X1008" s="182"/>
      <c r="Y1008" s="182"/>
      <c r="Z1008" s="182"/>
      <c r="AA1008" s="182"/>
      <c r="AB1008" s="182"/>
    </row>
    <row r="1009">
      <c r="A1009" s="488"/>
      <c r="B1009" s="182"/>
      <c r="C1009" s="182"/>
      <c r="D1009" s="182"/>
      <c r="E1009" s="182"/>
      <c r="F1009" s="182"/>
      <c r="G1009" s="182"/>
      <c r="H1009" s="182"/>
      <c r="I1009" s="182"/>
      <c r="J1009" s="182"/>
      <c r="K1009" s="182"/>
      <c r="L1009" s="182"/>
      <c r="M1009" s="182"/>
      <c r="N1009" s="182"/>
      <c r="O1009" s="182"/>
      <c r="P1009" s="182"/>
      <c r="Q1009" s="182"/>
      <c r="R1009" s="182"/>
      <c r="S1009" s="182"/>
      <c r="T1009" s="182"/>
      <c r="U1009" s="182"/>
      <c r="V1009" s="182"/>
      <c r="W1009" s="182"/>
      <c r="X1009" s="182"/>
      <c r="Y1009" s="182"/>
      <c r="Z1009" s="182"/>
      <c r="AA1009" s="182"/>
      <c r="AB1009" s="182"/>
    </row>
    <row r="1010">
      <c r="A1010" s="488"/>
      <c r="B1010" s="182"/>
      <c r="C1010" s="182"/>
      <c r="D1010" s="182"/>
      <c r="E1010" s="182"/>
      <c r="F1010" s="182"/>
      <c r="G1010" s="182"/>
      <c r="H1010" s="182"/>
      <c r="I1010" s="182"/>
      <c r="J1010" s="182"/>
      <c r="K1010" s="182"/>
      <c r="L1010" s="182"/>
      <c r="M1010" s="182"/>
      <c r="N1010" s="182"/>
      <c r="O1010" s="182"/>
      <c r="P1010" s="182"/>
      <c r="Q1010" s="182"/>
      <c r="R1010" s="182"/>
      <c r="S1010" s="182"/>
      <c r="T1010" s="182"/>
      <c r="U1010" s="182"/>
      <c r="V1010" s="182"/>
      <c r="W1010" s="182"/>
      <c r="X1010" s="182"/>
      <c r="Y1010" s="182"/>
      <c r="Z1010" s="182"/>
      <c r="AA1010" s="182"/>
      <c r="AB1010" s="182"/>
    </row>
    <row r="1011">
      <c r="A1011" s="488"/>
      <c r="B1011" s="182"/>
      <c r="C1011" s="182"/>
      <c r="D1011" s="182"/>
      <c r="E1011" s="182"/>
      <c r="F1011" s="182"/>
      <c r="G1011" s="182"/>
      <c r="H1011" s="182"/>
      <c r="I1011" s="182"/>
      <c r="J1011" s="182"/>
      <c r="K1011" s="182"/>
      <c r="L1011" s="182"/>
      <c r="M1011" s="182"/>
      <c r="N1011" s="182"/>
      <c r="O1011" s="182"/>
      <c r="P1011" s="182"/>
      <c r="Q1011" s="182"/>
      <c r="R1011" s="182"/>
      <c r="S1011" s="182"/>
      <c r="T1011" s="182"/>
      <c r="U1011" s="182"/>
      <c r="V1011" s="182"/>
      <c r="W1011" s="182"/>
      <c r="X1011" s="182"/>
      <c r="Y1011" s="182"/>
      <c r="Z1011" s="182"/>
      <c r="AA1011" s="182"/>
      <c r="AB1011" s="182"/>
    </row>
    <row r="1012">
      <c r="A1012" s="488"/>
      <c r="B1012" s="182"/>
      <c r="C1012" s="182"/>
      <c r="D1012" s="182"/>
      <c r="E1012" s="182"/>
      <c r="F1012" s="182"/>
      <c r="G1012" s="182"/>
      <c r="H1012" s="182"/>
      <c r="I1012" s="182"/>
      <c r="J1012" s="182"/>
      <c r="K1012" s="182"/>
      <c r="L1012" s="182"/>
      <c r="M1012" s="182"/>
      <c r="N1012" s="182"/>
      <c r="O1012" s="182"/>
      <c r="P1012" s="182"/>
      <c r="Q1012" s="182"/>
      <c r="R1012" s="182"/>
      <c r="S1012" s="182"/>
      <c r="T1012" s="182"/>
      <c r="U1012" s="182"/>
      <c r="V1012" s="182"/>
      <c r="W1012" s="182"/>
      <c r="X1012" s="182"/>
      <c r="Y1012" s="182"/>
      <c r="Z1012" s="182"/>
      <c r="AA1012" s="182"/>
      <c r="AB1012" s="182"/>
    </row>
    <row r="1013">
      <c r="A1013" s="488"/>
      <c r="B1013" s="182"/>
      <c r="C1013" s="182"/>
      <c r="D1013" s="182"/>
      <c r="E1013" s="182"/>
      <c r="F1013" s="182"/>
      <c r="G1013" s="182"/>
      <c r="H1013" s="182"/>
      <c r="I1013" s="182"/>
      <c r="J1013" s="182"/>
      <c r="K1013" s="182"/>
      <c r="L1013" s="182"/>
      <c r="M1013" s="182"/>
      <c r="N1013" s="182"/>
      <c r="O1013" s="182"/>
      <c r="P1013" s="182"/>
      <c r="Q1013" s="182"/>
      <c r="R1013" s="182"/>
      <c r="S1013" s="182"/>
      <c r="T1013" s="182"/>
      <c r="U1013" s="182"/>
      <c r="V1013" s="182"/>
      <c r="W1013" s="182"/>
      <c r="X1013" s="182"/>
      <c r="Y1013" s="182"/>
      <c r="Z1013" s="182"/>
      <c r="AA1013" s="182"/>
      <c r="AB1013" s="182"/>
    </row>
    <row r="1014">
      <c r="A1014" s="488"/>
      <c r="B1014" s="182"/>
      <c r="C1014" s="182"/>
      <c r="D1014" s="182"/>
      <c r="E1014" s="182"/>
      <c r="F1014" s="182"/>
      <c r="G1014" s="182"/>
      <c r="H1014" s="182"/>
      <c r="I1014" s="182"/>
      <c r="J1014" s="182"/>
      <c r="K1014" s="182"/>
      <c r="L1014" s="182"/>
      <c r="M1014" s="182"/>
      <c r="N1014" s="182"/>
      <c r="O1014" s="182"/>
      <c r="P1014" s="182"/>
      <c r="Q1014" s="182"/>
      <c r="R1014" s="182"/>
      <c r="S1014" s="182"/>
      <c r="T1014" s="182"/>
      <c r="U1014" s="182"/>
      <c r="V1014" s="182"/>
      <c r="W1014" s="182"/>
      <c r="X1014" s="182"/>
      <c r="Y1014" s="182"/>
      <c r="Z1014" s="182"/>
      <c r="AA1014" s="182"/>
      <c r="AB1014" s="182"/>
    </row>
    <row r="1015">
      <c r="A1015" s="488"/>
      <c r="B1015" s="182"/>
      <c r="C1015" s="182"/>
      <c r="D1015" s="182"/>
      <c r="E1015" s="182"/>
      <c r="F1015" s="182"/>
      <c r="G1015" s="182"/>
      <c r="H1015" s="182"/>
      <c r="I1015" s="182"/>
      <c r="J1015" s="182"/>
      <c r="K1015" s="182"/>
      <c r="L1015" s="182"/>
      <c r="M1015" s="182"/>
      <c r="N1015" s="182"/>
      <c r="O1015" s="182"/>
      <c r="P1015" s="182"/>
      <c r="Q1015" s="182"/>
      <c r="R1015" s="182"/>
      <c r="S1015" s="182"/>
      <c r="T1015" s="182"/>
      <c r="U1015" s="182"/>
      <c r="V1015" s="182"/>
      <c r="W1015" s="182"/>
      <c r="X1015" s="182"/>
      <c r="Y1015" s="182"/>
      <c r="Z1015" s="182"/>
      <c r="AA1015" s="182"/>
      <c r="AB1015" s="182"/>
    </row>
    <row r="1016">
      <c r="A1016" s="488"/>
      <c r="B1016" s="182"/>
      <c r="C1016" s="182"/>
      <c r="D1016" s="182"/>
      <c r="E1016" s="182"/>
      <c r="F1016" s="182"/>
      <c r="G1016" s="182"/>
      <c r="H1016" s="182"/>
      <c r="I1016" s="182"/>
      <c r="J1016" s="182"/>
      <c r="K1016" s="182"/>
      <c r="L1016" s="182"/>
      <c r="M1016" s="182"/>
      <c r="N1016" s="182"/>
      <c r="O1016" s="182"/>
      <c r="P1016" s="182"/>
      <c r="Q1016" s="182"/>
      <c r="R1016" s="182"/>
      <c r="S1016" s="182"/>
      <c r="T1016" s="182"/>
      <c r="U1016" s="182"/>
      <c r="V1016" s="182"/>
      <c r="W1016" s="182"/>
      <c r="X1016" s="182"/>
      <c r="Y1016" s="182"/>
      <c r="Z1016" s="182"/>
      <c r="AA1016" s="182"/>
      <c r="AB1016" s="182"/>
    </row>
    <row r="1017">
      <c r="A1017" s="488"/>
      <c r="B1017" s="182"/>
      <c r="C1017" s="182"/>
      <c r="D1017" s="182"/>
      <c r="E1017" s="182"/>
      <c r="F1017" s="182"/>
      <c r="G1017" s="182"/>
      <c r="H1017" s="182"/>
      <c r="I1017" s="182"/>
      <c r="J1017" s="182"/>
      <c r="K1017" s="182"/>
      <c r="L1017" s="182"/>
      <c r="M1017" s="182"/>
      <c r="N1017" s="182"/>
      <c r="O1017" s="182"/>
      <c r="P1017" s="182"/>
      <c r="Q1017" s="182"/>
      <c r="R1017" s="182"/>
      <c r="S1017" s="182"/>
      <c r="T1017" s="182"/>
      <c r="U1017" s="182"/>
      <c r="V1017" s="182"/>
      <c r="W1017" s="182"/>
      <c r="X1017" s="182"/>
      <c r="Y1017" s="182"/>
      <c r="Z1017" s="182"/>
      <c r="AA1017" s="182"/>
      <c r="AB1017" s="182"/>
    </row>
    <row r="1018">
      <c r="A1018" s="488"/>
      <c r="B1018" s="182"/>
      <c r="C1018" s="182"/>
      <c r="D1018" s="182"/>
      <c r="E1018" s="182"/>
      <c r="F1018" s="182"/>
      <c r="G1018" s="182"/>
      <c r="H1018" s="182"/>
      <c r="I1018" s="182"/>
      <c r="J1018" s="182"/>
      <c r="K1018" s="182"/>
      <c r="L1018" s="182"/>
      <c r="M1018" s="182"/>
      <c r="N1018" s="182"/>
      <c r="O1018" s="182"/>
      <c r="P1018" s="182"/>
      <c r="Q1018" s="182"/>
      <c r="R1018" s="182"/>
      <c r="S1018" s="182"/>
      <c r="T1018" s="182"/>
      <c r="U1018" s="182"/>
      <c r="V1018" s="182"/>
      <c r="W1018" s="182"/>
      <c r="X1018" s="182"/>
      <c r="Y1018" s="182"/>
      <c r="Z1018" s="182"/>
      <c r="AA1018" s="182"/>
      <c r="AB1018" s="182"/>
    </row>
    <row r="1019">
      <c r="A1019" s="488"/>
      <c r="B1019" s="182"/>
      <c r="C1019" s="182"/>
      <c r="D1019" s="182"/>
      <c r="E1019" s="182"/>
      <c r="F1019" s="182"/>
      <c r="G1019" s="182"/>
      <c r="H1019" s="182"/>
      <c r="I1019" s="182"/>
      <c r="J1019" s="182"/>
      <c r="K1019" s="182"/>
      <c r="L1019" s="182"/>
      <c r="M1019" s="182"/>
      <c r="N1019" s="182"/>
      <c r="O1019" s="182"/>
      <c r="P1019" s="182"/>
      <c r="Q1019" s="182"/>
      <c r="R1019" s="182"/>
      <c r="S1019" s="182"/>
      <c r="T1019" s="182"/>
      <c r="U1019" s="182"/>
      <c r="V1019" s="182"/>
      <c r="W1019" s="182"/>
      <c r="X1019" s="182"/>
      <c r="Y1019" s="182"/>
      <c r="Z1019" s="182"/>
      <c r="AA1019" s="182"/>
      <c r="AB1019" s="182"/>
    </row>
    <row r="1020">
      <c r="A1020" s="488"/>
      <c r="B1020" s="182"/>
      <c r="C1020" s="182"/>
      <c r="D1020" s="182"/>
      <c r="E1020" s="182"/>
      <c r="F1020" s="182"/>
      <c r="G1020" s="182"/>
      <c r="H1020" s="182"/>
      <c r="I1020" s="182"/>
      <c r="J1020" s="182"/>
      <c r="K1020" s="182"/>
      <c r="L1020" s="182"/>
      <c r="M1020" s="182"/>
      <c r="N1020" s="182"/>
      <c r="O1020" s="182"/>
      <c r="P1020" s="182"/>
      <c r="Q1020" s="182"/>
      <c r="R1020" s="182"/>
      <c r="S1020" s="182"/>
      <c r="T1020" s="182"/>
      <c r="U1020" s="182"/>
      <c r="V1020" s="182"/>
      <c r="W1020" s="182"/>
      <c r="X1020" s="182"/>
      <c r="Y1020" s="182"/>
      <c r="Z1020" s="182"/>
      <c r="AA1020" s="182"/>
      <c r="AB1020" s="182"/>
    </row>
    <row r="1021">
      <c r="A1021" s="488"/>
      <c r="B1021" s="182"/>
      <c r="C1021" s="182"/>
      <c r="D1021" s="182"/>
      <c r="E1021" s="182"/>
      <c r="F1021" s="182"/>
      <c r="G1021" s="182"/>
      <c r="H1021" s="182"/>
      <c r="I1021" s="182"/>
      <c r="J1021" s="182"/>
      <c r="K1021" s="182"/>
      <c r="L1021" s="182"/>
      <c r="M1021" s="182"/>
      <c r="N1021" s="182"/>
      <c r="O1021" s="182"/>
      <c r="P1021" s="182"/>
      <c r="Q1021" s="182"/>
      <c r="R1021" s="182"/>
      <c r="S1021" s="182"/>
      <c r="T1021" s="182"/>
      <c r="U1021" s="182"/>
      <c r="V1021" s="182"/>
      <c r="W1021" s="182"/>
      <c r="X1021" s="182"/>
      <c r="Y1021" s="182"/>
      <c r="Z1021" s="182"/>
      <c r="AA1021" s="182"/>
      <c r="AB1021" s="182"/>
    </row>
    <row r="1022">
      <c r="A1022" s="488"/>
      <c r="B1022" s="182"/>
      <c r="C1022" s="182"/>
      <c r="D1022" s="182"/>
      <c r="E1022" s="182"/>
      <c r="F1022" s="182"/>
      <c r="G1022" s="182"/>
      <c r="H1022" s="182"/>
      <c r="I1022" s="182"/>
      <c r="J1022" s="182"/>
      <c r="K1022" s="182"/>
      <c r="L1022" s="182"/>
      <c r="M1022" s="182"/>
      <c r="N1022" s="182"/>
      <c r="O1022" s="182"/>
      <c r="P1022" s="182"/>
      <c r="Q1022" s="182"/>
      <c r="R1022" s="182"/>
      <c r="S1022" s="182"/>
      <c r="T1022" s="182"/>
      <c r="U1022" s="182"/>
      <c r="V1022" s="182"/>
      <c r="W1022" s="182"/>
      <c r="X1022" s="182"/>
      <c r="Y1022" s="182"/>
      <c r="Z1022" s="182"/>
      <c r="AA1022" s="182"/>
      <c r="AB1022" s="182"/>
    </row>
    <row r="1023">
      <c r="A1023" s="488"/>
      <c r="B1023" s="182"/>
      <c r="C1023" s="182"/>
      <c r="D1023" s="182"/>
      <c r="E1023" s="182"/>
      <c r="F1023" s="182"/>
      <c r="G1023" s="182"/>
      <c r="H1023" s="182"/>
      <c r="I1023" s="182"/>
      <c r="J1023" s="182"/>
      <c r="K1023" s="182"/>
      <c r="L1023" s="182"/>
      <c r="M1023" s="182"/>
      <c r="N1023" s="182"/>
      <c r="O1023" s="182"/>
      <c r="P1023" s="182"/>
      <c r="Q1023" s="182"/>
      <c r="R1023" s="182"/>
      <c r="S1023" s="182"/>
      <c r="T1023" s="182"/>
      <c r="U1023" s="182"/>
      <c r="V1023" s="182"/>
      <c r="W1023" s="182"/>
      <c r="X1023" s="182"/>
      <c r="Y1023" s="182"/>
      <c r="Z1023" s="182"/>
      <c r="AA1023" s="182"/>
      <c r="AB1023" s="18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68.57"/>
  </cols>
  <sheetData>
    <row r="1">
      <c r="A1" s="499" t="s">
        <v>1542</v>
      </c>
      <c r="B1" s="499" t="s">
        <v>1543</v>
      </c>
      <c r="C1" s="499" t="s">
        <v>1544</v>
      </c>
      <c r="D1" s="499" t="s">
        <v>1545</v>
      </c>
      <c r="E1" s="499" t="s">
        <v>1546</v>
      </c>
      <c r="F1" s="499" t="s">
        <v>1547</v>
      </c>
      <c r="G1" s="499" t="s">
        <v>1548</v>
      </c>
      <c r="H1" s="499" t="s">
        <v>1549</v>
      </c>
      <c r="I1" s="499" t="s">
        <v>1550</v>
      </c>
      <c r="J1" s="499" t="s">
        <v>1551</v>
      </c>
      <c r="K1" s="499" t="s">
        <v>1552</v>
      </c>
      <c r="L1" s="499" t="s">
        <v>1553</v>
      </c>
      <c r="M1" s="499" t="s">
        <v>1554</v>
      </c>
      <c r="N1" s="499" t="s">
        <v>1555</v>
      </c>
      <c r="O1" s="499" t="s">
        <v>1556</v>
      </c>
      <c r="P1" s="499" t="s">
        <v>1557</v>
      </c>
    </row>
    <row r="2">
      <c r="A2" s="499" t="s">
        <v>1558</v>
      </c>
      <c r="B2" s="500">
        <v>0.075350606</v>
      </c>
      <c r="C2" s="500">
        <v>0.111982882</v>
      </c>
      <c r="D2" s="500">
        <v>0.098381386</v>
      </c>
      <c r="E2" s="500">
        <v>0.077755906</v>
      </c>
      <c r="F2" s="500">
        <v>0.087122243</v>
      </c>
      <c r="G2" s="500">
        <v>0.108892059</v>
      </c>
      <c r="H2" s="500">
        <v>0.097622661</v>
      </c>
      <c r="I2" s="500">
        <v>0.060285433</v>
      </c>
      <c r="J2" s="500">
        <v>0.0873945</v>
      </c>
      <c r="K2" s="500">
        <v>0.114090564</v>
      </c>
      <c r="L2" s="500">
        <v>0.104110263</v>
      </c>
      <c r="M2" s="500">
        <v>0.10375817</v>
      </c>
      <c r="N2" s="500">
        <v>0.097612175</v>
      </c>
      <c r="O2" s="500">
        <v>0.091068301</v>
      </c>
      <c r="P2" s="500">
        <v>0.091478356</v>
      </c>
    </row>
    <row r="3">
      <c r="A3" s="499" t="s">
        <v>1559</v>
      </c>
      <c r="B3" s="500">
        <v>0.080325794</v>
      </c>
      <c r="C3" s="500">
        <v>0.123443065</v>
      </c>
      <c r="D3" s="500">
        <v>0.106857305</v>
      </c>
      <c r="E3" s="500">
        <v>0.082946136</v>
      </c>
      <c r="F3" s="500">
        <v>0.093677852</v>
      </c>
      <c r="G3" s="500">
        <v>0.119337508</v>
      </c>
      <c r="H3" s="500">
        <v>0.105612472</v>
      </c>
      <c r="I3" s="500">
        <v>0.063547289</v>
      </c>
      <c r="J3" s="500">
        <v>0.093875064</v>
      </c>
      <c r="K3" s="500">
        <v>0.125716941</v>
      </c>
      <c r="L3" s="500">
        <v>0.113280431</v>
      </c>
      <c r="M3" s="500">
        <v>0.113236852</v>
      </c>
      <c r="N3" s="500">
        <v>0.105516296</v>
      </c>
      <c r="O3" s="500">
        <v>0.097976308</v>
      </c>
      <c r="P3" s="500">
        <v>0.098477129</v>
      </c>
    </row>
    <row r="4">
      <c r="A4" s="178" t="s">
        <v>1560</v>
      </c>
      <c r="B4" s="500">
        <v>0.086998714</v>
      </c>
      <c r="C4" s="500">
        <v>0.119529374</v>
      </c>
      <c r="D4" s="500">
        <v>0.108752291</v>
      </c>
      <c r="E4" s="500">
        <v>0.087889688</v>
      </c>
      <c r="F4" s="500">
        <v>0.104584963</v>
      </c>
      <c r="G4" s="500">
        <v>0.115466395</v>
      </c>
      <c r="H4" s="500">
        <v>0.109598446</v>
      </c>
      <c r="I4" s="500">
        <v>0.065450774</v>
      </c>
      <c r="J4" s="500">
        <v>0.10737431</v>
      </c>
      <c r="K4" s="500">
        <v>0.124901807</v>
      </c>
      <c r="L4" s="500">
        <v>0.115502943</v>
      </c>
      <c r="M4" s="500">
        <v>0.119564427</v>
      </c>
      <c r="N4" s="500">
        <v>0.109859987</v>
      </c>
      <c r="O4" s="500">
        <v>0.106764555</v>
      </c>
      <c r="P4" s="500">
        <v>0.109907709</v>
      </c>
    </row>
    <row r="5">
      <c r="A5" s="178" t="s">
        <v>1561</v>
      </c>
      <c r="B5" s="500">
        <v>0.093576375</v>
      </c>
      <c r="C5" s="500">
        <v>0.132754072</v>
      </c>
      <c r="D5" s="500">
        <v>0.119046481</v>
      </c>
      <c r="E5" s="500">
        <v>0.094485948</v>
      </c>
      <c r="F5" s="500">
        <v>0.113842067</v>
      </c>
      <c r="G5" s="500">
        <v>0.127417845</v>
      </c>
      <c r="H5" s="500">
        <v>0.119800592</v>
      </c>
      <c r="I5" s="500">
        <v>0.069170507</v>
      </c>
      <c r="J5" s="500">
        <v>0.117149808</v>
      </c>
      <c r="K5" s="500">
        <v>0.139073207</v>
      </c>
      <c r="L5" s="500">
        <v>0.127087183</v>
      </c>
      <c r="M5" s="500">
        <v>0.132499419</v>
      </c>
      <c r="N5" s="500">
        <v>0.120082535</v>
      </c>
      <c r="O5" s="500">
        <v>0.11648931</v>
      </c>
      <c r="P5" s="500">
        <v>0.119967925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0.43"/>
    <col customWidth="1" min="7" max="7" width="22.14"/>
  </cols>
  <sheetData>
    <row r="1">
      <c r="A1" s="310" t="s">
        <v>1462</v>
      </c>
      <c r="B1" s="345" t="s">
        <v>389</v>
      </c>
      <c r="C1" s="346" t="s">
        <v>420</v>
      </c>
      <c r="D1" s="347" t="s">
        <v>358</v>
      </c>
      <c r="E1" s="348" t="s">
        <v>363</v>
      </c>
      <c r="F1" s="349" t="s">
        <v>413</v>
      </c>
      <c r="G1" s="350" t="s">
        <v>357</v>
      </c>
      <c r="H1" s="351" t="s">
        <v>380</v>
      </c>
      <c r="I1" s="352" t="s">
        <v>387</v>
      </c>
      <c r="J1" s="407" t="s">
        <v>1427</v>
      </c>
      <c r="K1" s="408" t="s">
        <v>1190</v>
      </c>
      <c r="L1" s="409" t="s">
        <v>1214</v>
      </c>
      <c r="M1" s="410" t="s">
        <v>1120</v>
      </c>
      <c r="N1" s="411" t="s">
        <v>1188</v>
      </c>
      <c r="O1" s="412" t="s">
        <v>1428</v>
      </c>
      <c r="P1" s="413" t="s">
        <v>1429</v>
      </c>
      <c r="Q1" s="414" t="s">
        <v>1430</v>
      </c>
      <c r="R1" s="415" t="s">
        <v>1178</v>
      </c>
      <c r="S1" s="416" t="s">
        <v>1145</v>
      </c>
      <c r="T1" s="417" t="s">
        <v>1301</v>
      </c>
      <c r="U1" s="418" t="s">
        <v>1130</v>
      </c>
      <c r="V1" s="419" t="s">
        <v>1314</v>
      </c>
      <c r="W1" s="420" t="s">
        <v>1431</v>
      </c>
      <c r="X1" s="421" t="s">
        <v>1432</v>
      </c>
      <c r="Y1" s="422" t="s">
        <v>1433</v>
      </c>
      <c r="Z1" s="423" t="s">
        <v>1095</v>
      </c>
      <c r="AA1" s="424" t="s">
        <v>1103</v>
      </c>
      <c r="AB1" s="425" t="s">
        <v>1090</v>
      </c>
      <c r="AC1" s="426" t="s">
        <v>1296</v>
      </c>
      <c r="AD1" s="427" t="s">
        <v>1270</v>
      </c>
      <c r="AE1" s="428" t="s">
        <v>1434</v>
      </c>
      <c r="AF1" s="429" t="s">
        <v>1435</v>
      </c>
      <c r="AG1" s="430" t="s">
        <v>1436</v>
      </c>
      <c r="AH1" s="431" t="s">
        <v>1115</v>
      </c>
      <c r="AI1" s="432" t="s">
        <v>1089</v>
      </c>
      <c r="AJ1" s="433" t="s">
        <v>1182</v>
      </c>
      <c r="AK1" s="434" t="s">
        <v>1298</v>
      </c>
      <c r="AL1" s="435" t="s">
        <v>1437</v>
      </c>
      <c r="AM1" s="436" t="s">
        <v>1438</v>
      </c>
      <c r="AN1" s="437" t="s">
        <v>1439</v>
      </c>
      <c r="AO1" s="438" t="s">
        <v>1440</v>
      </c>
      <c r="AP1" s="439" t="s">
        <v>1163</v>
      </c>
      <c r="AQ1" s="440" t="s">
        <v>1223</v>
      </c>
      <c r="AR1" s="441" t="s">
        <v>1441</v>
      </c>
      <c r="AS1" s="442" t="s">
        <v>1442</v>
      </c>
      <c r="AT1" s="443" t="s">
        <v>1443</v>
      </c>
      <c r="AU1" s="444" t="s">
        <v>1444</v>
      </c>
      <c r="AV1" s="445" t="s">
        <v>1445</v>
      </c>
      <c r="AW1" s="446" t="s">
        <v>1446</v>
      </c>
      <c r="AX1" s="447" t="s">
        <v>1129</v>
      </c>
      <c r="AY1" s="448" t="s">
        <v>1447</v>
      </c>
      <c r="AZ1" s="449" t="s">
        <v>1448</v>
      </c>
      <c r="BA1" s="450" t="s">
        <v>1449</v>
      </c>
      <c r="BB1" s="451" t="s">
        <v>1450</v>
      </c>
      <c r="BC1" s="452" t="s">
        <v>1451</v>
      </c>
      <c r="BD1" s="453" t="s">
        <v>1452</v>
      </c>
      <c r="BE1" s="454" t="s">
        <v>1453</v>
      </c>
      <c r="BF1" s="455" t="s">
        <v>1454</v>
      </c>
      <c r="BG1" s="456" t="s">
        <v>1455</v>
      </c>
      <c r="BH1" s="457" t="s">
        <v>1456</v>
      </c>
      <c r="BI1" s="458" t="s">
        <v>1457</v>
      </c>
      <c r="BJ1" s="459" t="s">
        <v>1458</v>
      </c>
      <c r="BK1" s="460" t="s">
        <v>1459</v>
      </c>
      <c r="BL1" s="461" t="s">
        <v>1460</v>
      </c>
      <c r="BM1" s="462" t="s">
        <v>1461</v>
      </c>
    </row>
    <row r="2">
      <c r="A2" s="463">
        <v>40022.0</v>
      </c>
      <c r="B2" s="501">
        <v>0.0</v>
      </c>
      <c r="C2" s="501">
        <v>0.0</v>
      </c>
      <c r="D2" s="501">
        <v>2.0</v>
      </c>
      <c r="E2" s="501">
        <v>2.0</v>
      </c>
      <c r="F2" s="501">
        <v>0.0</v>
      </c>
      <c r="G2" s="501">
        <v>1.0</v>
      </c>
      <c r="H2" s="501">
        <v>0.0</v>
      </c>
      <c r="I2" s="501">
        <v>0.0</v>
      </c>
      <c r="J2" s="464">
        <f>'07-28-09'!R23</f>
        <v>0</v>
      </c>
      <c r="K2" s="464">
        <f>'07-28-09'!S23</f>
        <v>0</v>
      </c>
      <c r="L2" s="464">
        <f>'07-28-09'!T23</f>
        <v>0</v>
      </c>
      <c r="M2" s="464">
        <f>'07-28-09'!U23</f>
        <v>0</v>
      </c>
      <c r="N2" s="464">
        <f>'07-28-09'!V23</f>
        <v>0</v>
      </c>
      <c r="O2" s="464">
        <f>'07-28-09'!W23</f>
        <v>0</v>
      </c>
      <c r="P2" s="464">
        <f>'07-28-09'!X23</f>
        <v>0</v>
      </c>
      <c r="Q2" s="464">
        <f t="shared" ref="Q2:Q16" si="1">J2</f>
        <v>0</v>
      </c>
      <c r="R2" s="464">
        <f>'07-28-09'!Y23</f>
        <v>0</v>
      </c>
      <c r="S2" s="464">
        <f>'07-28-09'!Z23</f>
        <v>0</v>
      </c>
      <c r="T2" s="464">
        <f>'07-28-09'!AA23</f>
        <v>0</v>
      </c>
      <c r="U2" s="464">
        <f>'07-28-09'!AB23</f>
        <v>0</v>
      </c>
      <c r="V2" s="464">
        <f>'07-28-09'!AC23</f>
        <v>0</v>
      </c>
      <c r="W2" s="464">
        <f>'07-28-09'!AD23</f>
        <v>0</v>
      </c>
      <c r="X2" s="464">
        <f t="shared" ref="X2:X16" si="2">K2</f>
        <v>0</v>
      </c>
      <c r="Y2" s="464">
        <f t="shared" ref="Y2:Y16" si="3">R2</f>
        <v>0</v>
      </c>
      <c r="Z2" s="464">
        <f>'07-28-09'!AE23</f>
        <v>1</v>
      </c>
      <c r="AA2" s="464">
        <f>'07-28-09'!AF23</f>
        <v>1</v>
      </c>
      <c r="AB2" s="464">
        <f>'07-28-09'!AG23</f>
        <v>2</v>
      </c>
      <c r="AC2" s="464">
        <f>'07-28-09'!AH23</f>
        <v>0</v>
      </c>
      <c r="AD2" s="464">
        <f>'07-28-09'!AI23</f>
        <v>0</v>
      </c>
      <c r="AE2" s="464">
        <f t="shared" ref="AE2:AE16" si="4">L2</f>
        <v>0</v>
      </c>
      <c r="AF2" s="464">
        <f t="shared" ref="AF2:AF16" si="5">S2</f>
        <v>0</v>
      </c>
      <c r="AG2" s="464">
        <f t="shared" ref="AG2:AG16" si="6">Z2</f>
        <v>1</v>
      </c>
      <c r="AH2" s="464">
        <f>'07-28-09'!AJ23</f>
        <v>0</v>
      </c>
      <c r="AI2" s="464">
        <f>'07-28-09'!AK23</f>
        <v>0</v>
      </c>
      <c r="AJ2" s="464">
        <f>'07-28-09'!AL23</f>
        <v>0</v>
      </c>
      <c r="AK2" s="464">
        <f>'07-28-09'!AM23</f>
        <v>0</v>
      </c>
      <c r="AL2" s="464">
        <f t="shared" ref="AL2:AL16" si="7">M2</f>
        <v>0</v>
      </c>
      <c r="AM2" s="464">
        <f t="shared" ref="AM2:AM16" si="8">T2</f>
        <v>0</v>
      </c>
      <c r="AN2" s="464">
        <f t="shared" ref="AN2:AN16" si="9">AA2</f>
        <v>1</v>
      </c>
      <c r="AO2" s="464">
        <f t="shared" ref="AO2:AO16" si="10">AH2</f>
        <v>0</v>
      </c>
      <c r="AP2" s="464">
        <f>'07-28-09'!AN23</f>
        <v>0</v>
      </c>
      <c r="AQ2" s="464">
        <f>'07-28-09'!AO23</f>
        <v>0</v>
      </c>
      <c r="AR2" s="464">
        <f>'07-28-09'!AP23</f>
        <v>0</v>
      </c>
      <c r="AS2" s="464">
        <f t="shared" ref="AS2:AS16" si="11">N2</f>
        <v>0</v>
      </c>
      <c r="AT2" s="464">
        <f t="shared" ref="AT2:AT16" si="12">U2</f>
        <v>0</v>
      </c>
      <c r="AU2" s="464">
        <f t="shared" ref="AU2:AU16" si="13">AB2</f>
        <v>2</v>
      </c>
      <c r="AV2" s="464">
        <f t="shared" ref="AV2:AV16" si="14">AI2</f>
        <v>0</v>
      </c>
      <c r="AW2" s="464">
        <f t="shared" ref="AW2:AW16" si="15">AP2</f>
        <v>0</v>
      </c>
      <c r="AX2" s="464">
        <f>'07-28-09'!AQ23</f>
        <v>0</v>
      </c>
      <c r="AY2" s="464">
        <f>'07-28-09'!AR23</f>
        <v>0</v>
      </c>
      <c r="AZ2" s="464">
        <f t="shared" ref="AZ2:AZ16" si="16">O2</f>
        <v>0</v>
      </c>
      <c r="BA2" s="464">
        <f t="shared" ref="BA2:BA16" si="17">V2</f>
        <v>0</v>
      </c>
      <c r="BB2" s="464">
        <f t="shared" ref="BB2:BB16" si="18">AC2</f>
        <v>0</v>
      </c>
      <c r="BC2" s="464">
        <f t="shared" ref="BC2:BC16" si="19">AJ2</f>
        <v>0</v>
      </c>
      <c r="BD2" s="464">
        <f t="shared" ref="BD2:BD16" si="20">AQ2</f>
        <v>0</v>
      </c>
      <c r="BE2" s="464">
        <f t="shared" ref="BE2:BE16" si="21">AX2</f>
        <v>0</v>
      </c>
      <c r="BF2" s="464">
        <f>'07-28-09'!AS23</f>
        <v>0</v>
      </c>
      <c r="BG2" s="464">
        <f t="shared" ref="BG2:BG16" si="22">P2</f>
        <v>0</v>
      </c>
      <c r="BH2" s="464">
        <f t="shared" ref="BH2:BH16" si="23">W2</f>
        <v>0</v>
      </c>
      <c r="BI2" s="464">
        <f t="shared" ref="BI2:BI16" si="24">AD2</f>
        <v>0</v>
      </c>
      <c r="BJ2" s="464">
        <f t="shared" ref="BJ2:BJ16" si="25">AK2</f>
        <v>0</v>
      </c>
      <c r="BK2" s="464">
        <f t="shared" ref="BK2:BK16" si="26">AR2</f>
        <v>0</v>
      </c>
      <c r="BL2" s="464">
        <f t="shared" ref="BL2:BL16" si="27">AY2</f>
        <v>0</v>
      </c>
      <c r="BM2" s="464">
        <f t="shared" ref="BM2:BM16" si="28">BF2</f>
        <v>0</v>
      </c>
    </row>
    <row r="3">
      <c r="A3" s="463">
        <v>40122.0</v>
      </c>
      <c r="B3" s="501">
        <v>0.0</v>
      </c>
      <c r="C3" s="501">
        <v>0.0</v>
      </c>
      <c r="D3" s="501">
        <v>4.0</v>
      </c>
      <c r="E3" s="501">
        <v>2.0</v>
      </c>
      <c r="F3" s="501">
        <v>2.0</v>
      </c>
      <c r="G3" s="501">
        <v>1.0</v>
      </c>
      <c r="H3" s="501">
        <v>1.0</v>
      </c>
      <c r="I3" s="501">
        <v>0.0</v>
      </c>
      <c r="J3" s="464">
        <f>'11-05-09'!Q33</f>
        <v>0</v>
      </c>
      <c r="K3" s="464">
        <f>'11-05-09'!R33</f>
        <v>0</v>
      </c>
      <c r="L3" s="464">
        <f>'11-05-09'!S33</f>
        <v>0</v>
      </c>
      <c r="M3" s="464">
        <f>'11-05-09'!T33</f>
        <v>0</v>
      </c>
      <c r="N3" s="464">
        <f>'11-05-09'!U33</f>
        <v>0</v>
      </c>
      <c r="O3" s="464">
        <f>'11-05-09'!V33</f>
        <v>0</v>
      </c>
      <c r="P3" s="464">
        <f>'11-05-09'!W33</f>
        <v>0</v>
      </c>
      <c r="Q3" s="464">
        <f t="shared" si="1"/>
        <v>0</v>
      </c>
      <c r="R3" s="464">
        <f>'11-05-09'!X33</f>
        <v>0</v>
      </c>
      <c r="S3" s="464">
        <f>'11-05-09'!Y33</f>
        <v>0</v>
      </c>
      <c r="T3" s="464">
        <f>'11-05-09'!Z33</f>
        <v>0</v>
      </c>
      <c r="U3" s="464">
        <f>'11-05-09'!AA33</f>
        <v>0</v>
      </c>
      <c r="V3" s="464">
        <f>'11-05-09'!AB33</f>
        <v>0</v>
      </c>
      <c r="W3" s="464">
        <f>'11-05-09'!AC33</f>
        <v>0</v>
      </c>
      <c r="X3" s="464">
        <f t="shared" si="2"/>
        <v>0</v>
      </c>
      <c r="Y3" s="464">
        <f t="shared" si="3"/>
        <v>0</v>
      </c>
      <c r="Z3" s="464">
        <f>'11-05-09'!AD33</f>
        <v>1</v>
      </c>
      <c r="AA3" s="464">
        <f>'11-05-09'!AE33</f>
        <v>0</v>
      </c>
      <c r="AB3" s="464">
        <f>'11-05-09'!AF33</f>
        <v>0</v>
      </c>
      <c r="AC3" s="464">
        <f>'11-05-09'!AG33</f>
        <v>0</v>
      </c>
      <c r="AD3" s="464">
        <f>'11-05-09'!AH33</f>
        <v>0</v>
      </c>
      <c r="AE3" s="464">
        <f t="shared" si="4"/>
        <v>0</v>
      </c>
      <c r="AF3" s="464">
        <f t="shared" si="5"/>
        <v>0</v>
      </c>
      <c r="AG3" s="464">
        <f t="shared" si="6"/>
        <v>1</v>
      </c>
      <c r="AH3" s="464">
        <f>'11-05-09'!AI33</f>
        <v>1</v>
      </c>
      <c r="AI3" s="464">
        <f>'11-05-09'!AJ33</f>
        <v>0</v>
      </c>
      <c r="AJ3" s="464">
        <f>'11-05-09'!AK33</f>
        <v>0</v>
      </c>
      <c r="AK3" s="464">
        <f>'11-05-09'!AL33</f>
        <v>0</v>
      </c>
      <c r="AL3" s="464">
        <f t="shared" si="7"/>
        <v>0</v>
      </c>
      <c r="AM3" s="464">
        <f t="shared" si="8"/>
        <v>0</v>
      </c>
      <c r="AN3" s="464">
        <f t="shared" si="9"/>
        <v>0</v>
      </c>
      <c r="AO3" s="464">
        <f t="shared" si="10"/>
        <v>1</v>
      </c>
      <c r="AP3" s="464">
        <f>'11-05-09'!AM33</f>
        <v>0</v>
      </c>
      <c r="AQ3" s="464">
        <f>'11-05-09'!AN33</f>
        <v>0</v>
      </c>
      <c r="AR3" s="464">
        <f>'11-05-09'!AO33</f>
        <v>0</v>
      </c>
      <c r="AS3" s="464">
        <f t="shared" si="11"/>
        <v>0</v>
      </c>
      <c r="AT3" s="464">
        <f t="shared" si="12"/>
        <v>0</v>
      </c>
      <c r="AU3" s="464">
        <f t="shared" si="13"/>
        <v>0</v>
      </c>
      <c r="AV3" s="464">
        <f t="shared" si="14"/>
        <v>0</v>
      </c>
      <c r="AW3" s="464">
        <f t="shared" si="15"/>
        <v>0</v>
      </c>
      <c r="AX3" s="464">
        <f>'11-05-09'!AP33</f>
        <v>1</v>
      </c>
      <c r="AY3" s="464">
        <f>'11-05-09'!AQ33</f>
        <v>0</v>
      </c>
      <c r="AZ3" s="464">
        <f t="shared" si="16"/>
        <v>0</v>
      </c>
      <c r="BA3" s="464">
        <f t="shared" si="17"/>
        <v>0</v>
      </c>
      <c r="BB3" s="464">
        <f t="shared" si="18"/>
        <v>0</v>
      </c>
      <c r="BC3" s="464">
        <f t="shared" si="19"/>
        <v>0</v>
      </c>
      <c r="BD3" s="464">
        <f t="shared" si="20"/>
        <v>0</v>
      </c>
      <c r="BE3" s="464">
        <f t="shared" si="21"/>
        <v>1</v>
      </c>
      <c r="BF3" s="464">
        <f>'11-05-09'!AR33</f>
        <v>0</v>
      </c>
      <c r="BG3" s="464">
        <f t="shared" si="22"/>
        <v>0</v>
      </c>
      <c r="BH3" s="464">
        <f t="shared" si="23"/>
        <v>0</v>
      </c>
      <c r="BI3" s="464">
        <f t="shared" si="24"/>
        <v>0</v>
      </c>
      <c r="BJ3" s="464">
        <f t="shared" si="25"/>
        <v>0</v>
      </c>
      <c r="BK3" s="464">
        <f t="shared" si="26"/>
        <v>0</v>
      </c>
      <c r="BL3" s="464">
        <f t="shared" si="27"/>
        <v>0</v>
      </c>
      <c r="BM3" s="464">
        <f t="shared" si="28"/>
        <v>0</v>
      </c>
    </row>
    <row r="4">
      <c r="A4" s="463">
        <v>40206.0</v>
      </c>
      <c r="B4" s="502">
        <v>0.0</v>
      </c>
      <c r="C4" s="502">
        <v>1.0</v>
      </c>
      <c r="D4" s="502">
        <v>10.0</v>
      </c>
      <c r="E4" s="502">
        <v>2.0</v>
      </c>
      <c r="F4" s="502">
        <v>4.0</v>
      </c>
      <c r="G4" s="502">
        <v>17.0</v>
      </c>
      <c r="H4" s="502">
        <v>1.0</v>
      </c>
      <c r="I4" s="502">
        <v>3.0</v>
      </c>
      <c r="J4" s="464">
        <f>'01-28-10'!S84</f>
        <v>0</v>
      </c>
      <c r="K4" s="464">
        <f>'01-28-10'!T84</f>
        <v>2</v>
      </c>
      <c r="L4" s="464">
        <f>'01-28-10'!U84</f>
        <v>0</v>
      </c>
      <c r="M4" s="464">
        <f>'01-28-10'!V84</f>
        <v>0</v>
      </c>
      <c r="N4" s="464">
        <f>'01-28-10'!W84</f>
        <v>3</v>
      </c>
      <c r="O4" s="464">
        <f>'01-28-10'!X84</f>
        <v>0</v>
      </c>
      <c r="P4" s="464">
        <f>'01-28-10'!Y84</f>
        <v>0</v>
      </c>
      <c r="Q4" s="464">
        <f t="shared" si="1"/>
        <v>0</v>
      </c>
      <c r="R4" s="464">
        <f>'01-28-10'!Z84</f>
        <v>1</v>
      </c>
      <c r="S4" s="464">
        <f>'01-28-10'!AA84</f>
        <v>0</v>
      </c>
      <c r="T4" s="464">
        <f>'01-28-10'!AB84</f>
        <v>1</v>
      </c>
      <c r="U4" s="464">
        <f>'01-28-10'!AC84</f>
        <v>1</v>
      </c>
      <c r="V4" s="464">
        <f>'01-28-10'!AD84</f>
        <v>0</v>
      </c>
      <c r="W4" s="464">
        <f>'01-28-10'!AE84</f>
        <v>0</v>
      </c>
      <c r="X4" s="464">
        <f t="shared" si="2"/>
        <v>2</v>
      </c>
      <c r="Y4" s="464">
        <f t="shared" si="3"/>
        <v>1</v>
      </c>
      <c r="Z4" s="464">
        <f>'01-28-10'!AF84</f>
        <v>4</v>
      </c>
      <c r="AA4" s="464">
        <f>'01-28-10'!AG84</f>
        <v>6</v>
      </c>
      <c r="AB4" s="464">
        <f>'01-28-10'!AH84</f>
        <v>6</v>
      </c>
      <c r="AC4" s="464">
        <f>'01-28-10'!AI84</f>
        <v>1</v>
      </c>
      <c r="AD4" s="464">
        <f>'01-28-10'!AJ84</f>
        <v>0</v>
      </c>
      <c r="AE4" s="464">
        <f t="shared" si="4"/>
        <v>0</v>
      </c>
      <c r="AF4" s="464">
        <f t="shared" si="5"/>
        <v>0</v>
      </c>
      <c r="AG4" s="464">
        <f t="shared" si="6"/>
        <v>4</v>
      </c>
      <c r="AH4" s="464">
        <f>'01-28-10'!AK84</f>
        <v>0</v>
      </c>
      <c r="AI4" s="464">
        <f>'01-28-10'!AL84</f>
        <v>3</v>
      </c>
      <c r="AJ4" s="464">
        <f>'01-28-10'!AM84</f>
        <v>1</v>
      </c>
      <c r="AK4" s="464">
        <f>'01-28-10'!AN84</f>
        <v>0</v>
      </c>
      <c r="AL4" s="464">
        <f t="shared" si="7"/>
        <v>0</v>
      </c>
      <c r="AM4" s="464">
        <f t="shared" si="8"/>
        <v>1</v>
      </c>
      <c r="AN4" s="464">
        <f t="shared" si="9"/>
        <v>6</v>
      </c>
      <c r="AO4" s="464">
        <f t="shared" si="10"/>
        <v>0</v>
      </c>
      <c r="AP4" s="464">
        <f>'01-28-10'!AO84</f>
        <v>3</v>
      </c>
      <c r="AQ4" s="464">
        <f>'01-28-10'!AP84</f>
        <v>2</v>
      </c>
      <c r="AR4" s="464">
        <f>'01-28-10'!AQ84</f>
        <v>0</v>
      </c>
      <c r="AS4" s="464">
        <f t="shared" si="11"/>
        <v>3</v>
      </c>
      <c r="AT4" s="464">
        <f t="shared" si="12"/>
        <v>1</v>
      </c>
      <c r="AU4" s="464">
        <f t="shared" si="13"/>
        <v>6</v>
      </c>
      <c r="AV4" s="464">
        <f t="shared" si="14"/>
        <v>3</v>
      </c>
      <c r="AW4" s="464">
        <f t="shared" si="15"/>
        <v>3</v>
      </c>
      <c r="AX4" s="464">
        <f>'01-28-10'!AR84</f>
        <v>3</v>
      </c>
      <c r="AY4" s="464">
        <f>'01-28-10'!AS84</f>
        <v>0</v>
      </c>
      <c r="AZ4" s="464">
        <f t="shared" si="16"/>
        <v>0</v>
      </c>
      <c r="BA4" s="464">
        <f t="shared" si="17"/>
        <v>0</v>
      </c>
      <c r="BB4" s="464">
        <f t="shared" si="18"/>
        <v>1</v>
      </c>
      <c r="BC4" s="464">
        <f t="shared" si="19"/>
        <v>1</v>
      </c>
      <c r="BD4" s="464">
        <f t="shared" si="20"/>
        <v>2</v>
      </c>
      <c r="BE4" s="464">
        <f t="shared" si="21"/>
        <v>3</v>
      </c>
      <c r="BF4" s="464">
        <f>'01-28-10'!AT84</f>
        <v>0</v>
      </c>
      <c r="BG4" s="464">
        <f t="shared" si="22"/>
        <v>0</v>
      </c>
      <c r="BH4" s="464">
        <f t="shared" si="23"/>
        <v>0</v>
      </c>
      <c r="BI4" s="464">
        <f t="shared" si="24"/>
        <v>0</v>
      </c>
      <c r="BJ4" s="464">
        <f t="shared" si="25"/>
        <v>0</v>
      </c>
      <c r="BK4" s="464">
        <f t="shared" si="26"/>
        <v>0</v>
      </c>
      <c r="BL4" s="464">
        <f t="shared" si="27"/>
        <v>0</v>
      </c>
      <c r="BM4" s="464">
        <f t="shared" si="28"/>
        <v>0</v>
      </c>
    </row>
    <row r="5">
      <c r="A5" s="463">
        <v>40243.0</v>
      </c>
      <c r="B5" s="503">
        <v>0.0</v>
      </c>
      <c r="C5" s="503">
        <v>0.0</v>
      </c>
      <c r="D5" s="503">
        <v>4.0</v>
      </c>
      <c r="E5" s="503">
        <v>6.0</v>
      </c>
      <c r="F5" s="503">
        <v>2.0</v>
      </c>
      <c r="G5" s="503">
        <v>24.0</v>
      </c>
      <c r="H5" s="503">
        <v>2.0</v>
      </c>
      <c r="I5" s="503">
        <v>2.0</v>
      </c>
      <c r="J5" s="464">
        <f>'03-06-10'!V72</f>
        <v>1</v>
      </c>
      <c r="K5" s="464">
        <f>'03-06-10'!W72</f>
        <v>2</v>
      </c>
      <c r="L5" s="464">
        <f>'03-06-10'!X72</f>
        <v>1</v>
      </c>
      <c r="M5" s="464">
        <f>'03-06-10'!Y72</f>
        <v>0</v>
      </c>
      <c r="N5" s="464">
        <f>'03-06-10'!Z72</f>
        <v>0</v>
      </c>
      <c r="O5" s="464">
        <f>'03-06-10'!AA72</f>
        <v>0</v>
      </c>
      <c r="P5" s="464">
        <f>'03-06-10'!AB72</f>
        <v>0</v>
      </c>
      <c r="Q5" s="464">
        <f t="shared" si="1"/>
        <v>1</v>
      </c>
      <c r="R5" s="464">
        <f>'03-06-10'!AC72</f>
        <v>3</v>
      </c>
      <c r="S5" s="464">
        <f>'03-06-10'!AD72</f>
        <v>2</v>
      </c>
      <c r="T5" s="464">
        <f>'03-06-10'!AE72</f>
        <v>0</v>
      </c>
      <c r="U5" s="464">
        <f>'03-06-10'!AF72</f>
        <v>1</v>
      </c>
      <c r="V5" s="464">
        <f>'03-06-10'!AG72</f>
        <v>1</v>
      </c>
      <c r="W5" s="464">
        <f>'03-06-10'!AH72</f>
        <v>0</v>
      </c>
      <c r="X5" s="464">
        <f t="shared" si="2"/>
        <v>2</v>
      </c>
      <c r="Y5" s="464">
        <f t="shared" si="3"/>
        <v>3</v>
      </c>
      <c r="Z5" s="464">
        <f>'03-06-10'!AI72</f>
        <v>1</v>
      </c>
      <c r="AA5" s="464">
        <f>'03-06-10'!AJ72</f>
        <v>3</v>
      </c>
      <c r="AB5" s="464">
        <f>'03-06-10'!AK72</f>
        <v>2</v>
      </c>
      <c r="AC5" s="464">
        <f>'03-06-10'!AL72</f>
        <v>1</v>
      </c>
      <c r="AD5" s="464">
        <f>'03-06-10'!AM72</f>
        <v>0</v>
      </c>
      <c r="AE5" s="464">
        <f t="shared" si="4"/>
        <v>1</v>
      </c>
      <c r="AF5" s="464">
        <f t="shared" si="5"/>
        <v>2</v>
      </c>
      <c r="AG5" s="464">
        <f t="shared" si="6"/>
        <v>1</v>
      </c>
      <c r="AH5" s="464">
        <f>'03-06-10'!AN72</f>
        <v>1</v>
      </c>
      <c r="AI5" s="464">
        <f>'03-06-10'!AO72</f>
        <v>5</v>
      </c>
      <c r="AJ5" s="464">
        <f>'03-06-10'!AP72</f>
        <v>0</v>
      </c>
      <c r="AK5" s="464">
        <f>'03-06-10'!AQ72</f>
        <v>0</v>
      </c>
      <c r="AL5" s="464">
        <f t="shared" si="7"/>
        <v>0</v>
      </c>
      <c r="AM5" s="464">
        <f t="shared" si="8"/>
        <v>0</v>
      </c>
      <c r="AN5" s="464">
        <f t="shared" si="9"/>
        <v>3</v>
      </c>
      <c r="AO5" s="464">
        <f t="shared" si="10"/>
        <v>1</v>
      </c>
      <c r="AP5" s="464">
        <f>'03-06-10'!AR72</f>
        <v>3</v>
      </c>
      <c r="AQ5" s="464">
        <f>'03-06-10'!AS72</f>
        <v>0</v>
      </c>
      <c r="AR5" s="464">
        <f>'03-06-10'!AT72</f>
        <v>0</v>
      </c>
      <c r="AS5" s="464">
        <f t="shared" si="11"/>
        <v>0</v>
      </c>
      <c r="AT5" s="464">
        <f t="shared" si="12"/>
        <v>1</v>
      </c>
      <c r="AU5" s="464">
        <f t="shared" si="13"/>
        <v>2</v>
      </c>
      <c r="AV5" s="464">
        <f t="shared" si="14"/>
        <v>5</v>
      </c>
      <c r="AW5" s="464">
        <f t="shared" si="15"/>
        <v>3</v>
      </c>
      <c r="AX5" s="464">
        <f>'03-06-10'!AU72</f>
        <v>0</v>
      </c>
      <c r="AY5" s="464">
        <f>'03-06-10'!AV72</f>
        <v>0</v>
      </c>
      <c r="AZ5" s="464">
        <f t="shared" si="16"/>
        <v>0</v>
      </c>
      <c r="BA5" s="464">
        <f t="shared" si="17"/>
        <v>1</v>
      </c>
      <c r="BB5" s="464">
        <f t="shared" si="18"/>
        <v>1</v>
      </c>
      <c r="BC5" s="464">
        <f t="shared" si="19"/>
        <v>0</v>
      </c>
      <c r="BD5" s="464">
        <f t="shared" si="20"/>
        <v>0</v>
      </c>
      <c r="BE5" s="464">
        <f t="shared" si="21"/>
        <v>0</v>
      </c>
      <c r="BF5" s="464">
        <f>'03-06-10'!AW72</f>
        <v>0</v>
      </c>
      <c r="BG5" s="464">
        <f t="shared" si="22"/>
        <v>0</v>
      </c>
      <c r="BH5" s="464">
        <f t="shared" si="23"/>
        <v>0</v>
      </c>
      <c r="BI5" s="464">
        <f t="shared" si="24"/>
        <v>0</v>
      </c>
      <c r="BJ5" s="464">
        <f t="shared" si="25"/>
        <v>0</v>
      </c>
      <c r="BK5" s="464">
        <f t="shared" si="26"/>
        <v>0</v>
      </c>
      <c r="BL5" s="464">
        <f t="shared" si="27"/>
        <v>0</v>
      </c>
      <c r="BM5" s="464">
        <f t="shared" si="28"/>
        <v>0</v>
      </c>
    </row>
    <row r="6">
      <c r="A6" s="463">
        <v>40319.0</v>
      </c>
      <c r="B6" s="503">
        <v>0.0</v>
      </c>
      <c r="C6" s="503">
        <v>0.0</v>
      </c>
      <c r="D6" s="503">
        <v>1.0</v>
      </c>
      <c r="E6" s="503">
        <v>5.0</v>
      </c>
      <c r="F6" s="503">
        <v>0.0</v>
      </c>
      <c r="G6" s="503">
        <v>19.0</v>
      </c>
      <c r="H6" s="503">
        <v>5.0</v>
      </c>
      <c r="I6" s="503">
        <v>0.0</v>
      </c>
      <c r="J6" s="464">
        <f>'05-21-10'!W83</f>
        <v>0</v>
      </c>
      <c r="K6" s="464">
        <f>'05-21-10'!X83</f>
        <v>0</v>
      </c>
      <c r="L6" s="464">
        <f>'05-21-10'!Y83</f>
        <v>0</v>
      </c>
      <c r="M6" s="464">
        <f>'05-21-10'!Z83</f>
        <v>0</v>
      </c>
      <c r="N6" s="464">
        <f>'05-21-10'!AA83</f>
        <v>0</v>
      </c>
      <c r="O6" s="464">
        <f>'05-21-10'!AB83</f>
        <v>0</v>
      </c>
      <c r="P6" s="464">
        <f>'05-21-10'!AC83</f>
        <v>0</v>
      </c>
      <c r="Q6" s="464">
        <f t="shared" si="1"/>
        <v>0</v>
      </c>
      <c r="R6" s="464">
        <f>'05-21-10'!AD83</f>
        <v>0</v>
      </c>
      <c r="S6" s="464">
        <f>'05-21-10'!AE83</f>
        <v>0</v>
      </c>
      <c r="T6" s="464">
        <f>'05-21-10'!AF83</f>
        <v>0</v>
      </c>
      <c r="U6" s="464">
        <f>'05-21-10'!AG83</f>
        <v>0</v>
      </c>
      <c r="V6" s="464">
        <f>'05-21-10'!AH83</f>
        <v>0</v>
      </c>
      <c r="W6" s="464">
        <f>'05-21-10'!AI83</f>
        <v>0</v>
      </c>
      <c r="X6" s="464">
        <f t="shared" si="2"/>
        <v>0</v>
      </c>
      <c r="Y6" s="464">
        <f t="shared" si="3"/>
        <v>0</v>
      </c>
      <c r="Z6" s="464">
        <f>'05-21-10'!AJ83</f>
        <v>1</v>
      </c>
      <c r="AA6" s="464">
        <f>'05-21-10'!AK83</f>
        <v>1</v>
      </c>
      <c r="AB6" s="464">
        <f>'05-21-10'!AL83</f>
        <v>1</v>
      </c>
      <c r="AC6" s="464">
        <f>'05-21-10'!AM83</f>
        <v>0</v>
      </c>
      <c r="AD6" s="464">
        <f>'05-21-10'!AN83</f>
        <v>0</v>
      </c>
      <c r="AE6" s="464">
        <f t="shared" si="4"/>
        <v>0</v>
      </c>
      <c r="AF6" s="464">
        <f t="shared" si="5"/>
        <v>0</v>
      </c>
      <c r="AG6" s="464">
        <f t="shared" si="6"/>
        <v>1</v>
      </c>
      <c r="AH6" s="464">
        <f>'05-21-10'!AO83</f>
        <v>0</v>
      </c>
      <c r="AI6" s="464">
        <f>'05-21-10'!AP83</f>
        <v>3</v>
      </c>
      <c r="AJ6" s="464">
        <f>'05-21-10'!AQ83</f>
        <v>0</v>
      </c>
      <c r="AK6" s="464">
        <f>'05-21-10'!AR83</f>
        <v>1</v>
      </c>
      <c r="AL6" s="464">
        <f t="shared" si="7"/>
        <v>0</v>
      </c>
      <c r="AM6" s="464">
        <f t="shared" si="8"/>
        <v>0</v>
      </c>
      <c r="AN6" s="464">
        <f t="shared" si="9"/>
        <v>1</v>
      </c>
      <c r="AO6" s="464">
        <f t="shared" si="10"/>
        <v>0</v>
      </c>
      <c r="AP6" s="464">
        <f>'05-21-10'!AS83</f>
        <v>1</v>
      </c>
      <c r="AQ6" s="464">
        <f>'05-21-10'!AT83</f>
        <v>0</v>
      </c>
      <c r="AR6" s="464">
        <f>'05-21-10'!AU83</f>
        <v>0</v>
      </c>
      <c r="AS6" s="464">
        <f t="shared" si="11"/>
        <v>0</v>
      </c>
      <c r="AT6" s="464">
        <f t="shared" si="12"/>
        <v>0</v>
      </c>
      <c r="AU6" s="464">
        <f t="shared" si="13"/>
        <v>1</v>
      </c>
      <c r="AV6" s="464">
        <f t="shared" si="14"/>
        <v>3</v>
      </c>
      <c r="AW6" s="464">
        <f t="shared" si="15"/>
        <v>1</v>
      </c>
      <c r="AX6" s="464">
        <f>'05-21-10'!AV83</f>
        <v>1</v>
      </c>
      <c r="AY6" s="464">
        <f>'05-21-10'!AW83</f>
        <v>0</v>
      </c>
      <c r="AZ6" s="464">
        <f t="shared" si="16"/>
        <v>0</v>
      </c>
      <c r="BA6" s="464">
        <f t="shared" si="17"/>
        <v>0</v>
      </c>
      <c r="BB6" s="464">
        <f t="shared" si="18"/>
        <v>0</v>
      </c>
      <c r="BC6" s="464">
        <f t="shared" si="19"/>
        <v>0</v>
      </c>
      <c r="BD6" s="464">
        <f t="shared" si="20"/>
        <v>0</v>
      </c>
      <c r="BE6" s="464">
        <f t="shared" si="21"/>
        <v>1</v>
      </c>
      <c r="BF6" s="464">
        <f>'05-21-10'!AX83</f>
        <v>0</v>
      </c>
      <c r="BG6" s="464">
        <f t="shared" si="22"/>
        <v>0</v>
      </c>
      <c r="BH6" s="464">
        <f t="shared" si="23"/>
        <v>0</v>
      </c>
      <c r="BI6" s="464">
        <f t="shared" si="24"/>
        <v>0</v>
      </c>
      <c r="BJ6" s="464">
        <f t="shared" si="25"/>
        <v>1</v>
      </c>
      <c r="BK6" s="464">
        <f t="shared" si="26"/>
        <v>0</v>
      </c>
      <c r="BL6" s="464">
        <f t="shared" si="27"/>
        <v>0</v>
      </c>
      <c r="BM6" s="464">
        <f t="shared" si="28"/>
        <v>0</v>
      </c>
    </row>
    <row r="7">
      <c r="A7" s="463">
        <v>40373.0</v>
      </c>
      <c r="B7" s="503">
        <v>1.0</v>
      </c>
      <c r="C7" s="503">
        <v>0.0</v>
      </c>
      <c r="D7" s="503">
        <v>2.0</v>
      </c>
      <c r="E7" s="503">
        <v>4.0</v>
      </c>
      <c r="F7" s="503">
        <v>4.0</v>
      </c>
      <c r="G7" s="503">
        <v>22.0</v>
      </c>
      <c r="H7" s="503">
        <v>4.0</v>
      </c>
      <c r="I7" s="503">
        <v>0.0</v>
      </c>
      <c r="J7" s="464">
        <f>'07-14-10'!Q75</f>
        <v>0</v>
      </c>
      <c r="K7" s="464">
        <f>'07-14-10'!R75</f>
        <v>0</v>
      </c>
      <c r="L7" s="464">
        <f>'07-14-10'!S75</f>
        <v>0</v>
      </c>
      <c r="M7" s="464">
        <f>'07-14-10'!T75</f>
        <v>0</v>
      </c>
      <c r="N7" s="464">
        <f>'07-14-10'!U75</f>
        <v>0</v>
      </c>
      <c r="O7" s="464">
        <f>'07-14-10'!V75</f>
        <v>0</v>
      </c>
      <c r="P7" s="464">
        <f>'07-14-10'!W75</f>
        <v>0</v>
      </c>
      <c r="Q7" s="464">
        <f t="shared" si="1"/>
        <v>0</v>
      </c>
      <c r="R7" s="464">
        <f>'07-14-10'!X75</f>
        <v>1</v>
      </c>
      <c r="S7" s="464">
        <f>'07-14-10'!Y75</f>
        <v>0</v>
      </c>
      <c r="T7" s="464">
        <f>'07-14-10'!Z75</f>
        <v>0</v>
      </c>
      <c r="U7" s="464">
        <f>'07-14-10'!AA75</f>
        <v>0</v>
      </c>
      <c r="V7" s="464">
        <f>'07-14-10'!AB75</f>
        <v>0</v>
      </c>
      <c r="W7" s="464">
        <f>'07-14-10'!AC75</f>
        <v>0</v>
      </c>
      <c r="X7" s="464">
        <f t="shared" si="2"/>
        <v>0</v>
      </c>
      <c r="Y7" s="464">
        <f t="shared" si="3"/>
        <v>1</v>
      </c>
      <c r="Z7" s="464">
        <f>'07-14-10'!AD75</f>
        <v>0</v>
      </c>
      <c r="AA7" s="464">
        <f>'07-14-10'!AE75</f>
        <v>0</v>
      </c>
      <c r="AB7" s="464">
        <f>'07-14-10'!AF75</f>
        <v>1</v>
      </c>
      <c r="AC7" s="464">
        <f>'07-14-10'!AG75</f>
        <v>1</v>
      </c>
      <c r="AD7" s="464">
        <f>'07-14-10'!AH75</f>
        <v>0</v>
      </c>
      <c r="AE7" s="464">
        <f t="shared" si="4"/>
        <v>0</v>
      </c>
      <c r="AF7" s="464">
        <f t="shared" si="5"/>
        <v>0</v>
      </c>
      <c r="AG7" s="464">
        <f t="shared" si="6"/>
        <v>0</v>
      </c>
      <c r="AH7" s="464">
        <f>'07-14-10'!AI75</f>
        <v>0</v>
      </c>
      <c r="AI7" s="464">
        <f>'07-14-10'!AJ75</f>
        <v>4</v>
      </c>
      <c r="AJ7" s="464">
        <f>'07-14-10'!AK75</f>
        <v>0</v>
      </c>
      <c r="AK7" s="464">
        <f>'07-14-10'!AL75</f>
        <v>0</v>
      </c>
      <c r="AL7" s="464">
        <f t="shared" si="7"/>
        <v>0</v>
      </c>
      <c r="AM7" s="464">
        <f t="shared" si="8"/>
        <v>0</v>
      </c>
      <c r="AN7" s="464">
        <f t="shared" si="9"/>
        <v>0</v>
      </c>
      <c r="AO7" s="464">
        <f t="shared" si="10"/>
        <v>0</v>
      </c>
      <c r="AP7" s="464">
        <f>'07-14-10'!AM75</f>
        <v>0</v>
      </c>
      <c r="AQ7" s="464">
        <f>'07-14-10'!AN75</f>
        <v>0</v>
      </c>
      <c r="AR7" s="464">
        <f>'07-14-10'!AO75</f>
        <v>0</v>
      </c>
      <c r="AS7" s="464">
        <f t="shared" si="11"/>
        <v>0</v>
      </c>
      <c r="AT7" s="464">
        <f t="shared" si="12"/>
        <v>0</v>
      </c>
      <c r="AU7" s="464">
        <f t="shared" si="13"/>
        <v>1</v>
      </c>
      <c r="AV7" s="464">
        <f t="shared" si="14"/>
        <v>4</v>
      </c>
      <c r="AW7" s="464">
        <f t="shared" si="15"/>
        <v>0</v>
      </c>
      <c r="AX7" s="464">
        <f>'07-14-10'!AP75</f>
        <v>1</v>
      </c>
      <c r="AY7" s="464">
        <f>'07-14-10'!AQ75</f>
        <v>1</v>
      </c>
      <c r="AZ7" s="464">
        <f t="shared" si="16"/>
        <v>0</v>
      </c>
      <c r="BA7" s="464">
        <f t="shared" si="17"/>
        <v>0</v>
      </c>
      <c r="BB7" s="464">
        <f t="shared" si="18"/>
        <v>1</v>
      </c>
      <c r="BC7" s="464">
        <f t="shared" si="19"/>
        <v>0</v>
      </c>
      <c r="BD7" s="464">
        <f t="shared" si="20"/>
        <v>0</v>
      </c>
      <c r="BE7" s="464">
        <f t="shared" si="21"/>
        <v>1</v>
      </c>
      <c r="BF7" s="464">
        <f>'07-14-10'!AR75</f>
        <v>0</v>
      </c>
      <c r="BG7" s="464">
        <f t="shared" si="22"/>
        <v>0</v>
      </c>
      <c r="BH7" s="464">
        <f t="shared" si="23"/>
        <v>0</v>
      </c>
      <c r="BI7" s="464">
        <f t="shared" si="24"/>
        <v>0</v>
      </c>
      <c r="BJ7" s="464">
        <f t="shared" si="25"/>
        <v>0</v>
      </c>
      <c r="BK7" s="464">
        <f t="shared" si="26"/>
        <v>0</v>
      </c>
      <c r="BL7" s="464">
        <f t="shared" si="27"/>
        <v>1</v>
      </c>
      <c r="BM7" s="464">
        <f t="shared" si="28"/>
        <v>0</v>
      </c>
    </row>
    <row r="8">
      <c r="A8" s="463">
        <v>40444.0</v>
      </c>
      <c r="B8" s="503">
        <v>0.0</v>
      </c>
      <c r="C8" s="503">
        <v>0.0</v>
      </c>
      <c r="D8" s="503">
        <v>1.0</v>
      </c>
      <c r="E8" s="503">
        <v>1.0</v>
      </c>
      <c r="F8" s="503">
        <v>12.0</v>
      </c>
      <c r="G8" s="503">
        <v>20.0</v>
      </c>
      <c r="H8" s="503">
        <v>5.0</v>
      </c>
      <c r="I8" s="503">
        <v>0.0</v>
      </c>
      <c r="J8" s="464">
        <f>'09-23-10'!Q80</f>
        <v>0</v>
      </c>
      <c r="K8" s="464">
        <f>'09-23-10'!R80</f>
        <v>0</v>
      </c>
      <c r="L8" s="464">
        <f>'09-23-10'!S80</f>
        <v>0</v>
      </c>
      <c r="M8" s="464">
        <f>'09-23-10'!T80</f>
        <v>0</v>
      </c>
      <c r="N8" s="464">
        <f>'09-23-10'!U80</f>
        <v>0</v>
      </c>
      <c r="O8" s="464">
        <f>'09-23-10'!V80</f>
        <v>0</v>
      </c>
      <c r="P8" s="464">
        <f>'09-23-10'!W80</f>
        <v>0</v>
      </c>
      <c r="Q8" s="464">
        <f t="shared" si="1"/>
        <v>0</v>
      </c>
      <c r="R8" s="464">
        <f>'09-23-10'!X80</f>
        <v>0</v>
      </c>
      <c r="S8" s="464">
        <f>'09-23-10'!Y80</f>
        <v>0</v>
      </c>
      <c r="T8" s="464">
        <f>'09-23-10'!Z80</f>
        <v>0</v>
      </c>
      <c r="U8" s="464">
        <f>'09-23-10'!AA80</f>
        <v>0</v>
      </c>
      <c r="V8" s="464">
        <f>'09-23-10'!AB80</f>
        <v>0</v>
      </c>
      <c r="W8" s="464">
        <f>'09-23-10'!AC80</f>
        <v>0</v>
      </c>
      <c r="X8" s="464">
        <f t="shared" si="2"/>
        <v>0</v>
      </c>
      <c r="Y8" s="464">
        <f t="shared" si="3"/>
        <v>0</v>
      </c>
      <c r="Z8" s="464">
        <f>'09-23-10'!AD80</f>
        <v>0</v>
      </c>
      <c r="AA8" s="464">
        <f>'09-23-10'!AE80</f>
        <v>0</v>
      </c>
      <c r="AB8" s="464">
        <f>'09-23-10'!AF80</f>
        <v>1</v>
      </c>
      <c r="AC8" s="464">
        <f>'09-23-10'!AG80</f>
        <v>2</v>
      </c>
      <c r="AD8" s="464">
        <f>'09-23-10'!AH80</f>
        <v>0</v>
      </c>
      <c r="AE8" s="464">
        <f t="shared" si="4"/>
        <v>0</v>
      </c>
      <c r="AF8" s="464">
        <f t="shared" si="5"/>
        <v>0</v>
      </c>
      <c r="AG8" s="464">
        <f t="shared" si="6"/>
        <v>0</v>
      </c>
      <c r="AH8" s="464">
        <f>'09-23-10'!AI80</f>
        <v>0</v>
      </c>
      <c r="AI8" s="464">
        <f>'09-23-10'!AJ80</f>
        <v>1</v>
      </c>
      <c r="AJ8" s="464">
        <f>'09-23-10'!AK80</f>
        <v>0</v>
      </c>
      <c r="AK8" s="464">
        <f>'09-23-10'!AL80</f>
        <v>0</v>
      </c>
      <c r="AL8" s="464">
        <f t="shared" si="7"/>
        <v>0</v>
      </c>
      <c r="AM8" s="464">
        <f t="shared" si="8"/>
        <v>0</v>
      </c>
      <c r="AN8" s="464">
        <f t="shared" si="9"/>
        <v>0</v>
      </c>
      <c r="AO8" s="464">
        <f t="shared" si="10"/>
        <v>0</v>
      </c>
      <c r="AP8" s="464">
        <f>'09-23-10'!AM80</f>
        <v>0</v>
      </c>
      <c r="AQ8" s="464">
        <f>'09-23-10'!AN80</f>
        <v>0</v>
      </c>
      <c r="AR8" s="464">
        <f>'09-23-10'!AO80</f>
        <v>0</v>
      </c>
      <c r="AS8" s="464">
        <f t="shared" si="11"/>
        <v>0</v>
      </c>
      <c r="AT8" s="464">
        <f t="shared" si="12"/>
        <v>0</v>
      </c>
      <c r="AU8" s="464">
        <f t="shared" si="13"/>
        <v>1</v>
      </c>
      <c r="AV8" s="464">
        <f t="shared" si="14"/>
        <v>1</v>
      </c>
      <c r="AW8" s="464">
        <f t="shared" si="15"/>
        <v>0</v>
      </c>
      <c r="AX8" s="464">
        <f>'09-23-10'!AP80</f>
        <v>1</v>
      </c>
      <c r="AY8" s="464">
        <f>'09-23-10'!AQ80</f>
        <v>0</v>
      </c>
      <c r="AZ8" s="464">
        <f t="shared" si="16"/>
        <v>0</v>
      </c>
      <c r="BA8" s="464">
        <f t="shared" si="17"/>
        <v>0</v>
      </c>
      <c r="BB8" s="464">
        <f t="shared" si="18"/>
        <v>2</v>
      </c>
      <c r="BC8" s="464">
        <f t="shared" si="19"/>
        <v>0</v>
      </c>
      <c r="BD8" s="464">
        <f t="shared" si="20"/>
        <v>0</v>
      </c>
      <c r="BE8" s="464">
        <f t="shared" si="21"/>
        <v>1</v>
      </c>
      <c r="BF8" s="464">
        <f>'09-23-10'!AR80</f>
        <v>0</v>
      </c>
      <c r="BG8" s="464">
        <f t="shared" si="22"/>
        <v>0</v>
      </c>
      <c r="BH8" s="464">
        <f t="shared" si="23"/>
        <v>0</v>
      </c>
      <c r="BI8" s="464">
        <f t="shared" si="24"/>
        <v>0</v>
      </c>
      <c r="BJ8" s="464">
        <f t="shared" si="25"/>
        <v>0</v>
      </c>
      <c r="BK8" s="464">
        <f t="shared" si="26"/>
        <v>0</v>
      </c>
      <c r="BL8" s="464">
        <f t="shared" si="27"/>
        <v>0</v>
      </c>
      <c r="BM8" s="464">
        <f t="shared" si="28"/>
        <v>0</v>
      </c>
    </row>
    <row r="9">
      <c r="A9" s="463">
        <v>40487.0</v>
      </c>
      <c r="B9" s="503">
        <v>1.0</v>
      </c>
      <c r="C9" s="503">
        <v>0.0</v>
      </c>
      <c r="D9" s="503">
        <v>1.0</v>
      </c>
      <c r="E9" s="503">
        <v>1.0</v>
      </c>
      <c r="F9" s="503">
        <v>2.0</v>
      </c>
      <c r="G9" s="503">
        <v>23.0</v>
      </c>
      <c r="H9" s="503">
        <v>5.0</v>
      </c>
      <c r="I9" s="503">
        <v>0.0</v>
      </c>
      <c r="J9" s="464">
        <f>'11-05-10'!T78</f>
        <v>0</v>
      </c>
      <c r="K9" s="464">
        <f>'11-05-10'!U78</f>
        <v>0</v>
      </c>
      <c r="L9" s="464">
        <f>'11-05-10'!V78</f>
        <v>0</v>
      </c>
      <c r="M9" s="464">
        <f>'11-05-10'!W78</f>
        <v>0</v>
      </c>
      <c r="N9" s="464">
        <f>'11-05-10'!X78</f>
        <v>0</v>
      </c>
      <c r="O9" s="464">
        <f>'11-05-10'!Y78</f>
        <v>0</v>
      </c>
      <c r="P9" s="464">
        <f>'11-05-10'!Z78</f>
        <v>0</v>
      </c>
      <c r="Q9" s="464">
        <f t="shared" si="1"/>
        <v>0</v>
      </c>
      <c r="R9" s="464">
        <f>'11-05-10'!AA78</f>
        <v>1</v>
      </c>
      <c r="S9" s="464">
        <f>'11-05-10'!AB78</f>
        <v>0</v>
      </c>
      <c r="T9" s="464">
        <f>'11-05-10'!AC78</f>
        <v>0</v>
      </c>
      <c r="U9" s="464">
        <f>'11-05-10'!AD78</f>
        <v>0</v>
      </c>
      <c r="V9" s="464">
        <f>'11-05-10'!AE78</f>
        <v>1</v>
      </c>
      <c r="W9" s="464">
        <f>'11-05-10'!AF78</f>
        <v>0</v>
      </c>
      <c r="X9" s="464">
        <f t="shared" si="2"/>
        <v>0</v>
      </c>
      <c r="Y9" s="464">
        <f t="shared" si="3"/>
        <v>1</v>
      </c>
      <c r="Z9" s="464">
        <f>'11-05-10'!AG78</f>
        <v>0</v>
      </c>
      <c r="AA9" s="464">
        <f>'11-05-10'!AH78</f>
        <v>1</v>
      </c>
      <c r="AB9" s="464">
        <f>'11-05-10'!AI78</f>
        <v>1</v>
      </c>
      <c r="AC9" s="464">
        <f>'11-05-10'!AJ78</f>
        <v>0</v>
      </c>
      <c r="AD9" s="464">
        <f>'11-05-10'!AK78</f>
        <v>0</v>
      </c>
      <c r="AE9" s="464">
        <f t="shared" si="4"/>
        <v>0</v>
      </c>
      <c r="AF9" s="464">
        <f t="shared" si="5"/>
        <v>0</v>
      </c>
      <c r="AG9" s="464">
        <f t="shared" si="6"/>
        <v>0</v>
      </c>
      <c r="AH9" s="464">
        <f>'11-05-10'!AL78</f>
        <v>0</v>
      </c>
      <c r="AI9" s="464">
        <f>'11-05-10'!AM78</f>
        <v>1</v>
      </c>
      <c r="AJ9" s="464">
        <f>'11-05-10'!AN78</f>
        <v>0</v>
      </c>
      <c r="AK9" s="464">
        <f>'11-05-10'!AO78</f>
        <v>0</v>
      </c>
      <c r="AL9" s="464">
        <f t="shared" si="7"/>
        <v>0</v>
      </c>
      <c r="AM9" s="464">
        <f t="shared" si="8"/>
        <v>0</v>
      </c>
      <c r="AN9" s="464">
        <f t="shared" si="9"/>
        <v>1</v>
      </c>
      <c r="AO9" s="464">
        <f t="shared" si="10"/>
        <v>0</v>
      </c>
      <c r="AP9" s="464">
        <f>'11-05-10'!AP78</f>
        <v>2</v>
      </c>
      <c r="AQ9" s="464">
        <f>'11-05-10'!AQ78</f>
        <v>0</v>
      </c>
      <c r="AR9" s="464">
        <f>'11-05-10'!AR78</f>
        <v>0</v>
      </c>
      <c r="AS9" s="464">
        <f t="shared" si="11"/>
        <v>0</v>
      </c>
      <c r="AT9" s="464">
        <f t="shared" si="12"/>
        <v>0</v>
      </c>
      <c r="AU9" s="464">
        <f t="shared" si="13"/>
        <v>1</v>
      </c>
      <c r="AV9" s="464">
        <f t="shared" si="14"/>
        <v>1</v>
      </c>
      <c r="AW9" s="464">
        <f t="shared" si="15"/>
        <v>2</v>
      </c>
      <c r="AX9" s="464">
        <f>'11-05-10'!AS78</f>
        <v>0</v>
      </c>
      <c r="AY9" s="464">
        <f>'11-05-10'!AT78</f>
        <v>0</v>
      </c>
      <c r="AZ9" s="464">
        <f t="shared" si="16"/>
        <v>0</v>
      </c>
      <c r="BA9" s="464">
        <f t="shared" si="17"/>
        <v>1</v>
      </c>
      <c r="BB9" s="464">
        <f t="shared" si="18"/>
        <v>0</v>
      </c>
      <c r="BC9" s="464">
        <f t="shared" si="19"/>
        <v>0</v>
      </c>
      <c r="BD9" s="464">
        <f t="shared" si="20"/>
        <v>0</v>
      </c>
      <c r="BE9" s="464">
        <f t="shared" si="21"/>
        <v>0</v>
      </c>
      <c r="BF9" s="464">
        <f>'11-05-10'!AU78</f>
        <v>0</v>
      </c>
      <c r="BG9" s="464">
        <f t="shared" si="22"/>
        <v>0</v>
      </c>
      <c r="BH9" s="464">
        <f t="shared" si="23"/>
        <v>0</v>
      </c>
      <c r="BI9" s="464">
        <f t="shared" si="24"/>
        <v>0</v>
      </c>
      <c r="BJ9" s="464">
        <f t="shared" si="25"/>
        <v>0</v>
      </c>
      <c r="BK9" s="464">
        <f t="shared" si="26"/>
        <v>0</v>
      </c>
      <c r="BL9" s="464">
        <f t="shared" si="27"/>
        <v>0</v>
      </c>
      <c r="BM9" s="464">
        <f t="shared" si="28"/>
        <v>0</v>
      </c>
    </row>
    <row r="10">
      <c r="A10" s="463">
        <v>40606.0</v>
      </c>
      <c r="B10" s="504">
        <v>0.0</v>
      </c>
      <c r="C10" s="504">
        <v>0.0</v>
      </c>
      <c r="D10" s="504">
        <v>2.0</v>
      </c>
      <c r="E10" s="504">
        <v>1.0</v>
      </c>
      <c r="F10" s="504">
        <v>0.0</v>
      </c>
      <c r="G10" s="504">
        <v>4.0</v>
      </c>
      <c r="H10" s="504">
        <v>3.0</v>
      </c>
      <c r="I10" s="504">
        <v>0.0</v>
      </c>
      <c r="J10" s="464">
        <f>'03-04-11'!M70</f>
        <v>0</v>
      </c>
      <c r="K10" s="464">
        <f>'03-04-11'!N70</f>
        <v>0</v>
      </c>
      <c r="L10" s="464">
        <f>'03-04-11'!O70</f>
        <v>0</v>
      </c>
      <c r="M10" s="464">
        <f>'03-04-11'!P70</f>
        <v>0</v>
      </c>
      <c r="N10" s="464">
        <f>'03-04-11'!Q70</f>
        <v>0</v>
      </c>
      <c r="O10" s="464">
        <f>'03-04-11'!R70</f>
        <v>0</v>
      </c>
      <c r="P10" s="464">
        <f>'03-04-11'!S70</f>
        <v>0</v>
      </c>
      <c r="Q10" s="464">
        <f t="shared" si="1"/>
        <v>0</v>
      </c>
      <c r="R10" s="464">
        <f>'03-04-11'!T70</f>
        <v>0</v>
      </c>
      <c r="S10" s="464">
        <f>'03-04-11'!U70</f>
        <v>0</v>
      </c>
      <c r="T10" s="464">
        <f>'03-04-11'!V70</f>
        <v>0</v>
      </c>
      <c r="U10" s="464">
        <f>'03-04-11'!W70</f>
        <v>0</v>
      </c>
      <c r="V10" s="464">
        <f>'03-04-11'!X70</f>
        <v>0</v>
      </c>
      <c r="W10" s="464">
        <f>'03-04-11'!Y70</f>
        <v>0</v>
      </c>
      <c r="X10" s="464">
        <f t="shared" si="2"/>
        <v>0</v>
      </c>
      <c r="Y10" s="464">
        <f t="shared" si="3"/>
        <v>0</v>
      </c>
      <c r="Z10" s="464">
        <f>'03-04-11'!Z70</f>
        <v>0</v>
      </c>
      <c r="AA10" s="464">
        <f>'03-04-11'!AA70</f>
        <v>0</v>
      </c>
      <c r="AB10" s="464">
        <f>'03-04-11'!AB70</f>
        <v>0</v>
      </c>
      <c r="AC10" s="464">
        <f>'03-04-11'!AC70</f>
        <v>0</v>
      </c>
      <c r="AD10" s="464">
        <f>'03-04-11'!AD70</f>
        <v>0</v>
      </c>
      <c r="AE10" s="464">
        <f t="shared" si="4"/>
        <v>0</v>
      </c>
      <c r="AF10" s="464">
        <f t="shared" si="5"/>
        <v>0</v>
      </c>
      <c r="AG10" s="464">
        <f t="shared" si="6"/>
        <v>0</v>
      </c>
      <c r="AH10" s="464">
        <f>'03-04-11'!AE70</f>
        <v>0</v>
      </c>
      <c r="AI10" s="464">
        <f>'03-04-11'!AF70</f>
        <v>0</v>
      </c>
      <c r="AJ10" s="464">
        <f>'03-04-11'!AG70</f>
        <v>0</v>
      </c>
      <c r="AK10" s="464">
        <f>'03-04-11'!AH70</f>
        <v>0</v>
      </c>
      <c r="AL10" s="464">
        <f t="shared" si="7"/>
        <v>0</v>
      </c>
      <c r="AM10" s="464">
        <f t="shared" si="8"/>
        <v>0</v>
      </c>
      <c r="AN10" s="464">
        <f t="shared" si="9"/>
        <v>0</v>
      </c>
      <c r="AO10" s="464">
        <f t="shared" si="10"/>
        <v>0</v>
      </c>
      <c r="AP10" s="464">
        <f>'03-04-11'!AI70</f>
        <v>0</v>
      </c>
      <c r="AQ10" s="464">
        <f>'03-04-11'!AJ70</f>
        <v>0</v>
      </c>
      <c r="AR10" s="464">
        <f>'03-04-11'!AK70</f>
        <v>0</v>
      </c>
      <c r="AS10" s="464">
        <f t="shared" si="11"/>
        <v>0</v>
      </c>
      <c r="AT10" s="464">
        <f t="shared" si="12"/>
        <v>0</v>
      </c>
      <c r="AU10" s="464">
        <f t="shared" si="13"/>
        <v>0</v>
      </c>
      <c r="AV10" s="464">
        <f t="shared" si="14"/>
        <v>0</v>
      </c>
      <c r="AW10" s="464">
        <f t="shared" si="15"/>
        <v>0</v>
      </c>
      <c r="AX10" s="464">
        <f>'03-04-11'!AL70</f>
        <v>0</v>
      </c>
      <c r="AY10" s="464">
        <f>'03-04-11'!AM70</f>
        <v>0</v>
      </c>
      <c r="AZ10" s="464">
        <f t="shared" si="16"/>
        <v>0</v>
      </c>
      <c r="BA10" s="464">
        <f t="shared" si="17"/>
        <v>0</v>
      </c>
      <c r="BB10" s="464">
        <f t="shared" si="18"/>
        <v>0</v>
      </c>
      <c r="BC10" s="464">
        <f t="shared" si="19"/>
        <v>0</v>
      </c>
      <c r="BD10" s="464">
        <f t="shared" si="20"/>
        <v>0</v>
      </c>
      <c r="BE10" s="464">
        <f t="shared" si="21"/>
        <v>0</v>
      </c>
      <c r="BF10" s="464">
        <f>'03-04-11'!AN70</f>
        <v>0</v>
      </c>
      <c r="BG10" s="464">
        <f t="shared" si="22"/>
        <v>0</v>
      </c>
      <c r="BH10" s="464">
        <f t="shared" si="23"/>
        <v>0</v>
      </c>
      <c r="BI10" s="464">
        <f t="shared" si="24"/>
        <v>0</v>
      </c>
      <c r="BJ10" s="464">
        <f t="shared" si="25"/>
        <v>0</v>
      </c>
      <c r="BK10" s="464">
        <f t="shared" si="26"/>
        <v>0</v>
      </c>
      <c r="BL10" s="464">
        <f t="shared" si="27"/>
        <v>0</v>
      </c>
      <c r="BM10" s="464">
        <f t="shared" si="28"/>
        <v>0</v>
      </c>
    </row>
    <row r="11">
      <c r="A11" s="463">
        <v>40737.0</v>
      </c>
      <c r="B11" s="504">
        <v>2.0</v>
      </c>
      <c r="C11" s="504">
        <v>0.0</v>
      </c>
      <c r="D11" s="504">
        <v>1.0</v>
      </c>
      <c r="E11" s="504">
        <v>2.0</v>
      </c>
      <c r="F11" s="504">
        <v>2.0</v>
      </c>
      <c r="G11" s="504">
        <v>8.0</v>
      </c>
      <c r="H11" s="504">
        <v>1.0</v>
      </c>
      <c r="I11" s="504">
        <v>0.0</v>
      </c>
      <c r="J11" s="464">
        <f>'07-13-11'!R92</f>
        <v>0</v>
      </c>
      <c r="K11" s="464">
        <f>'07-13-11'!S92</f>
        <v>0</v>
      </c>
      <c r="L11" s="464">
        <f>'07-13-11'!T92</f>
        <v>0</v>
      </c>
      <c r="M11" s="464">
        <f>'07-13-11'!U92</f>
        <v>0</v>
      </c>
      <c r="N11" s="464">
        <f>'07-13-11'!V92</f>
        <v>1</v>
      </c>
      <c r="O11" s="464">
        <f>'07-13-11'!W92</f>
        <v>0</v>
      </c>
      <c r="P11" s="464">
        <f>'07-13-11'!X92</f>
        <v>0</v>
      </c>
      <c r="Q11" s="464">
        <f t="shared" si="1"/>
        <v>0</v>
      </c>
      <c r="R11" s="464">
        <f>'07-13-11'!Y92</f>
        <v>0</v>
      </c>
      <c r="S11" s="464">
        <f>'07-13-11'!Z92</f>
        <v>0</v>
      </c>
      <c r="T11" s="464">
        <f>'07-13-11'!AA92</f>
        <v>0</v>
      </c>
      <c r="U11" s="464">
        <f>'07-13-11'!AB92</f>
        <v>0</v>
      </c>
      <c r="V11" s="464">
        <f>'07-13-11'!AC92</f>
        <v>0</v>
      </c>
      <c r="W11" s="464">
        <f>'07-13-11'!AD92</f>
        <v>0</v>
      </c>
      <c r="X11" s="464">
        <f t="shared" si="2"/>
        <v>0</v>
      </c>
      <c r="Y11" s="464">
        <f t="shared" si="3"/>
        <v>0</v>
      </c>
      <c r="Z11" s="464">
        <f>'07-13-11'!AE92</f>
        <v>1</v>
      </c>
      <c r="AA11" s="464">
        <f>'07-13-11'!AF92</f>
        <v>0</v>
      </c>
      <c r="AB11" s="464">
        <f>'07-13-11'!AG92</f>
        <v>0</v>
      </c>
      <c r="AC11" s="464">
        <f>'07-13-11'!AH92</f>
        <v>0</v>
      </c>
      <c r="AD11" s="464">
        <f>'07-13-11'!AI92</f>
        <v>0</v>
      </c>
      <c r="AE11" s="464">
        <f t="shared" si="4"/>
        <v>0</v>
      </c>
      <c r="AF11" s="464">
        <f t="shared" si="5"/>
        <v>0</v>
      </c>
      <c r="AG11" s="464">
        <f t="shared" si="6"/>
        <v>1</v>
      </c>
      <c r="AH11" s="464">
        <f>'07-13-11'!AJ92</f>
        <v>0</v>
      </c>
      <c r="AI11" s="464">
        <f>'07-13-11'!AK92</f>
        <v>0</v>
      </c>
      <c r="AJ11" s="464">
        <f>'07-13-11'!AL92</f>
        <v>0</v>
      </c>
      <c r="AK11" s="464">
        <f>'07-13-11'!AM92</f>
        <v>0</v>
      </c>
      <c r="AL11" s="464">
        <f t="shared" si="7"/>
        <v>0</v>
      </c>
      <c r="AM11" s="464">
        <f t="shared" si="8"/>
        <v>0</v>
      </c>
      <c r="AN11" s="464">
        <f t="shared" si="9"/>
        <v>0</v>
      </c>
      <c r="AO11" s="464">
        <f t="shared" si="10"/>
        <v>0</v>
      </c>
      <c r="AP11" s="464">
        <f>'07-13-11'!AN92</f>
        <v>0</v>
      </c>
      <c r="AQ11" s="464">
        <f>'07-13-11'!AO92</f>
        <v>0</v>
      </c>
      <c r="AR11" s="464">
        <f>'07-13-11'!AP92</f>
        <v>0</v>
      </c>
      <c r="AS11" s="464">
        <f t="shared" si="11"/>
        <v>1</v>
      </c>
      <c r="AT11" s="464">
        <f t="shared" si="12"/>
        <v>0</v>
      </c>
      <c r="AU11" s="464">
        <f t="shared" si="13"/>
        <v>0</v>
      </c>
      <c r="AV11" s="464">
        <f t="shared" si="14"/>
        <v>0</v>
      </c>
      <c r="AW11" s="464">
        <f t="shared" si="15"/>
        <v>0</v>
      </c>
      <c r="AX11" s="464">
        <f>'07-13-11'!AQ92</f>
        <v>0</v>
      </c>
      <c r="AY11" s="464">
        <f>'07-13-11'!AR92</f>
        <v>0</v>
      </c>
      <c r="AZ11" s="464">
        <f t="shared" si="16"/>
        <v>0</v>
      </c>
      <c r="BA11" s="464">
        <f t="shared" si="17"/>
        <v>0</v>
      </c>
      <c r="BB11" s="464">
        <f t="shared" si="18"/>
        <v>0</v>
      </c>
      <c r="BC11" s="464">
        <f t="shared" si="19"/>
        <v>0</v>
      </c>
      <c r="BD11" s="464">
        <f t="shared" si="20"/>
        <v>0</v>
      </c>
      <c r="BE11" s="464">
        <f t="shared" si="21"/>
        <v>0</v>
      </c>
      <c r="BF11" s="464">
        <f>'07-13-11'!AS92</f>
        <v>0</v>
      </c>
      <c r="BG11" s="464">
        <f t="shared" si="22"/>
        <v>0</v>
      </c>
      <c r="BH11" s="464">
        <f t="shared" si="23"/>
        <v>0</v>
      </c>
      <c r="BI11" s="464">
        <f t="shared" si="24"/>
        <v>0</v>
      </c>
      <c r="BJ11" s="464">
        <f t="shared" si="25"/>
        <v>0</v>
      </c>
      <c r="BK11" s="464">
        <f t="shared" si="26"/>
        <v>0</v>
      </c>
      <c r="BL11" s="464">
        <f t="shared" si="27"/>
        <v>0</v>
      </c>
      <c r="BM11" s="464">
        <f t="shared" si="28"/>
        <v>0</v>
      </c>
    </row>
    <row r="12">
      <c r="A12" s="463">
        <v>40925.0</v>
      </c>
      <c r="B12" s="503">
        <v>1.0</v>
      </c>
      <c r="C12" s="503">
        <v>3.0</v>
      </c>
      <c r="D12" s="503">
        <v>6.0</v>
      </c>
      <c r="E12" s="503">
        <v>1.0</v>
      </c>
      <c r="F12" s="503">
        <v>6.0</v>
      </c>
      <c r="G12" s="503">
        <v>3.0</v>
      </c>
      <c r="H12" s="503">
        <v>0.0</v>
      </c>
      <c r="I12" s="503">
        <v>0.0</v>
      </c>
      <c r="J12" s="464">
        <f>'01-17-12'!S99</f>
        <v>1</v>
      </c>
      <c r="K12" s="464">
        <f>'01-17-12'!T99</f>
        <v>1</v>
      </c>
      <c r="L12" s="464">
        <f>'01-17-12'!U99</f>
        <v>1</v>
      </c>
      <c r="M12" s="464">
        <f>'01-17-12'!V99</f>
        <v>4</v>
      </c>
      <c r="N12" s="464">
        <f>'01-17-12'!W99</f>
        <v>2</v>
      </c>
      <c r="O12" s="464">
        <f>'01-17-12'!X99</f>
        <v>0</v>
      </c>
      <c r="P12" s="464">
        <f>'01-17-12'!Y99</f>
        <v>0</v>
      </c>
      <c r="Q12" s="464">
        <f t="shared" si="1"/>
        <v>1</v>
      </c>
      <c r="R12" s="464">
        <f>'01-17-12'!Z99</f>
        <v>0</v>
      </c>
      <c r="S12" s="464">
        <f>'01-17-12'!AA99</f>
        <v>0</v>
      </c>
      <c r="T12" s="464">
        <f>'01-17-12'!AB99</f>
        <v>2</v>
      </c>
      <c r="U12" s="464">
        <f>'01-17-12'!AC99</f>
        <v>1</v>
      </c>
      <c r="V12" s="464">
        <f>'01-17-12'!AD99</f>
        <v>0</v>
      </c>
      <c r="W12" s="464">
        <f>'01-17-12'!AE99</f>
        <v>0</v>
      </c>
      <c r="X12" s="464">
        <f t="shared" si="2"/>
        <v>1</v>
      </c>
      <c r="Y12" s="464">
        <f t="shared" si="3"/>
        <v>0</v>
      </c>
      <c r="Z12" s="464">
        <f>'01-17-12'!AF99</f>
        <v>0</v>
      </c>
      <c r="AA12" s="464">
        <f>'01-17-12'!AG99</f>
        <v>1</v>
      </c>
      <c r="AB12" s="464">
        <f>'01-17-12'!AH99</f>
        <v>1</v>
      </c>
      <c r="AC12" s="464">
        <f>'01-17-12'!AI99</f>
        <v>0</v>
      </c>
      <c r="AD12" s="464">
        <f>'01-17-12'!AJ99</f>
        <v>0</v>
      </c>
      <c r="AE12" s="464">
        <f t="shared" si="4"/>
        <v>1</v>
      </c>
      <c r="AF12" s="464">
        <f t="shared" si="5"/>
        <v>0</v>
      </c>
      <c r="AG12" s="464">
        <f t="shared" si="6"/>
        <v>0</v>
      </c>
      <c r="AH12" s="464">
        <f>'01-17-12'!AK99</f>
        <v>0</v>
      </c>
      <c r="AI12" s="464">
        <f>'01-17-12'!AL99</f>
        <v>0</v>
      </c>
      <c r="AJ12" s="464">
        <f>'01-17-12'!AM99</f>
        <v>0</v>
      </c>
      <c r="AK12" s="464">
        <f>'01-17-12'!AN99</f>
        <v>0</v>
      </c>
      <c r="AL12" s="464">
        <f t="shared" si="7"/>
        <v>4</v>
      </c>
      <c r="AM12" s="464">
        <f t="shared" si="8"/>
        <v>2</v>
      </c>
      <c r="AN12" s="464">
        <f t="shared" si="9"/>
        <v>1</v>
      </c>
      <c r="AO12" s="464">
        <f t="shared" si="10"/>
        <v>0</v>
      </c>
      <c r="AP12" s="464">
        <f>'01-17-12'!AO99</f>
        <v>2</v>
      </c>
      <c r="AQ12" s="464">
        <f>'01-17-12'!AP99</f>
        <v>0</v>
      </c>
      <c r="AR12" s="464">
        <f>'01-17-12'!AQ99</f>
        <v>0</v>
      </c>
      <c r="AS12" s="464">
        <f t="shared" si="11"/>
        <v>2</v>
      </c>
      <c r="AT12" s="464">
        <f t="shared" si="12"/>
        <v>1</v>
      </c>
      <c r="AU12" s="464">
        <f t="shared" si="13"/>
        <v>1</v>
      </c>
      <c r="AV12" s="464">
        <f t="shared" si="14"/>
        <v>0</v>
      </c>
      <c r="AW12" s="464">
        <f t="shared" si="15"/>
        <v>2</v>
      </c>
      <c r="AX12" s="464">
        <f>'01-17-12'!AR99</f>
        <v>0</v>
      </c>
      <c r="AY12" s="464">
        <f>'01-17-12'!AS99</f>
        <v>0</v>
      </c>
      <c r="AZ12" s="464">
        <f t="shared" si="16"/>
        <v>0</v>
      </c>
      <c r="BA12" s="464">
        <f t="shared" si="17"/>
        <v>0</v>
      </c>
      <c r="BB12" s="464">
        <f t="shared" si="18"/>
        <v>0</v>
      </c>
      <c r="BC12" s="464">
        <f t="shared" si="19"/>
        <v>0</v>
      </c>
      <c r="BD12" s="464">
        <f t="shared" si="20"/>
        <v>0</v>
      </c>
      <c r="BE12" s="464">
        <f t="shared" si="21"/>
        <v>0</v>
      </c>
      <c r="BF12" s="464">
        <f>'01-17-12'!AT99</f>
        <v>0</v>
      </c>
      <c r="BG12" s="464">
        <f t="shared" si="22"/>
        <v>0</v>
      </c>
      <c r="BH12" s="464">
        <f t="shared" si="23"/>
        <v>0</v>
      </c>
      <c r="BI12" s="464">
        <f t="shared" si="24"/>
        <v>0</v>
      </c>
      <c r="BJ12" s="464">
        <f t="shared" si="25"/>
        <v>0</v>
      </c>
      <c r="BK12" s="464">
        <f t="shared" si="26"/>
        <v>0</v>
      </c>
      <c r="BL12" s="464">
        <f t="shared" si="27"/>
        <v>0</v>
      </c>
      <c r="BM12" s="464">
        <f t="shared" si="28"/>
        <v>0</v>
      </c>
    </row>
    <row r="13">
      <c r="A13" s="463">
        <v>40939.0</v>
      </c>
      <c r="B13" s="503">
        <v>4.0</v>
      </c>
      <c r="C13" s="503">
        <v>5.0</v>
      </c>
      <c r="D13" s="503">
        <v>3.0</v>
      </c>
      <c r="E13" s="503">
        <v>0.0</v>
      </c>
      <c r="F13" s="503">
        <v>3.0</v>
      </c>
      <c r="G13" s="503">
        <v>7.0</v>
      </c>
      <c r="H13" s="503">
        <v>0.0</v>
      </c>
      <c r="I13" s="503">
        <v>0.0</v>
      </c>
      <c r="J13" s="464">
        <f>'01-31-12'!W101</f>
        <v>0</v>
      </c>
      <c r="K13" s="464">
        <f>'01-31-12'!X101</f>
        <v>0</v>
      </c>
      <c r="L13" s="464">
        <f>'01-31-12'!Y101</f>
        <v>0</v>
      </c>
      <c r="M13" s="464">
        <f>'01-31-12'!Z101</f>
        <v>4</v>
      </c>
      <c r="N13" s="464">
        <f>'01-31-12'!AA101</f>
        <v>1</v>
      </c>
      <c r="O13" s="464">
        <f>'01-31-12'!AB101</f>
        <v>0</v>
      </c>
      <c r="P13" s="464">
        <f>'01-31-12'!AC101</f>
        <v>0</v>
      </c>
      <c r="Q13" s="464">
        <f t="shared" si="1"/>
        <v>0</v>
      </c>
      <c r="R13" s="464">
        <f>'01-31-12'!AD101</f>
        <v>1</v>
      </c>
      <c r="S13" s="464">
        <f>'01-31-12'!AE101</f>
        <v>0</v>
      </c>
      <c r="T13" s="464">
        <f>'01-31-12'!AF101</f>
        <v>2</v>
      </c>
      <c r="U13" s="464">
        <f>'01-31-12'!AG101</f>
        <v>1</v>
      </c>
      <c r="V13" s="464">
        <f>'01-31-12'!AH101</f>
        <v>0</v>
      </c>
      <c r="W13" s="464">
        <f>'01-31-12'!AI101</f>
        <v>0</v>
      </c>
      <c r="X13" s="464">
        <f t="shared" si="2"/>
        <v>0</v>
      </c>
      <c r="Y13" s="464">
        <f t="shared" si="3"/>
        <v>1</v>
      </c>
      <c r="Z13" s="464">
        <f>'01-31-12'!AJ101</f>
        <v>0</v>
      </c>
      <c r="AA13" s="464">
        <f>'01-31-12'!AK101</f>
        <v>3</v>
      </c>
      <c r="AB13" s="464">
        <f>'01-31-12'!AL101</f>
        <v>2</v>
      </c>
      <c r="AC13" s="464">
        <f>'01-31-12'!AM101</f>
        <v>0</v>
      </c>
      <c r="AD13" s="464">
        <f>'01-31-12'!AN101</f>
        <v>0</v>
      </c>
      <c r="AE13" s="464">
        <f t="shared" si="4"/>
        <v>0</v>
      </c>
      <c r="AF13" s="464">
        <f t="shared" si="5"/>
        <v>0</v>
      </c>
      <c r="AG13" s="464">
        <f t="shared" si="6"/>
        <v>0</v>
      </c>
      <c r="AH13" s="464">
        <f>'01-31-12'!AO101</f>
        <v>0</v>
      </c>
      <c r="AI13" s="464">
        <f>'01-31-12'!AP101</f>
        <v>0</v>
      </c>
      <c r="AJ13" s="464">
        <f>'01-31-12'!AQ101</f>
        <v>0</v>
      </c>
      <c r="AK13" s="464">
        <f>'01-31-12'!AR101</f>
        <v>0</v>
      </c>
      <c r="AL13" s="464">
        <f t="shared" si="7"/>
        <v>4</v>
      </c>
      <c r="AM13" s="464">
        <f t="shared" si="8"/>
        <v>2</v>
      </c>
      <c r="AN13" s="464">
        <f t="shared" si="9"/>
        <v>3</v>
      </c>
      <c r="AO13" s="464">
        <f t="shared" si="10"/>
        <v>0</v>
      </c>
      <c r="AP13" s="464">
        <f>'01-31-12'!AS101</f>
        <v>3</v>
      </c>
      <c r="AQ13" s="464">
        <f>'01-31-12'!AT101</f>
        <v>0</v>
      </c>
      <c r="AR13" s="464">
        <f>'01-31-12'!AU101</f>
        <v>0</v>
      </c>
      <c r="AS13" s="464">
        <f t="shared" si="11"/>
        <v>1</v>
      </c>
      <c r="AT13" s="464">
        <f t="shared" si="12"/>
        <v>1</v>
      </c>
      <c r="AU13" s="464">
        <f t="shared" si="13"/>
        <v>2</v>
      </c>
      <c r="AV13" s="464">
        <f t="shared" si="14"/>
        <v>0</v>
      </c>
      <c r="AW13" s="464">
        <f t="shared" si="15"/>
        <v>3</v>
      </c>
      <c r="AX13" s="464">
        <f>'01-31-12'!AV101</f>
        <v>0</v>
      </c>
      <c r="AY13" s="464">
        <f>'01-31-12'!AW101</f>
        <v>0</v>
      </c>
      <c r="AZ13" s="464">
        <f t="shared" si="16"/>
        <v>0</v>
      </c>
      <c r="BA13" s="464">
        <f t="shared" si="17"/>
        <v>0</v>
      </c>
      <c r="BB13" s="464">
        <f t="shared" si="18"/>
        <v>0</v>
      </c>
      <c r="BC13" s="464">
        <f t="shared" si="19"/>
        <v>0</v>
      </c>
      <c r="BD13" s="464">
        <f t="shared" si="20"/>
        <v>0</v>
      </c>
      <c r="BE13" s="464">
        <f t="shared" si="21"/>
        <v>0</v>
      </c>
      <c r="BF13" s="464">
        <f>'01-31-12'!AX101</f>
        <v>0</v>
      </c>
      <c r="BG13" s="464">
        <f t="shared" si="22"/>
        <v>0</v>
      </c>
      <c r="BH13" s="464">
        <f t="shared" si="23"/>
        <v>0</v>
      </c>
      <c r="BI13" s="464">
        <f t="shared" si="24"/>
        <v>0</v>
      </c>
      <c r="BJ13" s="464">
        <f t="shared" si="25"/>
        <v>0</v>
      </c>
      <c r="BK13" s="464">
        <f t="shared" si="26"/>
        <v>0</v>
      </c>
      <c r="BL13" s="464">
        <f t="shared" si="27"/>
        <v>0</v>
      </c>
      <c r="BM13" s="464">
        <f t="shared" si="28"/>
        <v>0</v>
      </c>
    </row>
    <row r="14">
      <c r="A14" s="463">
        <v>40953.0</v>
      </c>
      <c r="B14" s="501">
        <v>3.0</v>
      </c>
      <c r="C14" s="501">
        <v>3.0</v>
      </c>
      <c r="D14" s="501">
        <v>3.0</v>
      </c>
      <c r="E14" s="501">
        <v>3.0</v>
      </c>
      <c r="F14" s="501">
        <v>9.0</v>
      </c>
      <c r="G14" s="501">
        <v>8.0</v>
      </c>
      <c r="H14" s="501">
        <v>0.0</v>
      </c>
      <c r="I14" s="501">
        <v>0.0</v>
      </c>
      <c r="J14" s="464">
        <f>'02-14-12'!R102</f>
        <v>0</v>
      </c>
      <c r="K14" s="464">
        <f>'02-14-12'!S102</f>
        <v>1</v>
      </c>
      <c r="L14" s="464">
        <f>'02-14-12'!T102</f>
        <v>0</v>
      </c>
      <c r="M14" s="464">
        <f>'02-14-12'!U102</f>
        <v>3</v>
      </c>
      <c r="N14" s="464">
        <f>'02-14-12'!V102</f>
        <v>0</v>
      </c>
      <c r="O14" s="464">
        <f>'02-14-12'!W102</f>
        <v>0</v>
      </c>
      <c r="P14" s="464">
        <f>'02-14-12'!X102</f>
        <v>0</v>
      </c>
      <c r="Q14" s="464">
        <f t="shared" si="1"/>
        <v>0</v>
      </c>
      <c r="R14" s="464">
        <f>'02-14-12'!Y102</f>
        <v>0</v>
      </c>
      <c r="S14" s="464">
        <f>'02-14-12'!Z102</f>
        <v>0</v>
      </c>
      <c r="T14" s="464">
        <f>'02-14-12'!AA102</f>
        <v>0</v>
      </c>
      <c r="U14" s="464">
        <f>'02-14-12'!AB102</f>
        <v>0</v>
      </c>
      <c r="V14" s="464">
        <f>'02-14-12'!AC102</f>
        <v>0</v>
      </c>
      <c r="W14" s="464">
        <f>'02-14-12'!AD102</f>
        <v>0</v>
      </c>
      <c r="X14" s="464">
        <f t="shared" si="2"/>
        <v>1</v>
      </c>
      <c r="Y14" s="464">
        <f t="shared" si="3"/>
        <v>0</v>
      </c>
      <c r="Z14" s="464">
        <f>'02-14-12'!AE102</f>
        <v>0</v>
      </c>
      <c r="AA14" s="464">
        <f>'02-14-12'!AF102</f>
        <v>0</v>
      </c>
      <c r="AB14" s="464">
        <f>'02-14-12'!AG102</f>
        <v>1</v>
      </c>
      <c r="AC14" s="464">
        <f>'02-14-12'!AH102</f>
        <v>0</v>
      </c>
      <c r="AD14" s="464">
        <f>'02-14-12'!AI102</f>
        <v>0</v>
      </c>
      <c r="AE14" s="464">
        <f t="shared" si="4"/>
        <v>0</v>
      </c>
      <c r="AF14" s="464">
        <f t="shared" si="5"/>
        <v>0</v>
      </c>
      <c r="AG14" s="464">
        <f t="shared" si="6"/>
        <v>0</v>
      </c>
      <c r="AH14" s="464">
        <f>'02-14-12'!AJ102</f>
        <v>1</v>
      </c>
      <c r="AI14" s="464">
        <f>'02-14-12'!AK102</f>
        <v>0</v>
      </c>
      <c r="AJ14" s="464">
        <f>'02-14-12'!AL102</f>
        <v>0</v>
      </c>
      <c r="AK14" s="464">
        <f>'02-14-12'!AM102</f>
        <v>0</v>
      </c>
      <c r="AL14" s="464">
        <f t="shared" si="7"/>
        <v>3</v>
      </c>
      <c r="AM14" s="464">
        <f t="shared" si="8"/>
        <v>0</v>
      </c>
      <c r="AN14" s="464">
        <f t="shared" si="9"/>
        <v>0</v>
      </c>
      <c r="AO14" s="464">
        <f t="shared" si="10"/>
        <v>1</v>
      </c>
      <c r="AP14" s="464">
        <f>'02-14-12'!AN102</f>
        <v>0</v>
      </c>
      <c r="AQ14" s="464">
        <f>'02-14-12'!AO102</f>
        <v>0</v>
      </c>
      <c r="AR14" s="464">
        <f>'02-14-12'!AP102</f>
        <v>0</v>
      </c>
      <c r="AS14" s="464">
        <f t="shared" si="11"/>
        <v>0</v>
      </c>
      <c r="AT14" s="464">
        <f t="shared" si="12"/>
        <v>0</v>
      </c>
      <c r="AU14" s="464">
        <f t="shared" si="13"/>
        <v>1</v>
      </c>
      <c r="AV14" s="464">
        <f t="shared" si="14"/>
        <v>0</v>
      </c>
      <c r="AW14" s="464">
        <f t="shared" si="15"/>
        <v>0</v>
      </c>
      <c r="AX14" s="464">
        <f>'02-14-12'!AQ102</f>
        <v>0</v>
      </c>
      <c r="AY14" s="464">
        <f>'02-14-12'!AR102</f>
        <v>0</v>
      </c>
      <c r="AZ14" s="464">
        <f t="shared" si="16"/>
        <v>0</v>
      </c>
      <c r="BA14" s="464">
        <f t="shared" si="17"/>
        <v>0</v>
      </c>
      <c r="BB14" s="464">
        <f t="shared" si="18"/>
        <v>0</v>
      </c>
      <c r="BC14" s="464">
        <f t="shared" si="19"/>
        <v>0</v>
      </c>
      <c r="BD14" s="464">
        <f t="shared" si="20"/>
        <v>0</v>
      </c>
      <c r="BE14" s="464">
        <f t="shared" si="21"/>
        <v>0</v>
      </c>
      <c r="BF14" s="464">
        <f>'02-14-12'!AS102</f>
        <v>0</v>
      </c>
      <c r="BG14" s="464">
        <f t="shared" si="22"/>
        <v>0</v>
      </c>
      <c r="BH14" s="464">
        <f t="shared" si="23"/>
        <v>0</v>
      </c>
      <c r="BI14" s="464">
        <f t="shared" si="24"/>
        <v>0</v>
      </c>
      <c r="BJ14" s="464">
        <f t="shared" si="25"/>
        <v>0</v>
      </c>
      <c r="BK14" s="464">
        <f t="shared" si="26"/>
        <v>0</v>
      </c>
      <c r="BL14" s="464">
        <f t="shared" si="27"/>
        <v>0</v>
      </c>
      <c r="BM14" s="464">
        <f t="shared" si="28"/>
        <v>0</v>
      </c>
    </row>
    <row r="15">
      <c r="A15" s="463">
        <v>40983.0</v>
      </c>
      <c r="B15" s="502">
        <v>0.0</v>
      </c>
      <c r="C15" s="502">
        <v>4.0</v>
      </c>
      <c r="D15" s="502">
        <v>6.0</v>
      </c>
      <c r="E15" s="502">
        <v>0.0</v>
      </c>
      <c r="F15" s="502">
        <v>9.0</v>
      </c>
      <c r="G15" s="502">
        <v>8.0</v>
      </c>
      <c r="H15" s="502">
        <v>0.0</v>
      </c>
      <c r="I15" s="502">
        <v>0.0</v>
      </c>
      <c r="J15" s="464">
        <f>'03-15-12'!R95</f>
        <v>1</v>
      </c>
      <c r="K15" s="464">
        <f>'03-15-12'!S95</f>
        <v>1</v>
      </c>
      <c r="L15" s="464">
        <f>'03-15-12'!T95</f>
        <v>0</v>
      </c>
      <c r="M15" s="464">
        <f>'03-15-12'!U95</f>
        <v>0</v>
      </c>
      <c r="N15" s="464">
        <f>'03-15-12'!V95</f>
        <v>1</v>
      </c>
      <c r="O15" s="464">
        <f>'03-15-12'!W95</f>
        <v>0</v>
      </c>
      <c r="P15" s="464">
        <f>'03-15-12'!X95</f>
        <v>0</v>
      </c>
      <c r="Q15" s="464">
        <f t="shared" si="1"/>
        <v>1</v>
      </c>
      <c r="R15" s="464">
        <f>'03-15-12'!Y95</f>
        <v>1</v>
      </c>
      <c r="S15" s="464">
        <f>'03-15-12'!Z95</f>
        <v>0</v>
      </c>
      <c r="T15" s="464">
        <f>'03-15-12'!AA95</f>
        <v>0</v>
      </c>
      <c r="U15" s="464">
        <f>'03-15-12'!AB95</f>
        <v>0</v>
      </c>
      <c r="V15" s="464">
        <f>'03-15-12'!AC95</f>
        <v>0</v>
      </c>
      <c r="W15" s="464">
        <f>'03-15-12'!AD95</f>
        <v>0</v>
      </c>
      <c r="X15" s="464">
        <f t="shared" si="2"/>
        <v>1</v>
      </c>
      <c r="Y15" s="464">
        <f t="shared" si="3"/>
        <v>1</v>
      </c>
      <c r="Z15" s="464">
        <f>'03-15-12'!AE95</f>
        <v>0</v>
      </c>
      <c r="AA15" s="464">
        <f>'03-15-12'!AF95</f>
        <v>7</v>
      </c>
      <c r="AB15" s="464">
        <f>'03-15-12'!AG95</f>
        <v>2</v>
      </c>
      <c r="AC15" s="464">
        <f>'03-15-12'!AH95</f>
        <v>1</v>
      </c>
      <c r="AD15" s="464">
        <f>'03-15-12'!AI95</f>
        <v>0</v>
      </c>
      <c r="AE15" s="464">
        <f t="shared" si="4"/>
        <v>0</v>
      </c>
      <c r="AF15" s="464">
        <f t="shared" si="5"/>
        <v>0</v>
      </c>
      <c r="AG15" s="464">
        <f t="shared" si="6"/>
        <v>0</v>
      </c>
      <c r="AH15" s="464">
        <f>'03-15-12'!AJ95</f>
        <v>0</v>
      </c>
      <c r="AI15" s="464">
        <f>'03-15-12'!AK95</f>
        <v>0</v>
      </c>
      <c r="AJ15" s="464">
        <f>'03-15-12'!AL95</f>
        <v>0</v>
      </c>
      <c r="AK15" s="464">
        <f>'03-15-12'!AM95</f>
        <v>0</v>
      </c>
      <c r="AL15" s="464">
        <f t="shared" si="7"/>
        <v>0</v>
      </c>
      <c r="AM15" s="464">
        <f t="shared" si="8"/>
        <v>0</v>
      </c>
      <c r="AN15" s="464">
        <f t="shared" si="9"/>
        <v>7</v>
      </c>
      <c r="AO15" s="464">
        <f t="shared" si="10"/>
        <v>0</v>
      </c>
      <c r="AP15" s="464">
        <f>'03-15-12'!AN95</f>
        <v>0</v>
      </c>
      <c r="AQ15" s="464">
        <f>'03-15-12'!AO95</f>
        <v>0</v>
      </c>
      <c r="AR15" s="464">
        <f>'03-15-12'!AP95</f>
        <v>0</v>
      </c>
      <c r="AS15" s="464">
        <f t="shared" si="11"/>
        <v>1</v>
      </c>
      <c r="AT15" s="464">
        <f t="shared" si="12"/>
        <v>0</v>
      </c>
      <c r="AU15" s="464">
        <f t="shared" si="13"/>
        <v>2</v>
      </c>
      <c r="AV15" s="464">
        <f t="shared" si="14"/>
        <v>0</v>
      </c>
      <c r="AW15" s="464">
        <f t="shared" si="15"/>
        <v>0</v>
      </c>
      <c r="AX15" s="464">
        <f>'03-15-12'!AQ95</f>
        <v>0</v>
      </c>
      <c r="AY15" s="464">
        <f>'03-15-12'!AR95</f>
        <v>0</v>
      </c>
      <c r="AZ15" s="464">
        <f t="shared" si="16"/>
        <v>0</v>
      </c>
      <c r="BA15" s="464">
        <f t="shared" si="17"/>
        <v>0</v>
      </c>
      <c r="BB15" s="464">
        <f t="shared" si="18"/>
        <v>1</v>
      </c>
      <c r="BC15" s="464">
        <f t="shared" si="19"/>
        <v>0</v>
      </c>
      <c r="BD15" s="464">
        <f t="shared" si="20"/>
        <v>0</v>
      </c>
      <c r="BE15" s="464">
        <f t="shared" si="21"/>
        <v>0</v>
      </c>
      <c r="BF15" s="464">
        <f>'03-15-12'!AS95</f>
        <v>0</v>
      </c>
      <c r="BG15" s="464">
        <f t="shared" si="22"/>
        <v>0</v>
      </c>
      <c r="BH15" s="464">
        <f t="shared" si="23"/>
        <v>0</v>
      </c>
      <c r="BI15" s="464">
        <f t="shared" si="24"/>
        <v>0</v>
      </c>
      <c r="BJ15" s="464">
        <f t="shared" si="25"/>
        <v>0</v>
      </c>
      <c r="BK15" s="464">
        <f t="shared" si="26"/>
        <v>0</v>
      </c>
      <c r="BL15" s="464">
        <f t="shared" si="27"/>
        <v>0</v>
      </c>
      <c r="BM15" s="464">
        <f t="shared" si="28"/>
        <v>0</v>
      </c>
    </row>
    <row r="16">
      <c r="A16" s="466" t="s">
        <v>1562</v>
      </c>
      <c r="B16" s="467">
        <f t="shared" ref="B16:P16" si="29">sum(B2:B15)</f>
        <v>12</v>
      </c>
      <c r="C16" s="467">
        <f t="shared" si="29"/>
        <v>16</v>
      </c>
      <c r="D16" s="467">
        <f t="shared" si="29"/>
        <v>46</v>
      </c>
      <c r="E16" s="467">
        <f t="shared" si="29"/>
        <v>30</v>
      </c>
      <c r="F16" s="467">
        <f t="shared" si="29"/>
        <v>55</v>
      </c>
      <c r="G16" s="467">
        <f t="shared" si="29"/>
        <v>165</v>
      </c>
      <c r="H16" s="467">
        <f t="shared" si="29"/>
        <v>27</v>
      </c>
      <c r="I16" s="467">
        <f t="shared" si="29"/>
        <v>5</v>
      </c>
      <c r="J16" s="505">
        <f t="shared" si="29"/>
        <v>3</v>
      </c>
      <c r="K16" s="505">
        <f t="shared" si="29"/>
        <v>7</v>
      </c>
      <c r="L16" s="505">
        <f t="shared" si="29"/>
        <v>2</v>
      </c>
      <c r="M16" s="505">
        <f t="shared" si="29"/>
        <v>11</v>
      </c>
      <c r="N16" s="505">
        <f t="shared" si="29"/>
        <v>8</v>
      </c>
      <c r="O16" s="505">
        <f t="shared" si="29"/>
        <v>0</v>
      </c>
      <c r="P16" s="505">
        <f t="shared" si="29"/>
        <v>0</v>
      </c>
      <c r="Q16" s="505">
        <f t="shared" si="1"/>
        <v>3</v>
      </c>
      <c r="R16" s="505">
        <f t="shared" ref="R16:W16" si="30">sum(R2:R15)</f>
        <v>8</v>
      </c>
      <c r="S16" s="505">
        <f t="shared" si="30"/>
        <v>2</v>
      </c>
      <c r="T16" s="505">
        <f t="shared" si="30"/>
        <v>5</v>
      </c>
      <c r="U16" s="505">
        <f t="shared" si="30"/>
        <v>4</v>
      </c>
      <c r="V16" s="505">
        <f t="shared" si="30"/>
        <v>2</v>
      </c>
      <c r="W16" s="505">
        <f t="shared" si="30"/>
        <v>0</v>
      </c>
      <c r="X16" s="505">
        <f t="shared" si="2"/>
        <v>7</v>
      </c>
      <c r="Y16" s="505">
        <f t="shared" si="3"/>
        <v>8</v>
      </c>
      <c r="Z16" s="505">
        <f t="shared" ref="Z16:AD16" si="31">sum(Z2:Z15)</f>
        <v>9</v>
      </c>
      <c r="AA16" s="505">
        <f t="shared" si="31"/>
        <v>23</v>
      </c>
      <c r="AB16" s="505">
        <f t="shared" si="31"/>
        <v>20</v>
      </c>
      <c r="AC16" s="505">
        <f t="shared" si="31"/>
        <v>6</v>
      </c>
      <c r="AD16" s="505">
        <f t="shared" si="31"/>
        <v>0</v>
      </c>
      <c r="AE16" s="505">
        <f t="shared" si="4"/>
        <v>2</v>
      </c>
      <c r="AF16" s="505">
        <f t="shared" si="5"/>
        <v>2</v>
      </c>
      <c r="AG16" s="505">
        <f t="shared" si="6"/>
        <v>9</v>
      </c>
      <c r="AH16" s="505">
        <f t="shared" ref="AH16:AK16" si="32">sum(AH2:AH15)</f>
        <v>3</v>
      </c>
      <c r="AI16" s="505">
        <f t="shared" si="32"/>
        <v>17</v>
      </c>
      <c r="AJ16" s="505">
        <f t="shared" si="32"/>
        <v>1</v>
      </c>
      <c r="AK16" s="505">
        <f t="shared" si="32"/>
        <v>1</v>
      </c>
      <c r="AL16" s="505">
        <f t="shared" si="7"/>
        <v>11</v>
      </c>
      <c r="AM16" s="505">
        <f t="shared" si="8"/>
        <v>5</v>
      </c>
      <c r="AN16" s="505">
        <f t="shared" si="9"/>
        <v>23</v>
      </c>
      <c r="AO16" s="505">
        <f t="shared" si="10"/>
        <v>3</v>
      </c>
      <c r="AP16" s="505">
        <f t="shared" ref="AP16:AR16" si="33">sum(AP2:AP15)</f>
        <v>14</v>
      </c>
      <c r="AQ16" s="505">
        <f t="shared" si="33"/>
        <v>2</v>
      </c>
      <c r="AR16" s="505">
        <f t="shared" si="33"/>
        <v>0</v>
      </c>
      <c r="AS16" s="505">
        <f t="shared" si="11"/>
        <v>8</v>
      </c>
      <c r="AT16" s="505">
        <f t="shared" si="12"/>
        <v>4</v>
      </c>
      <c r="AU16" s="505">
        <f t="shared" si="13"/>
        <v>20</v>
      </c>
      <c r="AV16" s="505">
        <f t="shared" si="14"/>
        <v>17</v>
      </c>
      <c r="AW16" s="505">
        <f t="shared" si="15"/>
        <v>14</v>
      </c>
      <c r="AX16" s="505">
        <f t="shared" ref="AX16:AY16" si="34">sum(AX2:AX15)</f>
        <v>7</v>
      </c>
      <c r="AY16" s="505">
        <f t="shared" si="34"/>
        <v>1</v>
      </c>
      <c r="AZ16" s="505">
        <f t="shared" si="16"/>
        <v>0</v>
      </c>
      <c r="BA16" s="505">
        <f t="shared" si="17"/>
        <v>2</v>
      </c>
      <c r="BB16" s="505">
        <f t="shared" si="18"/>
        <v>6</v>
      </c>
      <c r="BC16" s="505">
        <f t="shared" si="19"/>
        <v>1</v>
      </c>
      <c r="BD16" s="505">
        <f t="shared" si="20"/>
        <v>2</v>
      </c>
      <c r="BE16" s="505">
        <f t="shared" si="21"/>
        <v>7</v>
      </c>
      <c r="BF16" s="505">
        <f>sum(BF2:BF15)</f>
        <v>0</v>
      </c>
      <c r="BG16" s="505">
        <f t="shared" si="22"/>
        <v>0</v>
      </c>
      <c r="BH16" s="505">
        <f t="shared" si="23"/>
        <v>0</v>
      </c>
      <c r="BI16" s="505">
        <f t="shared" si="24"/>
        <v>0</v>
      </c>
      <c r="BJ16" s="505">
        <f t="shared" si="25"/>
        <v>1</v>
      </c>
      <c r="BK16" s="505">
        <f t="shared" si="26"/>
        <v>0</v>
      </c>
      <c r="BL16" s="505">
        <f t="shared" si="27"/>
        <v>1</v>
      </c>
      <c r="BM16" s="505">
        <f t="shared" si="28"/>
        <v>0</v>
      </c>
    </row>
    <row r="17">
      <c r="A17" s="466" t="s">
        <v>1563</v>
      </c>
      <c r="B17" s="464">
        <f t="shared" ref="B17:I17" si="35">B16/sum($B$16:$I$16)</f>
        <v>0.03370786517</v>
      </c>
      <c r="C17" s="464">
        <f t="shared" si="35"/>
        <v>0.04494382022</v>
      </c>
      <c r="D17" s="464">
        <f t="shared" si="35"/>
        <v>0.1292134831</v>
      </c>
      <c r="E17" s="464">
        <f t="shared" si="35"/>
        <v>0.08426966292</v>
      </c>
      <c r="F17" s="464">
        <f t="shared" si="35"/>
        <v>0.154494382</v>
      </c>
      <c r="G17" s="464">
        <f t="shared" si="35"/>
        <v>0.4634831461</v>
      </c>
      <c r="H17" s="464">
        <f t="shared" si="35"/>
        <v>0.07584269663</v>
      </c>
      <c r="I17" s="464">
        <f t="shared" si="35"/>
        <v>0.01404494382</v>
      </c>
      <c r="J17" s="506">
        <f t="shared" ref="J17:P17" si="36">J16/sum($J$16:$P$16)</f>
        <v>0.09677419355</v>
      </c>
      <c r="K17" s="506">
        <f t="shared" si="36"/>
        <v>0.2258064516</v>
      </c>
      <c r="L17" s="506">
        <f t="shared" si="36"/>
        <v>0.06451612903</v>
      </c>
      <c r="M17" s="506">
        <f t="shared" si="36"/>
        <v>0.3548387097</v>
      </c>
      <c r="N17" s="506">
        <f t="shared" si="36"/>
        <v>0.2580645161</v>
      </c>
      <c r="O17" s="506">
        <f t="shared" si="36"/>
        <v>0</v>
      </c>
      <c r="P17" s="506">
        <f t="shared" si="36"/>
        <v>0</v>
      </c>
      <c r="Q17" s="506">
        <f t="shared" ref="Q17:W17" si="37">Q16/sum($Q$16:$W$16)</f>
        <v>0.125</v>
      </c>
      <c r="R17" s="506">
        <f t="shared" si="37"/>
        <v>0.3333333333</v>
      </c>
      <c r="S17" s="506">
        <f t="shared" si="37"/>
        <v>0.08333333333</v>
      </c>
      <c r="T17" s="506">
        <f t="shared" si="37"/>
        <v>0.2083333333</v>
      </c>
      <c r="U17" s="506">
        <f t="shared" si="37"/>
        <v>0.1666666667</v>
      </c>
      <c r="V17" s="506">
        <f t="shared" si="37"/>
        <v>0.08333333333</v>
      </c>
      <c r="W17" s="506">
        <f t="shared" si="37"/>
        <v>0</v>
      </c>
      <c r="X17" s="506">
        <f t="shared" ref="X17:AD17" si="38">X16/sum($X$16:$AD$16)</f>
        <v>0.09589041096</v>
      </c>
      <c r="Y17" s="506">
        <f t="shared" si="38"/>
        <v>0.1095890411</v>
      </c>
      <c r="Z17" s="506">
        <f t="shared" si="38"/>
        <v>0.1232876712</v>
      </c>
      <c r="AA17" s="506">
        <f t="shared" si="38"/>
        <v>0.3150684932</v>
      </c>
      <c r="AB17" s="506">
        <f t="shared" si="38"/>
        <v>0.2739726027</v>
      </c>
      <c r="AC17" s="506">
        <f t="shared" si="38"/>
        <v>0.08219178082</v>
      </c>
      <c r="AD17" s="506">
        <f t="shared" si="38"/>
        <v>0</v>
      </c>
      <c r="AE17" s="506">
        <f t="shared" ref="AE17:AK17" si="39">AE16/sum($AE$16:$AK$16)</f>
        <v>0.05714285714</v>
      </c>
      <c r="AF17" s="506">
        <f t="shared" si="39"/>
        <v>0.05714285714</v>
      </c>
      <c r="AG17" s="506">
        <f t="shared" si="39"/>
        <v>0.2571428571</v>
      </c>
      <c r="AH17" s="506">
        <f t="shared" si="39"/>
        <v>0.08571428571</v>
      </c>
      <c r="AI17" s="506">
        <f t="shared" si="39"/>
        <v>0.4857142857</v>
      </c>
      <c r="AJ17" s="506">
        <f t="shared" si="39"/>
        <v>0.02857142857</v>
      </c>
      <c r="AK17" s="506">
        <f t="shared" si="39"/>
        <v>0.02857142857</v>
      </c>
      <c r="AL17" s="506">
        <f t="shared" ref="AL17:AR17" si="40">AL16/sum($AL$16:$AR$16)</f>
        <v>0.1896551724</v>
      </c>
      <c r="AM17" s="506">
        <f t="shared" si="40"/>
        <v>0.08620689655</v>
      </c>
      <c r="AN17" s="506">
        <f t="shared" si="40"/>
        <v>0.3965517241</v>
      </c>
      <c r="AO17" s="506">
        <f t="shared" si="40"/>
        <v>0.05172413793</v>
      </c>
      <c r="AP17" s="506">
        <f t="shared" si="40"/>
        <v>0.2413793103</v>
      </c>
      <c r="AQ17" s="506">
        <f t="shared" si="40"/>
        <v>0.03448275862</v>
      </c>
      <c r="AR17" s="506">
        <f t="shared" si="40"/>
        <v>0</v>
      </c>
      <c r="AS17" s="506">
        <f t="shared" ref="AS17:AY17" si="41">AS16/sum($AS$16:$AY$16)</f>
        <v>0.1126760563</v>
      </c>
      <c r="AT17" s="506">
        <f t="shared" si="41"/>
        <v>0.05633802817</v>
      </c>
      <c r="AU17" s="506">
        <f t="shared" si="41"/>
        <v>0.2816901408</v>
      </c>
      <c r="AV17" s="506">
        <f t="shared" si="41"/>
        <v>0.2394366197</v>
      </c>
      <c r="AW17" s="506">
        <f t="shared" si="41"/>
        <v>0.1971830986</v>
      </c>
      <c r="AX17" s="506">
        <f t="shared" si="41"/>
        <v>0.0985915493</v>
      </c>
      <c r="AY17" s="506">
        <f t="shared" si="41"/>
        <v>0.01408450704</v>
      </c>
      <c r="AZ17" s="506">
        <f t="shared" ref="AZ17:BF17" si="42">AZ16/sum($AZ$16:$BF$16)</f>
        <v>0</v>
      </c>
      <c r="BA17" s="506">
        <f t="shared" si="42"/>
        <v>0.1111111111</v>
      </c>
      <c r="BB17" s="506">
        <f t="shared" si="42"/>
        <v>0.3333333333</v>
      </c>
      <c r="BC17" s="506">
        <f t="shared" si="42"/>
        <v>0.05555555556</v>
      </c>
      <c r="BD17" s="506">
        <f t="shared" si="42"/>
        <v>0.1111111111</v>
      </c>
      <c r="BE17" s="506">
        <f t="shared" si="42"/>
        <v>0.3888888889</v>
      </c>
      <c r="BF17" s="506">
        <f t="shared" si="42"/>
        <v>0</v>
      </c>
      <c r="BG17" s="506">
        <f t="shared" ref="BG17:BM17" si="43">BG16/sum($BG$16:$BM$16)</f>
        <v>0</v>
      </c>
      <c r="BH17" s="506">
        <f t="shared" si="43"/>
        <v>0</v>
      </c>
      <c r="BI17" s="506">
        <f t="shared" si="43"/>
        <v>0</v>
      </c>
      <c r="BJ17" s="506">
        <f t="shared" si="43"/>
        <v>0.5</v>
      </c>
      <c r="BK17" s="506">
        <f t="shared" si="43"/>
        <v>0</v>
      </c>
      <c r="BL17" s="506">
        <f t="shared" si="43"/>
        <v>0.5</v>
      </c>
      <c r="BM17" s="506">
        <f t="shared" si="43"/>
        <v>0</v>
      </c>
    </row>
    <row r="18">
      <c r="A18" s="466" t="s">
        <v>1485</v>
      </c>
      <c r="B18" s="467">
        <f>sum(J16:P16)</f>
        <v>31</v>
      </c>
      <c r="C18" s="467">
        <f>sum(Q16:W16)</f>
        <v>24</v>
      </c>
      <c r="D18" s="467">
        <f>sum(X16:AD16)</f>
        <v>73</v>
      </c>
      <c r="E18" s="467">
        <f>sum(AE16:AK16)</f>
        <v>35</v>
      </c>
      <c r="F18" s="467">
        <f>sum(AL16:AR16)</f>
        <v>58</v>
      </c>
      <c r="G18" s="467">
        <f>sum(AS16:AY16)</f>
        <v>71</v>
      </c>
      <c r="H18" s="467">
        <f>sum(AZ16:BF16)</f>
        <v>18</v>
      </c>
      <c r="I18" s="467">
        <f>sum(BG16:BM16)</f>
        <v>2</v>
      </c>
      <c r="J18" s="506">
        <f t="shared" ref="J18:P18" si="44">C49</f>
        <v>2.48</v>
      </c>
      <c r="K18" s="506">
        <f t="shared" si="44"/>
        <v>7.378</v>
      </c>
      <c r="L18" s="506">
        <f t="shared" si="44"/>
        <v>4.03</v>
      </c>
      <c r="M18" s="506">
        <f t="shared" si="44"/>
        <v>7.006</v>
      </c>
      <c r="N18" s="506">
        <f t="shared" si="44"/>
        <v>14.632</v>
      </c>
      <c r="O18" s="506">
        <f t="shared" si="44"/>
        <v>2.79</v>
      </c>
      <c r="P18" s="506">
        <f t="shared" si="44"/>
        <v>0.434</v>
      </c>
      <c r="Q18" s="506">
        <f>B50</f>
        <v>2.080645161</v>
      </c>
      <c r="R18" s="506">
        <f t="shared" ref="R18:W18" si="45">D50</f>
        <v>5.758064516</v>
      </c>
      <c r="S18" s="506">
        <f t="shared" si="45"/>
        <v>3.14516129</v>
      </c>
      <c r="T18" s="506">
        <f t="shared" si="45"/>
        <v>5.467741935</v>
      </c>
      <c r="U18" s="506">
        <f t="shared" si="45"/>
        <v>11.41935484</v>
      </c>
      <c r="V18" s="506">
        <f t="shared" si="45"/>
        <v>2.177419355</v>
      </c>
      <c r="W18" s="506">
        <f t="shared" si="45"/>
        <v>0.3387096774</v>
      </c>
      <c r="X18" s="506">
        <f t="shared" ref="X18:Y18" si="46">B51</f>
        <v>6.736051502</v>
      </c>
      <c r="Y18" s="506">
        <f t="shared" si="46"/>
        <v>6.266094421</v>
      </c>
      <c r="Z18" s="506">
        <f t="shared" ref="Z18:AD18" si="47">E51</f>
        <v>10.18240343</v>
      </c>
      <c r="AA18" s="506">
        <f t="shared" si="47"/>
        <v>17.70171674</v>
      </c>
      <c r="AB18" s="506">
        <f t="shared" si="47"/>
        <v>36.96995708</v>
      </c>
      <c r="AC18" s="506">
        <f t="shared" si="47"/>
        <v>7.049356223</v>
      </c>
      <c r="AD18" s="506">
        <f t="shared" si="47"/>
        <v>1.096566524</v>
      </c>
      <c r="AE18" s="506">
        <f t="shared" ref="AE18:AG18" si="48">B52</f>
        <v>3.122406639</v>
      </c>
      <c r="AF18" s="506">
        <f t="shared" si="48"/>
        <v>2.904564315</v>
      </c>
      <c r="AG18" s="506">
        <f t="shared" si="48"/>
        <v>8.641078838</v>
      </c>
      <c r="AH18" s="506">
        <f t="shared" ref="AH18:AK18" si="49">F52</f>
        <v>8.205394191</v>
      </c>
      <c r="AI18" s="506">
        <f t="shared" si="49"/>
        <v>17.13692946</v>
      </c>
      <c r="AJ18" s="506">
        <f t="shared" si="49"/>
        <v>3.267634855</v>
      </c>
      <c r="AK18" s="506">
        <f t="shared" si="49"/>
        <v>0.5082987552</v>
      </c>
      <c r="AL18" s="506">
        <f>B51</f>
        <v>6.736051502</v>
      </c>
      <c r="AM18" s="506">
        <f t="shared" ref="AM18:AO18" si="50">C53</f>
        <v>5.076586433</v>
      </c>
      <c r="AN18" s="506">
        <f t="shared" si="50"/>
        <v>15.10284464</v>
      </c>
      <c r="AO18" s="506">
        <f t="shared" si="50"/>
        <v>8.249452954</v>
      </c>
      <c r="AP18" s="506">
        <f t="shared" ref="AP18:AR18" si="51">G53</f>
        <v>29.95185996</v>
      </c>
      <c r="AQ18" s="506">
        <f t="shared" si="51"/>
        <v>5.711159737</v>
      </c>
      <c r="AR18" s="506">
        <f t="shared" si="51"/>
        <v>0.8884026258</v>
      </c>
      <c r="AS18" s="506">
        <f>B52</f>
        <v>3.122406639</v>
      </c>
      <c r="AT18" s="506">
        <f t="shared" ref="AT18:AW18" si="52">C54</f>
        <v>8.18443804</v>
      </c>
      <c r="AU18" s="506">
        <f t="shared" si="52"/>
        <v>24.34870317</v>
      </c>
      <c r="AV18" s="506">
        <f t="shared" si="52"/>
        <v>13.29971182</v>
      </c>
      <c r="AW18" s="506">
        <f t="shared" si="52"/>
        <v>23.12103746</v>
      </c>
      <c r="AX18" s="506">
        <f t="shared" ref="AX18:AY18" si="53">H54</f>
        <v>9.207492795</v>
      </c>
      <c r="AY18" s="506">
        <f t="shared" si="53"/>
        <v>1.432276657</v>
      </c>
      <c r="AZ18" s="506">
        <f>B53</f>
        <v>5.457330416</v>
      </c>
      <c r="BA18" s="506">
        <f t="shared" ref="BA18:BE18" si="54">C55</f>
        <v>1.484536082</v>
      </c>
      <c r="BB18" s="506">
        <f t="shared" si="54"/>
        <v>4.416494845</v>
      </c>
      <c r="BC18" s="506">
        <f t="shared" si="54"/>
        <v>2.412371134</v>
      </c>
      <c r="BD18" s="506">
        <f t="shared" si="54"/>
        <v>4.193814433</v>
      </c>
      <c r="BE18" s="506">
        <f t="shared" si="54"/>
        <v>8.758762887</v>
      </c>
      <c r="BF18" s="506">
        <f>I55</f>
        <v>0.2597938144</v>
      </c>
      <c r="BG18" s="506">
        <f t="shared" ref="BG18:BM18" si="55">B56</f>
        <v>0.1696252465</v>
      </c>
      <c r="BH18" s="506">
        <f t="shared" si="55"/>
        <v>0.157790927</v>
      </c>
      <c r="BI18" s="506">
        <f t="shared" si="55"/>
        <v>0.4694280079</v>
      </c>
      <c r="BJ18" s="506">
        <f t="shared" si="55"/>
        <v>0.2564102564</v>
      </c>
      <c r="BK18" s="506">
        <f t="shared" si="55"/>
        <v>0.4457593688</v>
      </c>
      <c r="BL18" s="506">
        <f t="shared" si="55"/>
        <v>0.9309664694</v>
      </c>
      <c r="BM18" s="506">
        <f t="shared" si="55"/>
        <v>0.1775147929</v>
      </c>
    </row>
    <row r="19">
      <c r="A19" s="466" t="s">
        <v>1564</v>
      </c>
      <c r="B19" s="466" t="s">
        <v>1497</v>
      </c>
      <c r="C19" s="464"/>
      <c r="D19" s="464"/>
      <c r="E19" s="464"/>
      <c r="F19" s="464"/>
      <c r="G19" s="464"/>
      <c r="H19" s="464"/>
      <c r="I19" s="464"/>
      <c r="J19" s="506">
        <f t="shared" ref="J19:P19" si="56">J18/sum($J$18:$P$18)</f>
        <v>0.064</v>
      </c>
      <c r="K19" s="506">
        <f t="shared" si="56"/>
        <v>0.1904</v>
      </c>
      <c r="L19" s="506">
        <f t="shared" si="56"/>
        <v>0.104</v>
      </c>
      <c r="M19" s="506">
        <f t="shared" si="56"/>
        <v>0.1808</v>
      </c>
      <c r="N19" s="506">
        <f t="shared" si="56"/>
        <v>0.3776</v>
      </c>
      <c r="O19" s="506">
        <f t="shared" si="56"/>
        <v>0.072</v>
      </c>
      <c r="P19" s="506">
        <f t="shared" si="56"/>
        <v>0.0112</v>
      </c>
      <c r="Q19" s="506">
        <f t="shared" ref="Q19:W19" si="57">Q18/sum($Q$18:$W$18)</f>
        <v>0.06847133758</v>
      </c>
      <c r="R19" s="506">
        <f t="shared" si="57"/>
        <v>0.1894904459</v>
      </c>
      <c r="S19" s="506">
        <f t="shared" si="57"/>
        <v>0.1035031847</v>
      </c>
      <c r="T19" s="506">
        <f t="shared" si="57"/>
        <v>0.1799363057</v>
      </c>
      <c r="U19" s="506">
        <f t="shared" si="57"/>
        <v>0.3757961783</v>
      </c>
      <c r="V19" s="506">
        <f t="shared" si="57"/>
        <v>0.07165605096</v>
      </c>
      <c r="W19" s="506">
        <f t="shared" si="57"/>
        <v>0.01114649682</v>
      </c>
      <c r="X19" s="506">
        <f t="shared" ref="X19:AD19" si="58">X18/sum($X$18:$AD$18)</f>
        <v>0.07832422587</v>
      </c>
      <c r="Y19" s="506">
        <f t="shared" si="58"/>
        <v>0.07285974499</v>
      </c>
      <c r="Z19" s="506">
        <f t="shared" si="58"/>
        <v>0.1183970856</v>
      </c>
      <c r="AA19" s="506">
        <f t="shared" si="58"/>
        <v>0.2058287796</v>
      </c>
      <c r="AB19" s="506">
        <f t="shared" si="58"/>
        <v>0.4298724954</v>
      </c>
      <c r="AC19" s="506">
        <f t="shared" si="58"/>
        <v>0.08196721311</v>
      </c>
      <c r="AD19" s="506">
        <f t="shared" si="58"/>
        <v>0.01275045537</v>
      </c>
      <c r="AE19" s="506">
        <f t="shared" ref="AE19:AK19" si="59">AE18/sum($AE$18:$AK$18)</f>
        <v>0.07131011609</v>
      </c>
      <c r="AF19" s="506">
        <f t="shared" si="59"/>
        <v>0.06633499171</v>
      </c>
      <c r="AG19" s="506">
        <f t="shared" si="59"/>
        <v>0.1973466003</v>
      </c>
      <c r="AH19" s="506">
        <f t="shared" si="59"/>
        <v>0.1873963516</v>
      </c>
      <c r="AI19" s="506">
        <f t="shared" si="59"/>
        <v>0.3913764511</v>
      </c>
      <c r="AJ19" s="506">
        <f t="shared" si="59"/>
        <v>0.07462686567</v>
      </c>
      <c r="AK19" s="506">
        <f t="shared" si="59"/>
        <v>0.01160862355</v>
      </c>
      <c r="AL19" s="506">
        <f t="shared" ref="AL19:AR19" si="60">AL18/sum($AL$18:$AR$18)</f>
        <v>0.09392629108</v>
      </c>
      <c r="AM19" s="506">
        <f t="shared" si="60"/>
        <v>0.07078700851</v>
      </c>
      <c r="AN19" s="506">
        <f t="shared" si="60"/>
        <v>0.2105913503</v>
      </c>
      <c r="AO19" s="506">
        <f t="shared" si="60"/>
        <v>0.1150288888</v>
      </c>
      <c r="AP19" s="506">
        <f t="shared" si="60"/>
        <v>0.4176433502</v>
      </c>
      <c r="AQ19" s="506">
        <f t="shared" si="60"/>
        <v>0.07963538457</v>
      </c>
      <c r="AR19" s="506">
        <f t="shared" si="60"/>
        <v>0.01238772649</v>
      </c>
      <c r="AS19" s="506">
        <f t="shared" ref="AS19:AY19" si="61">AS18/sum($AS$18:$AY$18)</f>
        <v>0.03774849032</v>
      </c>
      <c r="AT19" s="506">
        <f t="shared" si="61"/>
        <v>0.09894617066</v>
      </c>
      <c r="AU19" s="506">
        <f t="shared" si="61"/>
        <v>0.2943648577</v>
      </c>
      <c r="AV19" s="506">
        <f t="shared" si="61"/>
        <v>0.1607875273</v>
      </c>
      <c r="AW19" s="506">
        <f t="shared" si="61"/>
        <v>0.2795229321</v>
      </c>
      <c r="AX19" s="506">
        <f t="shared" si="61"/>
        <v>0.111314442</v>
      </c>
      <c r="AY19" s="506">
        <f t="shared" si="61"/>
        <v>0.01731557987</v>
      </c>
      <c r="AZ19" s="506">
        <f t="shared" ref="AZ19:BF19" si="62">AZ18/sum($AZ$18:$BF$18)</f>
        <v>0.2022499151</v>
      </c>
      <c r="BA19" s="506">
        <f t="shared" si="62"/>
        <v>0.05501724723</v>
      </c>
      <c r="BB19" s="506">
        <f t="shared" si="62"/>
        <v>0.1636763105</v>
      </c>
      <c r="BC19" s="506">
        <f t="shared" si="62"/>
        <v>0.08940302675</v>
      </c>
      <c r="BD19" s="506">
        <f t="shared" si="62"/>
        <v>0.1554237234</v>
      </c>
      <c r="BE19" s="506">
        <f t="shared" si="62"/>
        <v>0.3246017587</v>
      </c>
      <c r="BF19" s="506">
        <f t="shared" si="62"/>
        <v>0.009628018266</v>
      </c>
      <c r="BG19" s="506">
        <f t="shared" ref="BG19:BM19" si="63">BG18/sum($BG$18:$BM$18)</f>
        <v>0.06505295008</v>
      </c>
      <c r="BH19" s="506">
        <f t="shared" si="63"/>
        <v>0.06051437216</v>
      </c>
      <c r="BI19" s="506">
        <f t="shared" si="63"/>
        <v>0.1800302572</v>
      </c>
      <c r="BJ19" s="506">
        <f t="shared" si="63"/>
        <v>0.09833585477</v>
      </c>
      <c r="BK19" s="506">
        <f t="shared" si="63"/>
        <v>0.1709531014</v>
      </c>
      <c r="BL19" s="506">
        <f t="shared" si="63"/>
        <v>0.3570347958</v>
      </c>
      <c r="BM19" s="506">
        <f t="shared" si="63"/>
        <v>0.06807866868</v>
      </c>
    </row>
    <row r="20">
      <c r="A20" s="466" t="s">
        <v>1565</v>
      </c>
      <c r="B20" s="353">
        <f>correl(B18:I18,B16:I16)</f>
        <v>0.718349025</v>
      </c>
      <c r="C20" s="399"/>
      <c r="D20" s="399"/>
      <c r="E20" s="399"/>
      <c r="F20" s="399"/>
      <c r="G20" s="399"/>
      <c r="H20" s="400"/>
      <c r="I20" s="353"/>
      <c r="J20" s="507">
        <f t="shared" ref="J20:P20" si="64">J16/sum($J$16:$P$16,$R$16:$W$16,$Z$16:$AD$16,$AH$16:$AK$16,$AP$16:$AR$16,$AX$16:$AY$16,$BF$16)</f>
        <v>0.01923076923</v>
      </c>
      <c r="K20" s="507">
        <f t="shared" si="64"/>
        <v>0.04487179487</v>
      </c>
      <c r="L20" s="507">
        <f t="shared" si="64"/>
        <v>0.01282051282</v>
      </c>
      <c r="M20" s="507">
        <f t="shared" si="64"/>
        <v>0.07051282051</v>
      </c>
      <c r="N20" s="507">
        <f t="shared" si="64"/>
        <v>0.05128205128</v>
      </c>
      <c r="O20" s="507">
        <f t="shared" si="64"/>
        <v>0</v>
      </c>
      <c r="P20" s="507">
        <f t="shared" si="64"/>
        <v>0</v>
      </c>
      <c r="Q20" s="507"/>
      <c r="R20" s="507">
        <f t="shared" ref="R20:W20" si="65">R16/sum($J$16:$P$16,$R$16:$W$16,$Z$16:$AD$16,$AH$16:$AK$16,$AP$16:$AR$16,$AX$16:$AY$16,$BF$16)</f>
        <v>0.05128205128</v>
      </c>
      <c r="S20" s="507">
        <f t="shared" si="65"/>
        <v>0.01282051282</v>
      </c>
      <c r="T20" s="507">
        <f t="shared" si="65"/>
        <v>0.03205128205</v>
      </c>
      <c r="U20" s="507">
        <f t="shared" si="65"/>
        <v>0.02564102564</v>
      </c>
      <c r="V20" s="507">
        <f t="shared" si="65"/>
        <v>0.01282051282</v>
      </c>
      <c r="W20" s="507">
        <f t="shared" si="65"/>
        <v>0</v>
      </c>
      <c r="X20" s="508"/>
      <c r="Y20" s="506"/>
      <c r="Z20" s="507">
        <f t="shared" ref="Z20:AD20" si="66">Z16/sum($J$16:$P$16,$R$16:$W$16,$Z$16:$AD$16,$AH$16:$AK$16,$AP$16:$AR$16,$AX$16:$AY$16,$BF$16)</f>
        <v>0.05769230769</v>
      </c>
      <c r="AA20" s="507">
        <f t="shared" si="66"/>
        <v>0.1474358974</v>
      </c>
      <c r="AB20" s="507">
        <f t="shared" si="66"/>
        <v>0.1282051282</v>
      </c>
      <c r="AC20" s="507">
        <f t="shared" si="66"/>
        <v>0.03846153846</v>
      </c>
      <c r="AD20" s="507">
        <f t="shared" si="66"/>
        <v>0</v>
      </c>
      <c r="AE20" s="507"/>
      <c r="AF20" s="506"/>
      <c r="AG20" s="506"/>
      <c r="AH20" s="507">
        <f t="shared" ref="AH20:AK20" si="67">AH16/sum($J$16:$P$16,$R$16:$W$16,$Z$16:$AD$16,$AH$16:$AK$16,$AP$16:$AR$16,$AX$16:$AY$16,$BF$16)</f>
        <v>0.01923076923</v>
      </c>
      <c r="AI20" s="507">
        <f t="shared" si="67"/>
        <v>0.108974359</v>
      </c>
      <c r="AJ20" s="507">
        <f t="shared" si="67"/>
        <v>0.00641025641</v>
      </c>
      <c r="AK20" s="507">
        <f t="shared" si="67"/>
        <v>0.00641025641</v>
      </c>
      <c r="AL20" s="509"/>
      <c r="AM20" s="506"/>
      <c r="AN20" s="506"/>
      <c r="AO20" s="506"/>
      <c r="AP20" s="507">
        <f t="shared" ref="AP20:AR20" si="68">AP16/sum($J$16:$P$16,$R$16:$W$16,$Z$16:$AD$16,$AH$16:$AK$16,$AP$16:$AR$16,$AX$16:$AY$16,$BF$16)</f>
        <v>0.08974358974</v>
      </c>
      <c r="AQ20" s="507">
        <f t="shared" si="68"/>
        <v>0.01282051282</v>
      </c>
      <c r="AR20" s="507">
        <f t="shared" si="68"/>
        <v>0</v>
      </c>
      <c r="AS20" s="507"/>
      <c r="AT20" s="506"/>
      <c r="AU20" s="506"/>
      <c r="AV20" s="506"/>
      <c r="AW20" s="506"/>
      <c r="AX20" s="507">
        <f t="shared" ref="AX20:AY20" si="69">AX16/sum($J$16:$P$16,$R$16:$W$16,$Z$16:$AD$16,$AH$16:$AK$16,$AP$16:$AR$16,$AX$16:$AY$16,$BF$16)</f>
        <v>0.04487179487</v>
      </c>
      <c r="AY20" s="507">
        <f t="shared" si="69"/>
        <v>0.00641025641</v>
      </c>
      <c r="AZ20" s="507"/>
      <c r="BA20" s="506"/>
      <c r="BB20" s="506"/>
      <c r="BC20" s="506"/>
      <c r="BD20" s="506"/>
      <c r="BE20" s="506"/>
      <c r="BF20" s="507">
        <f>BF16/sum($J$16:$P$16,$R$16:$W$16,$Z$16:$AD$16,$AH$16:$AK$16,$AP$16:$AR$16,$AX$16:$AY$16,$BF$16)</f>
        <v>0</v>
      </c>
      <c r="BG20" s="507"/>
      <c r="BH20" s="506"/>
      <c r="BI20" s="506"/>
      <c r="BJ20" s="506"/>
      <c r="BK20" s="506"/>
      <c r="BL20" s="506"/>
      <c r="BM20" s="506"/>
    </row>
    <row r="21">
      <c r="A21" s="466" t="s">
        <v>1566</v>
      </c>
      <c r="B21" s="399"/>
      <c r="C21" s="399"/>
      <c r="D21" s="399"/>
      <c r="E21" s="399"/>
      <c r="F21" s="399"/>
      <c r="G21" s="399"/>
      <c r="H21" s="400"/>
      <c r="I21" s="353"/>
      <c r="J21" s="506">
        <f>sum(J18,Q18)/sum($J$18:$BM$18)</f>
        <v>0.01190928883</v>
      </c>
      <c r="K21" s="507">
        <f>sum(K18,X18)/sum($J$18:$BM$18)</f>
        <v>0.03685625826</v>
      </c>
      <c r="L21" s="507">
        <f>sum(L18,AE18)/sum($J$18:$BM$18)</f>
        <v>0.01867719884</v>
      </c>
      <c r="M21" s="507">
        <f>sum(M18,AL18)/sum($J$18:$BM$18)</f>
        <v>0.03588484845</v>
      </c>
      <c r="N21" s="507">
        <f>sum(N18,AS18)/sum($J$18:$BM$18)</f>
        <v>0.04636237839</v>
      </c>
      <c r="O21" s="507">
        <f>sum(O18,AZ18)/sum($J$18:$BM$18)</f>
        <v>0.02153639157</v>
      </c>
      <c r="P21" s="507">
        <f>sum(P18,BG18)/sum($J$18:$BM$18)</f>
        <v>0.001576256681</v>
      </c>
      <c r="Q21" s="507"/>
      <c r="R21" s="506">
        <f>sum(R18,Y18)/sum($J$18:$BM$18)</f>
        <v>0.03139888692</v>
      </c>
      <c r="S21" s="506">
        <f>sum(S18,AF18)/sum($J$18:$BM$18)</f>
        <v>0.01579774945</v>
      </c>
      <c r="T21" s="506">
        <f>sum(T18,AM18)/sum($J$18:$BM$18)</f>
        <v>0.02753458066</v>
      </c>
      <c r="U21" s="506">
        <f>sum(U18,AT18)/sum($J$18:$BM$18)</f>
        <v>0.05119171155</v>
      </c>
      <c r="V21" s="506">
        <f>sum(V18,BA18)/sum($J$18:$BM$18)</f>
        <v>0.009562525354</v>
      </c>
      <c r="W21" s="506">
        <f>sum(W18,BH18)/sum($J$18:$BM$18)</f>
        <v>0.001296520315</v>
      </c>
      <c r="X21" s="508"/>
      <c r="Y21" s="506"/>
      <c r="Z21" s="506">
        <f>sum(Z18,AG18)/sum($J$18:$BM$18)</f>
        <v>0.04915407343</v>
      </c>
      <c r="AA21" s="506">
        <f>sum(AA18,AN18)/sum($J$18:$BM$18)</f>
        <v>0.08566309866</v>
      </c>
      <c r="AB21" s="506">
        <f>sum(AB18,AU18)/sum($J$18:$BM$18)</f>
        <v>0.160122441</v>
      </c>
      <c r="AC21" s="506">
        <f>sum(AC18,BB18)/sum($J$18:$BM$18)</f>
        <v>0.02994096827</v>
      </c>
      <c r="AD21" s="506">
        <f>sum(AD18,BI18)/sum($J$18:$BM$18)</f>
        <v>0.004089307658</v>
      </c>
      <c r="AE21" s="507"/>
      <c r="AF21" s="506"/>
      <c r="AG21" s="506"/>
      <c r="AH21" s="506">
        <f>sum(AH18,AO18)/sum($J$18:$BM$18)</f>
        <v>0.04296881699</v>
      </c>
      <c r="AI21" s="506">
        <f>sum(AI18,AV18)/sum($J$18:$BM$18)</f>
        <v>0.07947970937</v>
      </c>
      <c r="AJ21" s="506">
        <f>sum(AJ18,BC18)/sum($J$18:$BM$18)</f>
        <v>0.01483229444</v>
      </c>
      <c r="AK21" s="506">
        <f>sum(AK18,BJ18)/sum($J$18:$BM$18)</f>
        <v>0.001996897406</v>
      </c>
      <c r="AL21" s="509"/>
      <c r="AM21" s="506"/>
      <c r="AN21" s="506"/>
      <c r="AO21" s="506"/>
      <c r="AP21" s="506">
        <f>sum(AP18,AW18)/sum($J$18:$BM$18)</f>
        <v>0.1385901429</v>
      </c>
      <c r="AQ21" s="506">
        <f>sum(AQ18,BD18)/sum($J$18:$BM$18)</f>
        <v>0.02586502437</v>
      </c>
      <c r="AR21" s="506">
        <f>sum(AR18,BK18)/sum($J$18:$BM$18)</f>
        <v>0.003483919485</v>
      </c>
      <c r="AS21" s="507"/>
      <c r="AT21" s="506"/>
      <c r="AU21" s="506"/>
      <c r="AV21" s="506"/>
      <c r="AW21" s="506"/>
      <c r="AX21" s="506">
        <f>sum(AX18,BE18)/sum($J$18:$BM$18)</f>
        <v>0.04691558333</v>
      </c>
      <c r="AY21" s="506">
        <f>sum(AY18,BL18)/sum($J$18:$BM$18)</f>
        <v>0.00617117622</v>
      </c>
      <c r="AZ21" s="507"/>
      <c r="BA21" s="506"/>
      <c r="BB21" s="506"/>
      <c r="BC21" s="506"/>
      <c r="BD21" s="506"/>
      <c r="BE21" s="506"/>
      <c r="BF21" s="506">
        <f>sum(BF18,BM18)/sum($J$18:$BM$18)</f>
        <v>0.001141951265</v>
      </c>
      <c r="BG21" s="507"/>
      <c r="BH21" s="506"/>
      <c r="BI21" s="506"/>
      <c r="BJ21" s="506"/>
      <c r="BK21" s="506"/>
      <c r="BL21" s="506"/>
      <c r="BM21" s="506"/>
    </row>
    <row r="22">
      <c r="A22" s="466" t="s">
        <v>1488</v>
      </c>
      <c r="B22" s="399"/>
      <c r="C22" s="399"/>
      <c r="D22" s="399"/>
      <c r="E22" s="399"/>
      <c r="F22" s="399"/>
      <c r="G22" s="399"/>
      <c r="H22" s="400"/>
      <c r="I22" s="353"/>
      <c r="J22" s="507">
        <v>10.44116</v>
      </c>
      <c r="K22" s="507"/>
      <c r="L22" s="507"/>
      <c r="M22" s="507"/>
      <c r="N22" s="507"/>
      <c r="O22" s="507"/>
      <c r="P22" s="507"/>
      <c r="Q22" s="507">
        <v>6.356987</v>
      </c>
      <c r="R22" s="506"/>
      <c r="S22" s="506"/>
      <c r="T22" s="506"/>
      <c r="U22" s="506"/>
      <c r="V22" s="506"/>
      <c r="W22" s="506"/>
      <c r="X22" s="510">
        <v>11.15748</v>
      </c>
      <c r="Y22" s="506"/>
      <c r="Z22" s="506"/>
      <c r="AA22" s="506"/>
      <c r="AB22" s="506"/>
      <c r="AC22" s="506"/>
      <c r="AD22" s="506"/>
      <c r="AE22" s="507">
        <v>5.250777</v>
      </c>
      <c r="AF22" s="506"/>
      <c r="AG22" s="506"/>
      <c r="AH22" s="506"/>
      <c r="AI22" s="506"/>
      <c r="AJ22" s="506"/>
      <c r="AK22" s="506"/>
      <c r="AL22" s="509">
        <v>21.72767</v>
      </c>
      <c r="AM22" s="506"/>
      <c r="AN22" s="506"/>
      <c r="AO22" s="506"/>
      <c r="AP22" s="506"/>
      <c r="AQ22" s="506"/>
      <c r="AR22" s="506"/>
      <c r="AS22" s="510">
        <v>12.3575</v>
      </c>
      <c r="AT22" s="506"/>
      <c r="AU22" s="506"/>
      <c r="AV22" s="506"/>
      <c r="AW22" s="506"/>
      <c r="AX22" s="506"/>
      <c r="AY22" s="506"/>
      <c r="AZ22" s="507">
        <v>9.443075</v>
      </c>
      <c r="BA22" s="506"/>
      <c r="BB22" s="506"/>
      <c r="BC22" s="506"/>
      <c r="BD22" s="506"/>
      <c r="BE22" s="506"/>
      <c r="BF22" s="506"/>
      <c r="BG22" s="507">
        <v>3.065384</v>
      </c>
      <c r="BH22" s="506"/>
      <c r="BI22" s="506"/>
      <c r="BJ22" s="506"/>
      <c r="BK22" s="506"/>
      <c r="BL22" s="506"/>
      <c r="BM22" s="506"/>
    </row>
    <row r="23">
      <c r="A23" s="466" t="s">
        <v>1489</v>
      </c>
      <c r="B23" s="399"/>
      <c r="C23" s="399"/>
      <c r="D23" s="399"/>
      <c r="E23" s="399"/>
      <c r="F23" s="399"/>
      <c r="G23" s="399"/>
      <c r="H23" s="400"/>
      <c r="I23" s="353"/>
      <c r="J23" s="507">
        <v>0.1072614</v>
      </c>
      <c r="K23" s="507"/>
      <c r="L23" s="507"/>
      <c r="M23" s="507"/>
      <c r="N23" s="507"/>
      <c r="O23" s="507"/>
      <c r="P23" s="507"/>
      <c r="Q23" s="507">
        <v>0.3844103</v>
      </c>
      <c r="R23" s="506"/>
      <c r="S23" s="506"/>
      <c r="T23" s="506"/>
      <c r="U23" s="506"/>
      <c r="V23" s="506"/>
      <c r="W23" s="506"/>
      <c r="X23" s="510">
        <v>0.08362951</v>
      </c>
      <c r="Y23" s="506"/>
      <c r="Z23" s="506"/>
      <c r="AA23" s="506"/>
      <c r="AB23" s="506"/>
      <c r="AC23" s="506"/>
      <c r="AD23" s="506"/>
      <c r="AE23" s="507">
        <v>0.5120748</v>
      </c>
      <c r="AF23" s="506"/>
      <c r="AG23" s="506"/>
      <c r="AH23" s="506"/>
      <c r="AI23" s="506"/>
      <c r="AJ23" s="506"/>
      <c r="AK23" s="506"/>
      <c r="AL23" s="509">
        <v>0.001356411</v>
      </c>
      <c r="AM23" s="506"/>
      <c r="AN23" s="506"/>
      <c r="AO23" s="506"/>
      <c r="AP23" s="506"/>
      <c r="AQ23" s="506"/>
      <c r="AR23" s="506"/>
      <c r="AS23" s="510">
        <v>0.05445234</v>
      </c>
      <c r="AT23" s="506"/>
      <c r="AU23" s="506"/>
      <c r="AV23" s="506"/>
      <c r="AW23" s="506"/>
      <c r="AX23" s="506"/>
      <c r="AY23" s="506"/>
      <c r="AZ23" s="507">
        <v>0.1501502</v>
      </c>
      <c r="BA23" s="506"/>
      <c r="BB23" s="506"/>
      <c r="BC23" s="506"/>
      <c r="BD23" s="506"/>
      <c r="BE23" s="506"/>
      <c r="BF23" s="506"/>
      <c r="BG23" s="507">
        <v>0.8005968</v>
      </c>
      <c r="BH23" s="506"/>
      <c r="BI23" s="506"/>
      <c r="BJ23" s="506"/>
      <c r="BK23" s="506"/>
      <c r="BL23" s="506"/>
      <c r="BM23" s="506"/>
    </row>
    <row r="24">
      <c r="A24" s="466" t="s">
        <v>1490</v>
      </c>
      <c r="B24" s="399"/>
      <c r="C24" s="399"/>
      <c r="D24" s="399"/>
      <c r="E24" s="399"/>
      <c r="F24" s="399"/>
      <c r="G24" s="399"/>
      <c r="H24" s="400"/>
      <c r="I24" s="353"/>
      <c r="J24" s="507">
        <v>0.4326987</v>
      </c>
      <c r="K24" s="507">
        <v>0.2152267</v>
      </c>
      <c r="L24" s="507">
        <v>0.5275197</v>
      </c>
      <c r="M24" s="508">
        <v>4.7115666</v>
      </c>
      <c r="N24" s="507">
        <v>1.7765722</v>
      </c>
      <c r="O24" s="508">
        <v>4.1334186</v>
      </c>
      <c r="P24" s="507">
        <v>0.6230364</v>
      </c>
      <c r="Q24" s="507">
        <v>0.84983419</v>
      </c>
      <c r="R24" s="507">
        <v>2.40996337</v>
      </c>
      <c r="S24" s="507">
        <v>0.09687506</v>
      </c>
      <c r="T24" s="507">
        <v>0.10919425</v>
      </c>
      <c r="U24" s="508">
        <v>4.37339471</v>
      </c>
      <c r="V24" s="507">
        <v>0.04059792</v>
      </c>
      <c r="W24" s="507">
        <v>0.46559326</v>
      </c>
      <c r="X24" s="511">
        <v>0.2794483</v>
      </c>
      <c r="Y24" s="511">
        <v>1.218103</v>
      </c>
      <c r="Z24" s="511">
        <v>0.01577724</v>
      </c>
      <c r="AA24" s="512">
        <v>4.567697</v>
      </c>
      <c r="AB24" s="512">
        <v>7.257443</v>
      </c>
      <c r="AC24" s="513">
        <v>4.665077E-5</v>
      </c>
      <c r="AD24" s="511">
        <v>1.78798</v>
      </c>
      <c r="AE24" s="507">
        <v>0.10236401</v>
      </c>
      <c r="AF24" s="507">
        <v>0.04513267</v>
      </c>
      <c r="AG24" s="507">
        <v>0.66701032</v>
      </c>
      <c r="AH24" s="507">
        <v>2.5770457</v>
      </c>
      <c r="AI24" s="507">
        <v>1.15570967</v>
      </c>
      <c r="AJ24" s="507">
        <v>1.24917716</v>
      </c>
      <c r="AK24" s="507">
        <v>0.5639278</v>
      </c>
      <c r="AL24" s="508">
        <v>4.6788789</v>
      </c>
      <c r="AM24" s="507">
        <v>0.1856799</v>
      </c>
      <c r="AN24" s="508">
        <v>9.7185195</v>
      </c>
      <c r="AO24" s="507">
        <v>2.643732</v>
      </c>
      <c r="AP24" s="508">
        <v>7.4640228</v>
      </c>
      <c r="AQ24" s="507">
        <v>1.9006315</v>
      </c>
      <c r="AR24" s="507">
        <v>1.3631117</v>
      </c>
      <c r="AS24" s="508">
        <v>6.98360769</v>
      </c>
      <c r="AT24" s="507">
        <v>1.61629562</v>
      </c>
      <c r="AU24" s="507">
        <v>0.05310893</v>
      </c>
      <c r="AV24" s="510">
        <v>2.79166076</v>
      </c>
      <c r="AW24" s="507">
        <v>2.4602239</v>
      </c>
      <c r="AX24" s="507">
        <v>0.11535071</v>
      </c>
      <c r="AY24" s="507">
        <v>0.04459245</v>
      </c>
      <c r="AZ24" s="508">
        <v>6.6321523</v>
      </c>
      <c r="BA24" s="507">
        <v>0.695712</v>
      </c>
      <c r="BB24" s="507">
        <v>2.5222414</v>
      </c>
      <c r="BC24" s="507">
        <v>0.2358988</v>
      </c>
      <c r="BD24" s="507">
        <v>0.2396123</v>
      </c>
      <c r="BE24" s="507">
        <v>0.2684009</v>
      </c>
      <c r="BF24" s="507">
        <v>0.2839613</v>
      </c>
      <c r="BG24" s="507">
        <v>0.5805294</v>
      </c>
      <c r="BH24" s="507">
        <v>0.5363329</v>
      </c>
      <c r="BI24" s="507">
        <v>1.9794651</v>
      </c>
      <c r="BJ24" s="507">
        <v>0.4231086</v>
      </c>
      <c r="BK24" s="507">
        <v>1.8431596</v>
      </c>
      <c r="BL24" s="507">
        <v>2.1212592</v>
      </c>
      <c r="BM24" s="507">
        <v>0.6103452</v>
      </c>
    </row>
    <row r="25">
      <c r="A25" s="466" t="s">
        <v>1491</v>
      </c>
      <c r="B25" s="399"/>
      <c r="C25" s="399"/>
      <c r="D25" s="399"/>
      <c r="E25" s="399"/>
      <c r="F25" s="399"/>
      <c r="G25" s="399"/>
      <c r="H25" s="400"/>
      <c r="I25" s="353"/>
      <c r="J25" s="507">
        <f t="shared" ref="J25:BM25" si="70">if(J16&gt;J18,J24*1,J24*-1)</f>
        <v>0.4326987</v>
      </c>
      <c r="K25" s="507">
        <f t="shared" si="70"/>
        <v>-0.2152267</v>
      </c>
      <c r="L25" s="507">
        <f t="shared" si="70"/>
        <v>-0.5275197</v>
      </c>
      <c r="M25" s="508">
        <f t="shared" si="70"/>
        <v>4.7115666</v>
      </c>
      <c r="N25" s="507">
        <f t="shared" si="70"/>
        <v>-1.7765722</v>
      </c>
      <c r="O25" s="508">
        <f t="shared" si="70"/>
        <v>-4.1334186</v>
      </c>
      <c r="P25" s="507">
        <f t="shared" si="70"/>
        <v>-0.6230364</v>
      </c>
      <c r="Q25" s="507">
        <f t="shared" si="70"/>
        <v>0.84983419</v>
      </c>
      <c r="R25" s="507">
        <f t="shared" si="70"/>
        <v>2.40996337</v>
      </c>
      <c r="S25" s="507">
        <f t="shared" si="70"/>
        <v>-0.09687506</v>
      </c>
      <c r="T25" s="507">
        <f t="shared" si="70"/>
        <v>-0.10919425</v>
      </c>
      <c r="U25" s="508">
        <f t="shared" si="70"/>
        <v>-4.37339471</v>
      </c>
      <c r="V25" s="507">
        <f t="shared" si="70"/>
        <v>-0.04059792</v>
      </c>
      <c r="W25" s="507">
        <f t="shared" si="70"/>
        <v>-0.46559326</v>
      </c>
      <c r="X25" s="507">
        <f t="shared" si="70"/>
        <v>0.2794483</v>
      </c>
      <c r="Y25" s="507">
        <f t="shared" si="70"/>
        <v>1.218103</v>
      </c>
      <c r="Z25" s="507">
        <f t="shared" si="70"/>
        <v>-0.01577724</v>
      </c>
      <c r="AA25" s="508">
        <f t="shared" si="70"/>
        <v>4.567697</v>
      </c>
      <c r="AB25" s="508">
        <f t="shared" si="70"/>
        <v>-7.257443</v>
      </c>
      <c r="AC25" s="507">
        <f t="shared" si="70"/>
        <v>-0.00004665077</v>
      </c>
      <c r="AD25" s="507">
        <f t="shared" si="70"/>
        <v>-1.78798</v>
      </c>
      <c r="AE25" s="507">
        <f t="shared" si="70"/>
        <v>-0.10236401</v>
      </c>
      <c r="AF25" s="507">
        <f t="shared" si="70"/>
        <v>-0.04513267</v>
      </c>
      <c r="AG25" s="507">
        <f t="shared" si="70"/>
        <v>0.66701032</v>
      </c>
      <c r="AH25" s="507">
        <f t="shared" si="70"/>
        <v>-2.5770457</v>
      </c>
      <c r="AI25" s="507">
        <f t="shared" si="70"/>
        <v>-1.15570967</v>
      </c>
      <c r="AJ25" s="507">
        <f t="shared" si="70"/>
        <v>-1.24917716</v>
      </c>
      <c r="AK25" s="507">
        <f t="shared" si="70"/>
        <v>0.5639278</v>
      </c>
      <c r="AL25" s="508">
        <f t="shared" si="70"/>
        <v>4.6788789</v>
      </c>
      <c r="AM25" s="507">
        <f t="shared" si="70"/>
        <v>-0.1856799</v>
      </c>
      <c r="AN25" s="508">
        <f t="shared" si="70"/>
        <v>9.7185195</v>
      </c>
      <c r="AO25" s="507">
        <f t="shared" si="70"/>
        <v>-2.643732</v>
      </c>
      <c r="AP25" s="508">
        <f t="shared" si="70"/>
        <v>-7.4640228</v>
      </c>
      <c r="AQ25" s="507">
        <f t="shared" si="70"/>
        <v>-1.9006315</v>
      </c>
      <c r="AR25" s="507">
        <f t="shared" si="70"/>
        <v>-1.3631117</v>
      </c>
      <c r="AS25" s="508">
        <f t="shared" si="70"/>
        <v>6.98360769</v>
      </c>
      <c r="AT25" s="507">
        <f t="shared" si="70"/>
        <v>-1.61629562</v>
      </c>
      <c r="AU25" s="507">
        <f t="shared" si="70"/>
        <v>-0.05310893</v>
      </c>
      <c r="AV25" s="510">
        <f t="shared" si="70"/>
        <v>2.79166076</v>
      </c>
      <c r="AW25" s="507">
        <f t="shared" si="70"/>
        <v>-2.4602239</v>
      </c>
      <c r="AX25" s="507">
        <f t="shared" si="70"/>
        <v>-0.11535071</v>
      </c>
      <c r="AY25" s="507">
        <f t="shared" si="70"/>
        <v>-0.04459245</v>
      </c>
      <c r="AZ25" s="508">
        <f t="shared" si="70"/>
        <v>-6.6321523</v>
      </c>
      <c r="BA25" s="507">
        <f t="shared" si="70"/>
        <v>0.695712</v>
      </c>
      <c r="BB25" s="507">
        <f t="shared" si="70"/>
        <v>2.5222414</v>
      </c>
      <c r="BC25" s="507">
        <f t="shared" si="70"/>
        <v>-0.2358988</v>
      </c>
      <c r="BD25" s="507">
        <f t="shared" si="70"/>
        <v>-0.2396123</v>
      </c>
      <c r="BE25" s="507">
        <f t="shared" si="70"/>
        <v>-0.2684009</v>
      </c>
      <c r="BF25" s="507">
        <f t="shared" si="70"/>
        <v>-0.2839613</v>
      </c>
      <c r="BG25" s="507">
        <f t="shared" si="70"/>
        <v>-0.5805294</v>
      </c>
      <c r="BH25" s="507">
        <f t="shared" si="70"/>
        <v>-0.5363329</v>
      </c>
      <c r="BI25" s="507">
        <f t="shared" si="70"/>
        <v>-1.9794651</v>
      </c>
      <c r="BJ25" s="507">
        <f t="shared" si="70"/>
        <v>0.4231086</v>
      </c>
      <c r="BK25" s="507">
        <f t="shared" si="70"/>
        <v>-1.8431596</v>
      </c>
      <c r="BL25" s="507">
        <f t="shared" si="70"/>
        <v>2.1212592</v>
      </c>
      <c r="BM25" s="507">
        <f t="shared" si="70"/>
        <v>-0.6103452</v>
      </c>
    </row>
    <row r="26">
      <c r="A26" s="466" t="s">
        <v>1492</v>
      </c>
      <c r="B26" s="399"/>
      <c r="C26" s="399"/>
      <c r="D26" s="399"/>
      <c r="E26" s="399"/>
      <c r="F26" s="399"/>
      <c r="G26" s="399"/>
      <c r="H26" s="400"/>
      <c r="I26" s="353"/>
      <c r="J26" s="507">
        <v>0.51066769</v>
      </c>
      <c r="K26" s="507">
        <v>0.64270128</v>
      </c>
      <c r="L26" s="507">
        <v>0.46765151</v>
      </c>
      <c r="M26" s="508">
        <v>0.02996034</v>
      </c>
      <c r="N26" s="507">
        <v>0.18257081</v>
      </c>
      <c r="O26" s="508">
        <v>0.04204433</v>
      </c>
      <c r="P26" s="507">
        <v>0.42992118</v>
      </c>
      <c r="Q26" s="507">
        <v>0.3565993</v>
      </c>
      <c r="R26" s="507">
        <v>0.1205652</v>
      </c>
      <c r="S26" s="507">
        <v>0.7556124</v>
      </c>
      <c r="T26" s="507">
        <v>0.7410633</v>
      </c>
      <c r="U26" s="508">
        <v>0.0365042</v>
      </c>
      <c r="V26" s="507">
        <v>0.840316</v>
      </c>
      <c r="W26" s="507">
        <v>0.4950215</v>
      </c>
      <c r="X26" s="507">
        <v>0.597063047</v>
      </c>
      <c r="Y26" s="507">
        <v>0.269733221</v>
      </c>
      <c r="Z26" s="507">
        <v>0.900042627</v>
      </c>
      <c r="AA26" s="508">
        <v>0.032580342</v>
      </c>
      <c r="AB26" s="508">
        <v>0.007060775</v>
      </c>
      <c r="AC26" s="507">
        <v>0.994550382</v>
      </c>
      <c r="AD26" s="507">
        <v>0.181172472</v>
      </c>
      <c r="AE26" s="507">
        <v>0.749011</v>
      </c>
      <c r="AF26" s="507">
        <v>0.8317603</v>
      </c>
      <c r="AG26" s="507">
        <v>0.4140959</v>
      </c>
      <c r="AH26" s="507">
        <v>0.1084239</v>
      </c>
      <c r="AI26" s="507">
        <v>0.2823571</v>
      </c>
      <c r="AJ26" s="507">
        <v>0.2637097</v>
      </c>
      <c r="AK26" s="507">
        <v>0.452682</v>
      </c>
      <c r="AL26" s="508">
        <v>0.030535671</v>
      </c>
      <c r="AM26" s="507">
        <v>0.666536754</v>
      </c>
      <c r="AN26" s="508">
        <v>0.001824204</v>
      </c>
      <c r="AO26" s="507">
        <v>0.103959076</v>
      </c>
      <c r="AP26" s="508">
        <v>0.006294419</v>
      </c>
      <c r="AQ26" s="507">
        <v>0.168007653</v>
      </c>
      <c r="AR26" s="507">
        <v>0.242998925</v>
      </c>
      <c r="AS26" s="508">
        <v>0.008225962</v>
      </c>
      <c r="AT26" s="507">
        <v>0.203609086</v>
      </c>
      <c r="AU26" s="507">
        <v>0.817739204</v>
      </c>
      <c r="AV26" s="510">
        <v>0.094755978</v>
      </c>
      <c r="AW26" s="507">
        <v>0.116762137</v>
      </c>
      <c r="AX26" s="507">
        <v>0.734132774</v>
      </c>
      <c r="AY26" s="507">
        <v>0.832755204</v>
      </c>
      <c r="AZ26" s="508">
        <v>0.01001542</v>
      </c>
      <c r="BA26" s="507">
        <v>0.40422828</v>
      </c>
      <c r="BB26" s="507">
        <v>0.11225093</v>
      </c>
      <c r="BC26" s="507">
        <v>0.62718401</v>
      </c>
      <c r="BD26" s="507">
        <v>0.62448626</v>
      </c>
      <c r="BE26" s="507">
        <v>0.60440646</v>
      </c>
      <c r="BF26" s="507">
        <v>0.59411652</v>
      </c>
      <c r="BG26" s="507">
        <v>0.4461049</v>
      </c>
      <c r="BH26" s="507">
        <v>0.4639565</v>
      </c>
      <c r="BI26" s="507">
        <v>0.1594468</v>
      </c>
      <c r="BJ26" s="507">
        <v>0.51539</v>
      </c>
      <c r="BK26" s="507">
        <v>0.1745811</v>
      </c>
      <c r="BL26" s="507">
        <v>0.1452671</v>
      </c>
      <c r="BM26" s="507">
        <v>0.4346579</v>
      </c>
    </row>
    <row r="27">
      <c r="A27" s="466" t="s">
        <v>1567</v>
      </c>
      <c r="B27" s="399"/>
      <c r="C27" s="399"/>
      <c r="D27" s="399"/>
      <c r="E27" s="399"/>
      <c r="F27" s="399"/>
      <c r="G27" s="399"/>
      <c r="H27" s="400"/>
      <c r="I27" s="353"/>
      <c r="J27" s="506">
        <f>CHITEST(J16:P16,J18:P18)</f>
        <v>0.1398204487</v>
      </c>
      <c r="K27" s="506"/>
      <c r="L27" s="506"/>
      <c r="M27" s="506"/>
      <c r="N27" s="506"/>
      <c r="O27" s="506"/>
      <c r="P27" s="506"/>
      <c r="Q27" s="506">
        <f>chitest(Q16:W16,Q18:W18)</f>
        <v>0.329273536</v>
      </c>
      <c r="R27" s="506"/>
      <c r="S27" s="506"/>
      <c r="T27" s="506"/>
      <c r="U27" s="506"/>
      <c r="V27" s="506"/>
      <c r="W27" s="506"/>
      <c r="X27" s="514">
        <f>chitest(X16:AD16,X18:AD18)</f>
        <v>0.08079115985</v>
      </c>
      <c r="Y27" s="506"/>
      <c r="Z27" s="506"/>
      <c r="AA27" s="506"/>
      <c r="AB27" s="506"/>
      <c r="AC27" s="506"/>
      <c r="AD27" s="506"/>
      <c r="AE27" s="506">
        <f>chitest(AE16:AK16,AE18:AK18)</f>
        <v>0.4173097662</v>
      </c>
      <c r="AF27" s="506"/>
      <c r="AG27" s="506"/>
      <c r="AH27" s="506"/>
      <c r="AI27" s="506"/>
      <c r="AJ27" s="506"/>
      <c r="AK27" s="506"/>
      <c r="AL27" s="505">
        <f>chitest(AL16:AR16,AL18:AR18)</f>
        <v>0.001228332391</v>
      </c>
      <c r="AM27" s="506"/>
      <c r="AN27" s="506"/>
      <c r="AO27" s="506"/>
      <c r="AP27" s="506"/>
      <c r="AQ27" s="506"/>
      <c r="AR27" s="506"/>
      <c r="AS27" s="506">
        <f>chitest(AS16:AY16,AS18:AY18)</f>
        <v>0.01473705539</v>
      </c>
      <c r="AT27" s="506"/>
      <c r="AU27" s="506"/>
      <c r="AV27" s="506"/>
      <c r="AW27" s="506"/>
      <c r="AX27" s="506"/>
      <c r="AY27" s="506"/>
      <c r="AZ27" s="506">
        <f>chitest(AZ16:BF16,AZ18:BF18)</f>
        <v>0.1856466818</v>
      </c>
      <c r="BA27" s="506"/>
      <c r="BB27" s="506"/>
      <c r="BC27" s="506"/>
      <c r="BD27" s="506"/>
      <c r="BE27" s="506"/>
      <c r="BF27" s="506"/>
      <c r="BG27" s="506">
        <f>chitest(BG16:BM16,BG18:BM18)</f>
        <v>0.7330770522</v>
      </c>
      <c r="BH27" s="506"/>
      <c r="BI27" s="506"/>
      <c r="BJ27" s="506"/>
      <c r="BK27" s="506"/>
      <c r="BL27" s="506"/>
      <c r="BM27" s="506"/>
    </row>
    <row r="28">
      <c r="A28" s="466" t="s">
        <v>1568</v>
      </c>
      <c r="B28" s="399"/>
      <c r="C28" s="399"/>
      <c r="D28" s="399"/>
      <c r="E28" s="399"/>
      <c r="F28" s="399"/>
      <c r="G28" s="399"/>
      <c r="H28" s="400"/>
      <c r="I28" s="353"/>
      <c r="J28" s="506">
        <f t="shared" ref="J28:BM28" si="71">chitest(J16,J18)</f>
        <v>0.7412485974</v>
      </c>
      <c r="K28" s="506">
        <f t="shared" si="71"/>
        <v>0.8893216769</v>
      </c>
      <c r="L28" s="506">
        <f t="shared" si="71"/>
        <v>0.311913525</v>
      </c>
      <c r="M28" s="506">
        <f t="shared" si="71"/>
        <v>0.1313132083</v>
      </c>
      <c r="N28" s="514">
        <f t="shared" si="71"/>
        <v>0.08295805922</v>
      </c>
      <c r="O28" s="515">
        <f t="shared" si="71"/>
        <v>0.09485422745</v>
      </c>
      <c r="P28" s="506">
        <f t="shared" si="71"/>
        <v>0.5100327082</v>
      </c>
      <c r="Q28" s="506">
        <f t="shared" si="71"/>
        <v>0.5238909966</v>
      </c>
      <c r="R28" s="506">
        <f t="shared" si="71"/>
        <v>0.35015083</v>
      </c>
      <c r="S28" s="506">
        <f t="shared" si="71"/>
        <v>0.518459781</v>
      </c>
      <c r="T28" s="506">
        <f t="shared" si="71"/>
        <v>0.8414545362</v>
      </c>
      <c r="U28" s="506">
        <f t="shared" si="71"/>
        <v>0.02812343449</v>
      </c>
      <c r="V28" s="506">
        <f t="shared" si="71"/>
        <v>0.9042972016</v>
      </c>
      <c r="W28" s="506">
        <f t="shared" si="71"/>
        <v>0.5605749691</v>
      </c>
      <c r="X28" s="506">
        <f t="shared" si="71"/>
        <v>0.9189956307</v>
      </c>
      <c r="Y28" s="506">
        <f t="shared" si="71"/>
        <v>0.4885160711</v>
      </c>
      <c r="Z28" s="506">
        <f t="shared" si="71"/>
        <v>0.710976724</v>
      </c>
      <c r="AA28" s="505">
        <f t="shared" si="71"/>
        <v>0.2079237977</v>
      </c>
      <c r="AB28" s="505">
        <f t="shared" si="71"/>
        <v>0.005254919252</v>
      </c>
      <c r="AC28" s="506">
        <f t="shared" si="71"/>
        <v>0.6926742883</v>
      </c>
      <c r="AD28" s="506">
        <f t="shared" si="71"/>
        <v>0.2950208455</v>
      </c>
      <c r="AE28" s="506">
        <f t="shared" si="71"/>
        <v>0.5253027459</v>
      </c>
      <c r="AF28" s="506">
        <f t="shared" si="71"/>
        <v>0.5955844525</v>
      </c>
      <c r="AG28" s="506">
        <f t="shared" si="71"/>
        <v>0.9028199516</v>
      </c>
      <c r="AH28" s="514">
        <f t="shared" si="71"/>
        <v>0.06918574556</v>
      </c>
      <c r="AI28" s="506">
        <f t="shared" si="71"/>
        <v>0.9736129241</v>
      </c>
      <c r="AJ28" s="506">
        <f t="shared" si="71"/>
        <v>0.2096753324</v>
      </c>
      <c r="AK28" s="506">
        <f t="shared" si="71"/>
        <v>0.4904012867</v>
      </c>
      <c r="AL28" s="514">
        <f t="shared" si="71"/>
        <v>0.1004050957</v>
      </c>
      <c r="AM28" s="506">
        <f t="shared" si="71"/>
        <v>0.972884202</v>
      </c>
      <c r="AN28" s="505">
        <f t="shared" si="71"/>
        <v>0.04214531949</v>
      </c>
      <c r="AO28" s="514">
        <f t="shared" si="71"/>
        <v>0.06759676145</v>
      </c>
      <c r="AP28" s="505">
        <f t="shared" si="71"/>
        <v>0.003559879701</v>
      </c>
      <c r="AQ28" s="506">
        <f t="shared" si="71"/>
        <v>0.1204436057</v>
      </c>
      <c r="AR28" s="506">
        <f t="shared" si="71"/>
        <v>0.3459105485</v>
      </c>
      <c r="AS28" s="506">
        <f t="shared" si="71"/>
        <v>0.005774316491</v>
      </c>
      <c r="AT28" s="506">
        <f t="shared" si="71"/>
        <v>0.1435610596</v>
      </c>
      <c r="AU28" s="506">
        <f t="shared" si="71"/>
        <v>0.3781575774</v>
      </c>
      <c r="AV28" s="506">
        <f t="shared" si="71"/>
        <v>0.3102747305</v>
      </c>
      <c r="AW28" s="506">
        <f t="shared" si="71"/>
        <v>0.05784336057</v>
      </c>
      <c r="AX28" s="506">
        <f t="shared" si="71"/>
        <v>0.4669242254</v>
      </c>
      <c r="AY28" s="506">
        <f t="shared" si="71"/>
        <v>0.717949578</v>
      </c>
      <c r="AZ28" s="506">
        <f t="shared" si="71"/>
        <v>0.01948639605</v>
      </c>
      <c r="BA28" s="506">
        <f t="shared" si="71"/>
        <v>0.6722508273</v>
      </c>
      <c r="BB28" s="506">
        <f t="shared" si="71"/>
        <v>0.4511522618</v>
      </c>
      <c r="BC28" s="506">
        <f t="shared" si="71"/>
        <v>0.3631701565</v>
      </c>
      <c r="BD28" s="506">
        <f t="shared" si="71"/>
        <v>0.2840521016</v>
      </c>
      <c r="BE28" s="506">
        <f t="shared" si="71"/>
        <v>0.5523296178</v>
      </c>
      <c r="BF28" s="506">
        <f t="shared" si="71"/>
        <v>0.6102618424</v>
      </c>
      <c r="BG28" s="506">
        <f t="shared" si="71"/>
        <v>0.6804450779</v>
      </c>
      <c r="BH28" s="506">
        <f t="shared" si="71"/>
        <v>0.6911985537</v>
      </c>
      <c r="BI28" s="506">
        <f t="shared" si="71"/>
        <v>0.4932504294</v>
      </c>
      <c r="BJ28" s="506">
        <f t="shared" si="71"/>
        <v>0.1419760342</v>
      </c>
      <c r="BK28" s="506">
        <f t="shared" si="71"/>
        <v>0.5043556724</v>
      </c>
      <c r="BL28" s="506">
        <f t="shared" si="71"/>
        <v>0.9429622051</v>
      </c>
      <c r="BM28" s="506">
        <f t="shared" si="71"/>
        <v>0.6735177449</v>
      </c>
    </row>
    <row r="29">
      <c r="A29" s="466" t="s">
        <v>1569</v>
      </c>
      <c r="B29" s="399"/>
      <c r="C29" s="399"/>
      <c r="D29" s="399"/>
      <c r="E29" s="399"/>
      <c r="F29" s="399"/>
      <c r="G29" s="399"/>
      <c r="H29" s="400"/>
      <c r="I29" s="353"/>
      <c r="J29" s="516">
        <f>sum(J16:P16)/sum($J$16:$BM$16)</f>
        <v>0.09935897436</v>
      </c>
      <c r="K29" s="516"/>
      <c r="L29" s="516"/>
      <c r="M29" s="516"/>
      <c r="N29" s="516"/>
      <c r="O29" s="506"/>
      <c r="P29" s="506"/>
      <c r="Q29" s="516">
        <f>sum(Q16:W16)/sum($J$16:$BM$16)</f>
        <v>0.07692307692</v>
      </c>
      <c r="R29" s="506"/>
      <c r="S29" s="506"/>
      <c r="T29" s="506"/>
      <c r="U29" s="506"/>
      <c r="V29" s="506"/>
      <c r="W29" s="506"/>
      <c r="X29" s="516">
        <f>sum(X16:AD16)/sum($J$16:$BM$16)</f>
        <v>0.233974359</v>
      </c>
      <c r="Y29" s="506"/>
      <c r="Z29" s="506"/>
      <c r="AA29" s="506"/>
      <c r="AB29" s="506"/>
      <c r="AC29" s="506"/>
      <c r="AD29" s="506"/>
      <c r="AE29" s="516">
        <f>sum(AE16:AK16)/sum($J$16:$BM$16)</f>
        <v>0.1121794872</v>
      </c>
      <c r="AF29" s="506"/>
      <c r="AG29" s="506"/>
      <c r="AH29" s="506"/>
      <c r="AI29" s="506"/>
      <c r="AJ29" s="506"/>
      <c r="AK29" s="506"/>
      <c r="AL29" s="516">
        <f>sum(AL16:AR16)/sum($J$16:$BM$16)</f>
        <v>0.1858974359</v>
      </c>
      <c r="AM29" s="506"/>
      <c r="AN29" s="506"/>
      <c r="AO29" s="506"/>
      <c r="AP29" s="506"/>
      <c r="AQ29" s="506"/>
      <c r="AR29" s="506"/>
      <c r="AS29" s="516">
        <f>sum(AS16:AY16)/sum($J$16:$BM$16)</f>
        <v>0.2275641026</v>
      </c>
      <c r="AT29" s="506"/>
      <c r="AU29" s="506"/>
      <c r="AV29" s="506"/>
      <c r="AW29" s="506"/>
      <c r="AX29" s="506"/>
      <c r="AY29" s="506"/>
      <c r="AZ29" s="516">
        <f>sum(AZ16:BF16)/sum($J$16:$BM$16)</f>
        <v>0.05769230769</v>
      </c>
      <c r="BA29" s="506"/>
      <c r="BB29" s="506"/>
      <c r="BC29" s="506"/>
      <c r="BD29" s="506"/>
      <c r="BE29" s="506"/>
      <c r="BF29" s="506"/>
      <c r="BG29" s="516">
        <f>sum(BG16:BM16)/sum($J$16:$BM$16)</f>
        <v>0.00641025641</v>
      </c>
      <c r="BH29" s="506"/>
      <c r="BI29" s="506"/>
      <c r="BJ29" s="506"/>
      <c r="BK29" s="506"/>
      <c r="BL29" s="506"/>
      <c r="BM29" s="506"/>
    </row>
    <row r="30">
      <c r="A30" s="466" t="s">
        <v>1570</v>
      </c>
      <c r="B30" s="399"/>
      <c r="C30" s="399"/>
      <c r="D30" s="399"/>
      <c r="E30" s="399"/>
      <c r="F30" s="399"/>
      <c r="G30" s="399"/>
      <c r="H30" s="400"/>
      <c r="I30" s="353"/>
      <c r="J30" s="516">
        <v>0.093576375</v>
      </c>
      <c r="K30" s="516">
        <v>0.132754072</v>
      </c>
      <c r="L30" s="516">
        <v>0.119046481</v>
      </c>
      <c r="M30" s="516">
        <v>0.094485948</v>
      </c>
      <c r="N30" s="516">
        <v>0.113842067</v>
      </c>
      <c r="O30" s="506"/>
      <c r="P30" s="506"/>
      <c r="Q30" s="506">
        <f>J30</f>
        <v>0.093576375</v>
      </c>
      <c r="R30" s="516">
        <v>0.127417845</v>
      </c>
      <c r="S30" s="516">
        <v>0.119800592</v>
      </c>
      <c r="T30" s="516">
        <v>0.069170507</v>
      </c>
      <c r="U30" s="516">
        <v>0.117149808</v>
      </c>
      <c r="V30" s="506"/>
      <c r="W30" s="506"/>
      <c r="X30" s="506">
        <f>K30</f>
        <v>0.132754072</v>
      </c>
      <c r="Y30" s="506">
        <f>R30</f>
        <v>0.127417845</v>
      </c>
      <c r="Z30" s="516">
        <v>0.139073207</v>
      </c>
      <c r="AA30" s="516">
        <v>0.127087183</v>
      </c>
      <c r="AB30" s="516">
        <v>0.132499419</v>
      </c>
      <c r="AC30" s="506"/>
      <c r="AD30" s="506"/>
      <c r="AE30" s="506">
        <f>L30</f>
        <v>0.119046481</v>
      </c>
      <c r="AF30" s="506">
        <f>S30</f>
        <v>0.119800592</v>
      </c>
      <c r="AG30" s="506">
        <f>Z30</f>
        <v>0.139073207</v>
      </c>
      <c r="AH30" s="516">
        <v>0.120082535</v>
      </c>
      <c r="AI30" s="516">
        <v>0.11648931</v>
      </c>
      <c r="AJ30" s="506"/>
      <c r="AK30" s="506"/>
      <c r="AL30" s="506">
        <f>M30</f>
        <v>0.094485948</v>
      </c>
      <c r="AM30" s="506">
        <f>T30</f>
        <v>0.069170507</v>
      </c>
      <c r="AN30" s="506">
        <f>AA30</f>
        <v>0.127087183</v>
      </c>
      <c r="AO30" s="506">
        <f>AH30</f>
        <v>0.120082535</v>
      </c>
      <c r="AP30" s="516">
        <v>0.119967925</v>
      </c>
      <c r="AQ30" s="506"/>
      <c r="AR30" s="506"/>
      <c r="AS30" s="506">
        <f>N30</f>
        <v>0.113842067</v>
      </c>
      <c r="AT30" s="506">
        <f>U30</f>
        <v>0.117149808</v>
      </c>
      <c r="AU30" s="506">
        <f>AB30</f>
        <v>0.132499419</v>
      </c>
      <c r="AV30" s="506">
        <f>AI30</f>
        <v>0.11648931</v>
      </c>
      <c r="AW30" s="506">
        <f>AP30</f>
        <v>0.119967925</v>
      </c>
      <c r="AX30" s="506"/>
      <c r="AY30" s="506"/>
      <c r="AZ30" s="506"/>
      <c r="BA30" s="506"/>
      <c r="BB30" s="506"/>
      <c r="BC30" s="506"/>
      <c r="BD30" s="506"/>
      <c r="BE30" s="506"/>
      <c r="BF30" s="506"/>
      <c r="BG30" s="506"/>
      <c r="BH30" s="506"/>
      <c r="BI30" s="506"/>
      <c r="BJ30" s="506"/>
      <c r="BK30" s="506"/>
      <c r="BL30" s="506"/>
      <c r="BM30" s="506"/>
    </row>
    <row r="31">
      <c r="A31" s="466" t="s">
        <v>1571</v>
      </c>
      <c r="B31" s="399"/>
      <c r="C31" s="399"/>
      <c r="D31" s="399"/>
      <c r="E31" s="399"/>
      <c r="F31" s="399"/>
      <c r="G31" s="399"/>
      <c r="H31" s="400"/>
      <c r="I31" s="353"/>
      <c r="J31" s="516">
        <f t="shared" ref="J31:P31" si="72">C65</f>
        <v>0.75</v>
      </c>
      <c r="K31" s="516">
        <f t="shared" si="72"/>
        <v>0.2608695652</v>
      </c>
      <c r="L31" s="516">
        <f t="shared" si="72"/>
        <v>0.4</v>
      </c>
      <c r="M31" s="516">
        <f t="shared" si="72"/>
        <v>0.2181818182</v>
      </c>
      <c r="N31" s="516">
        <f t="shared" si="72"/>
        <v>0.07272727273</v>
      </c>
      <c r="O31" s="516">
        <f t="shared" si="72"/>
        <v>0.4444444444</v>
      </c>
      <c r="P31" s="516">
        <f t="shared" si="72"/>
        <v>2.4</v>
      </c>
      <c r="Q31" s="506">
        <f>B66</f>
        <v>1.333333333</v>
      </c>
      <c r="R31" s="506">
        <f t="shared" ref="R31:W31" si="73">D66</f>
        <v>0.347826087</v>
      </c>
      <c r="S31" s="506">
        <f t="shared" si="73"/>
        <v>0.5333333333</v>
      </c>
      <c r="T31" s="506">
        <f t="shared" si="73"/>
        <v>0.2909090909</v>
      </c>
      <c r="U31" s="506">
        <f t="shared" si="73"/>
        <v>0.09696969697</v>
      </c>
      <c r="V31" s="506">
        <f t="shared" si="73"/>
        <v>0.5925925926</v>
      </c>
      <c r="W31" s="506">
        <f t="shared" si="73"/>
        <v>3.2</v>
      </c>
      <c r="X31" s="506">
        <f t="shared" ref="X31:Y31" si="74">B67</f>
        <v>3.833333333</v>
      </c>
      <c r="Y31" s="506">
        <f t="shared" si="74"/>
        <v>2.875</v>
      </c>
      <c r="Z31" s="506">
        <f t="shared" ref="Z31:AD31" si="75">E67</f>
        <v>1.533333333</v>
      </c>
      <c r="AA31" s="506">
        <f t="shared" si="75"/>
        <v>0.8363636364</v>
      </c>
      <c r="AB31" s="506">
        <f t="shared" si="75"/>
        <v>0.2787878788</v>
      </c>
      <c r="AC31" s="506">
        <f t="shared" si="75"/>
        <v>1.703703704</v>
      </c>
      <c r="AD31" s="506">
        <f t="shared" si="75"/>
        <v>9.2</v>
      </c>
      <c r="AE31" s="506">
        <f t="shared" ref="AE31:AG31" si="76">B68</f>
        <v>2.5</v>
      </c>
      <c r="AF31" s="506">
        <f t="shared" si="76"/>
        <v>1.875</v>
      </c>
      <c r="AG31" s="506">
        <f t="shared" si="76"/>
        <v>0.652173913</v>
      </c>
      <c r="AH31" s="506">
        <f t="shared" ref="AH31:AK31" si="77">F68</f>
        <v>0.5454545455</v>
      </c>
      <c r="AI31" s="506">
        <f t="shared" si="77"/>
        <v>0.1818181818</v>
      </c>
      <c r="AJ31" s="506">
        <f t="shared" si="77"/>
        <v>1.111111111</v>
      </c>
      <c r="AK31" s="506">
        <f t="shared" si="77"/>
        <v>6</v>
      </c>
      <c r="AL31" s="506">
        <f t="shared" ref="AL31:AO31" si="78">B69</f>
        <v>4.583333333</v>
      </c>
      <c r="AM31" s="506">
        <f t="shared" si="78"/>
        <v>3.4375</v>
      </c>
      <c r="AN31" s="506">
        <f t="shared" si="78"/>
        <v>1.195652174</v>
      </c>
      <c r="AO31" s="506">
        <f t="shared" si="78"/>
        <v>1.833333333</v>
      </c>
      <c r="AP31" s="506">
        <f t="shared" ref="AP31:AR31" si="79">G69</f>
        <v>0.3333333333</v>
      </c>
      <c r="AQ31" s="506">
        <f t="shared" si="79"/>
        <v>2.037037037</v>
      </c>
      <c r="AR31" s="506">
        <f t="shared" si="79"/>
        <v>11</v>
      </c>
      <c r="AS31" s="506">
        <f t="shared" ref="AS31:AW31" si="80">B70</f>
        <v>13.75</v>
      </c>
      <c r="AT31" s="506">
        <f t="shared" si="80"/>
        <v>10.3125</v>
      </c>
      <c r="AU31" s="506">
        <f t="shared" si="80"/>
        <v>3.586956522</v>
      </c>
      <c r="AV31" s="506">
        <f t="shared" si="80"/>
        <v>5.5</v>
      </c>
      <c r="AW31" s="506">
        <f t="shared" si="80"/>
        <v>3</v>
      </c>
      <c r="AX31" s="506">
        <f t="shared" ref="AX31:AY31" si="81">H70</f>
        <v>6.111111111</v>
      </c>
      <c r="AY31" s="506">
        <f t="shared" si="81"/>
        <v>33</v>
      </c>
      <c r="AZ31" s="506">
        <f t="shared" ref="AZ31:BE31" si="82">B71</f>
        <v>2.25</v>
      </c>
      <c r="BA31" s="506">
        <f t="shared" si="82"/>
        <v>1.6875</v>
      </c>
      <c r="BB31" s="506">
        <f t="shared" si="82"/>
        <v>0.5869565217</v>
      </c>
      <c r="BC31" s="506">
        <f t="shared" si="82"/>
        <v>0.9</v>
      </c>
      <c r="BD31" s="506">
        <f t="shared" si="82"/>
        <v>0.4909090909</v>
      </c>
      <c r="BE31" s="506">
        <f t="shared" si="82"/>
        <v>0.1636363636</v>
      </c>
      <c r="BF31" s="506">
        <f>I71</f>
        <v>5.4</v>
      </c>
      <c r="BG31" s="506">
        <f t="shared" ref="BG31:BM31" si="83">B72</f>
        <v>0.4166666667</v>
      </c>
      <c r="BH31" s="506">
        <f t="shared" si="83"/>
        <v>0.3125</v>
      </c>
      <c r="BI31" s="506">
        <f t="shared" si="83"/>
        <v>0.1086956522</v>
      </c>
      <c r="BJ31" s="506">
        <f t="shared" si="83"/>
        <v>0.1666666667</v>
      </c>
      <c r="BK31" s="506">
        <f t="shared" si="83"/>
        <v>0.09090909091</v>
      </c>
      <c r="BL31" s="506">
        <f t="shared" si="83"/>
        <v>0.0303030303</v>
      </c>
      <c r="BM31" s="506">
        <f t="shared" si="83"/>
        <v>0.1851851852</v>
      </c>
    </row>
    <row r="32">
      <c r="A32" s="466" t="s">
        <v>1572</v>
      </c>
      <c r="B32" s="399"/>
      <c r="E32" s="399"/>
      <c r="F32" s="399"/>
      <c r="G32" s="399"/>
      <c r="H32" s="400"/>
      <c r="I32" s="353"/>
      <c r="J32" s="516">
        <f t="shared" ref="J32:BM32" si="84">abs(ln(J31))</f>
        <v>0.2876820725</v>
      </c>
      <c r="K32" s="516">
        <f t="shared" si="84"/>
        <v>1.343734747</v>
      </c>
      <c r="L32" s="516">
        <f t="shared" si="84"/>
        <v>0.9162907319</v>
      </c>
      <c r="M32" s="516">
        <f t="shared" si="84"/>
        <v>1.522426535</v>
      </c>
      <c r="N32" s="516">
        <f t="shared" si="84"/>
        <v>2.621038824</v>
      </c>
      <c r="O32" s="516">
        <f t="shared" si="84"/>
        <v>0.8109302162</v>
      </c>
      <c r="P32" s="516">
        <f t="shared" si="84"/>
        <v>0.8754687374</v>
      </c>
      <c r="Q32" s="516">
        <f t="shared" si="84"/>
        <v>0.2876820725</v>
      </c>
      <c r="R32" s="516">
        <f t="shared" si="84"/>
        <v>1.056052674</v>
      </c>
      <c r="S32" s="516">
        <f t="shared" si="84"/>
        <v>0.6286086594</v>
      </c>
      <c r="T32" s="516">
        <f t="shared" si="84"/>
        <v>1.234744463</v>
      </c>
      <c r="U32" s="516">
        <f t="shared" si="84"/>
        <v>2.333356752</v>
      </c>
      <c r="V32" s="516">
        <f t="shared" si="84"/>
        <v>0.5232481438</v>
      </c>
      <c r="W32" s="516">
        <f t="shared" si="84"/>
        <v>1.16315081</v>
      </c>
      <c r="X32" s="516">
        <f t="shared" si="84"/>
        <v>1.343734747</v>
      </c>
      <c r="Y32" s="516">
        <f t="shared" si="84"/>
        <v>1.056052674</v>
      </c>
      <c r="Z32" s="516">
        <f t="shared" si="84"/>
        <v>0.4274440148</v>
      </c>
      <c r="AA32" s="516">
        <f t="shared" si="84"/>
        <v>0.1786917887</v>
      </c>
      <c r="AB32" s="516">
        <f t="shared" si="84"/>
        <v>1.277304077</v>
      </c>
      <c r="AC32" s="516">
        <f t="shared" si="84"/>
        <v>0.5328045305</v>
      </c>
      <c r="AD32" s="516">
        <f t="shared" si="84"/>
        <v>2.219203484</v>
      </c>
      <c r="AE32" s="516">
        <f t="shared" si="84"/>
        <v>0.9162907319</v>
      </c>
      <c r="AF32" s="516">
        <f t="shared" si="84"/>
        <v>0.6286086594</v>
      </c>
      <c r="AG32" s="516">
        <f t="shared" si="84"/>
        <v>0.4274440148</v>
      </c>
      <c r="AH32" s="516">
        <f t="shared" si="84"/>
        <v>0.6061358036</v>
      </c>
      <c r="AI32" s="516">
        <f t="shared" si="84"/>
        <v>1.704748092</v>
      </c>
      <c r="AJ32" s="516">
        <f t="shared" si="84"/>
        <v>0.1053605157</v>
      </c>
      <c r="AK32" s="516">
        <f t="shared" si="84"/>
        <v>1.791759469</v>
      </c>
      <c r="AL32" s="516">
        <f t="shared" si="84"/>
        <v>1.522426535</v>
      </c>
      <c r="AM32" s="516">
        <f t="shared" si="84"/>
        <v>1.234744463</v>
      </c>
      <c r="AN32" s="516">
        <f t="shared" si="84"/>
        <v>0.1786917887</v>
      </c>
      <c r="AO32" s="516">
        <f t="shared" si="84"/>
        <v>0.6061358036</v>
      </c>
      <c r="AP32" s="516">
        <f t="shared" si="84"/>
        <v>1.098612289</v>
      </c>
      <c r="AQ32" s="516">
        <f t="shared" si="84"/>
        <v>0.7114963192</v>
      </c>
      <c r="AR32" s="516">
        <f t="shared" si="84"/>
        <v>2.397895273</v>
      </c>
      <c r="AS32" s="516">
        <f t="shared" si="84"/>
        <v>2.621038824</v>
      </c>
      <c r="AT32" s="516">
        <f t="shared" si="84"/>
        <v>2.333356752</v>
      </c>
      <c r="AU32" s="516">
        <f t="shared" si="84"/>
        <v>1.277304077</v>
      </c>
      <c r="AV32" s="516">
        <f t="shared" si="84"/>
        <v>1.704748092</v>
      </c>
      <c r="AW32" s="516">
        <f t="shared" si="84"/>
        <v>1.098612289</v>
      </c>
      <c r="AX32" s="516">
        <f t="shared" si="84"/>
        <v>1.810108608</v>
      </c>
      <c r="AY32" s="516">
        <f t="shared" si="84"/>
        <v>3.496507561</v>
      </c>
      <c r="AZ32" s="516">
        <f t="shared" si="84"/>
        <v>0.8109302162</v>
      </c>
      <c r="BA32" s="516">
        <f t="shared" si="84"/>
        <v>0.5232481438</v>
      </c>
      <c r="BB32" s="516">
        <f t="shared" si="84"/>
        <v>0.5328045305</v>
      </c>
      <c r="BC32" s="516">
        <f t="shared" si="84"/>
        <v>0.1053605157</v>
      </c>
      <c r="BD32" s="516">
        <f t="shared" si="84"/>
        <v>0.7114963192</v>
      </c>
      <c r="BE32" s="516">
        <f t="shared" si="84"/>
        <v>1.810108608</v>
      </c>
      <c r="BF32" s="516">
        <f t="shared" si="84"/>
        <v>1.686398954</v>
      </c>
      <c r="BG32" s="516">
        <f t="shared" si="84"/>
        <v>0.8754687374</v>
      </c>
      <c r="BH32" s="516">
        <f t="shared" si="84"/>
        <v>1.16315081</v>
      </c>
      <c r="BI32" s="516">
        <f t="shared" si="84"/>
        <v>2.219203484</v>
      </c>
      <c r="BJ32" s="516">
        <f t="shared" si="84"/>
        <v>1.791759469</v>
      </c>
      <c r="BK32" s="516">
        <f t="shared" si="84"/>
        <v>2.397895273</v>
      </c>
      <c r="BL32" s="516">
        <f t="shared" si="84"/>
        <v>3.496507561</v>
      </c>
      <c r="BM32" s="516">
        <f t="shared" si="84"/>
        <v>1.686398954</v>
      </c>
    </row>
    <row r="33">
      <c r="A33" s="466" t="s">
        <v>1573</v>
      </c>
      <c r="B33" s="399"/>
      <c r="E33" s="399"/>
      <c r="F33" s="399"/>
      <c r="G33" s="399"/>
      <c r="H33" s="400"/>
      <c r="I33" s="353"/>
      <c r="J33" s="516">
        <f t="shared" ref="J33:P33" si="85">C75</f>
        <v>0.9583333333</v>
      </c>
      <c r="K33" s="516">
        <f t="shared" si="85"/>
        <v>0.2929936306</v>
      </c>
      <c r="L33" s="516">
        <f t="shared" si="85"/>
        <v>0.4791666667</v>
      </c>
      <c r="M33" s="516">
        <f t="shared" si="85"/>
        <v>0.2395833333</v>
      </c>
      <c r="N33" s="516">
        <f t="shared" si="85"/>
        <v>0.1050228311</v>
      </c>
      <c r="O33" s="516">
        <f t="shared" si="85"/>
        <v>1</v>
      </c>
      <c r="P33" s="516">
        <f t="shared" si="85"/>
        <v>5.75</v>
      </c>
      <c r="Q33" s="506">
        <f>B76</f>
        <v>1.043478261</v>
      </c>
      <c r="R33" s="506">
        <f t="shared" ref="R33:W33" si="86">D76</f>
        <v>0.3057324841</v>
      </c>
      <c r="S33" s="506">
        <f t="shared" si="86"/>
        <v>0.5</v>
      </c>
      <c r="T33" s="506">
        <f t="shared" si="86"/>
        <v>0.25</v>
      </c>
      <c r="U33" s="506">
        <f t="shared" si="86"/>
        <v>0.1095890411</v>
      </c>
      <c r="V33" s="506">
        <f t="shared" si="86"/>
        <v>1.043478261</v>
      </c>
      <c r="W33" s="506">
        <f t="shared" si="86"/>
        <v>6</v>
      </c>
      <c r="X33" s="506">
        <f t="shared" ref="X33:Y33" si="87">B77</f>
        <v>3.413043478</v>
      </c>
      <c r="Y33" s="506">
        <f t="shared" si="87"/>
        <v>3.270833333</v>
      </c>
      <c r="Z33" s="506">
        <f t="shared" ref="Z33:AD33" si="88">E77</f>
        <v>1.635416667</v>
      </c>
      <c r="AA33" s="506">
        <f t="shared" si="88"/>
        <v>0.8177083333</v>
      </c>
      <c r="AB33" s="506">
        <f t="shared" si="88"/>
        <v>0.3584474886</v>
      </c>
      <c r="AC33" s="506">
        <f t="shared" si="88"/>
        <v>3.413043478</v>
      </c>
      <c r="AD33" s="506">
        <f t="shared" si="88"/>
        <v>19.625</v>
      </c>
      <c r="AE33" s="506">
        <f t="shared" ref="AE33:AG33" si="89">B78</f>
        <v>2.086956522</v>
      </c>
      <c r="AF33" s="506">
        <f t="shared" si="89"/>
        <v>2</v>
      </c>
      <c r="AG33" s="506">
        <f t="shared" si="89"/>
        <v>0.6114649682</v>
      </c>
      <c r="AH33" s="506">
        <f t="shared" ref="AH33:AK33" si="90">F78</f>
        <v>0.5</v>
      </c>
      <c r="AI33" s="506">
        <f t="shared" si="90"/>
        <v>0.2191780822</v>
      </c>
      <c r="AJ33" s="506">
        <f t="shared" si="90"/>
        <v>2.086956522</v>
      </c>
      <c r="AK33" s="506">
        <f t="shared" si="90"/>
        <v>12</v>
      </c>
      <c r="AL33" s="506">
        <f t="shared" ref="AL33:AO33" si="91">B79</f>
        <v>4.173913043</v>
      </c>
      <c r="AM33" s="506">
        <f t="shared" si="91"/>
        <v>4</v>
      </c>
      <c r="AN33" s="506">
        <f t="shared" si="91"/>
        <v>1.222929936</v>
      </c>
      <c r="AO33" s="506">
        <f t="shared" si="91"/>
        <v>2</v>
      </c>
      <c r="AP33" s="506">
        <f t="shared" ref="AP33:AR33" si="92">G79</f>
        <v>0.4383561644</v>
      </c>
      <c r="AQ33" s="506">
        <f t="shared" si="92"/>
        <v>4.173913043</v>
      </c>
      <c r="AR33" s="506">
        <f t="shared" si="92"/>
        <v>24</v>
      </c>
      <c r="AS33" s="506">
        <f t="shared" ref="AS33:AW33" si="93">B80</f>
        <v>9.52173913</v>
      </c>
      <c r="AT33" s="506">
        <f t="shared" si="93"/>
        <v>9.125</v>
      </c>
      <c r="AU33" s="506">
        <f t="shared" si="93"/>
        <v>2.789808917</v>
      </c>
      <c r="AV33" s="506">
        <f t="shared" si="93"/>
        <v>4.5625</v>
      </c>
      <c r="AW33" s="506">
        <f t="shared" si="93"/>
        <v>2.28125</v>
      </c>
      <c r="AX33" s="506">
        <f t="shared" ref="AX33:AY33" si="94">H80</f>
        <v>9.52173913</v>
      </c>
      <c r="AY33" s="506">
        <f t="shared" si="94"/>
        <v>54.75</v>
      </c>
      <c r="AZ33" s="506">
        <f t="shared" ref="AZ33:BE33" si="95">B81</f>
        <v>1</v>
      </c>
      <c r="BA33" s="506">
        <f t="shared" si="95"/>
        <v>0.9583333333</v>
      </c>
      <c r="BB33" s="506">
        <f t="shared" si="95"/>
        <v>0.2929936306</v>
      </c>
      <c r="BC33" s="506">
        <f t="shared" si="95"/>
        <v>0.4791666667</v>
      </c>
      <c r="BD33" s="506">
        <f t="shared" si="95"/>
        <v>0.2395833333</v>
      </c>
      <c r="BE33" s="506">
        <f t="shared" si="95"/>
        <v>0.1050228311</v>
      </c>
      <c r="BF33" s="506">
        <f>I81</f>
        <v>5.75</v>
      </c>
      <c r="BG33" s="506">
        <f t="shared" ref="BG33:BM33" si="96">B82</f>
        <v>0.1739130435</v>
      </c>
      <c r="BH33" s="506">
        <f t="shared" si="96"/>
        <v>0.1666666667</v>
      </c>
      <c r="BI33" s="506">
        <f t="shared" si="96"/>
        <v>0.05095541401</v>
      </c>
      <c r="BJ33" s="506">
        <f t="shared" si="96"/>
        <v>0.08333333333</v>
      </c>
      <c r="BK33" s="506">
        <f t="shared" si="96"/>
        <v>0.04166666667</v>
      </c>
      <c r="BL33" s="506">
        <f t="shared" si="96"/>
        <v>0.01826484018</v>
      </c>
      <c r="BM33" s="506">
        <f t="shared" si="96"/>
        <v>0.1739130435</v>
      </c>
    </row>
    <row r="34">
      <c r="A34" s="466" t="s">
        <v>1574</v>
      </c>
      <c r="B34" s="399"/>
      <c r="C34" s="517"/>
      <c r="D34" s="470" t="s">
        <v>1575</v>
      </c>
      <c r="E34" s="399"/>
      <c r="F34" s="399"/>
      <c r="G34" s="399"/>
      <c r="H34" s="400"/>
      <c r="I34" s="353"/>
      <c r="J34" s="516">
        <f t="shared" ref="J34:BM34" si="97">abs(ln(J33))</f>
        <v>0.04255961442</v>
      </c>
      <c r="K34" s="516">
        <f t="shared" si="97"/>
        <v>1.227604409</v>
      </c>
      <c r="L34" s="516">
        <f t="shared" si="97"/>
        <v>0.735706795</v>
      </c>
      <c r="M34" s="516">
        <f t="shared" si="97"/>
        <v>1.428853976</v>
      </c>
      <c r="N34" s="516">
        <f t="shared" si="97"/>
        <v>2.253577514</v>
      </c>
      <c r="O34" s="516">
        <f t="shared" si="97"/>
        <v>0</v>
      </c>
      <c r="P34" s="516">
        <f t="shared" si="97"/>
        <v>1.749199855</v>
      </c>
      <c r="Q34" s="516">
        <f t="shared" si="97"/>
        <v>0.04255961442</v>
      </c>
      <c r="R34" s="516">
        <f t="shared" si="97"/>
        <v>1.185044794</v>
      </c>
      <c r="S34" s="516">
        <f t="shared" si="97"/>
        <v>0.6931471806</v>
      </c>
      <c r="T34" s="516">
        <f t="shared" si="97"/>
        <v>1.386294361</v>
      </c>
      <c r="U34" s="516">
        <f t="shared" si="97"/>
        <v>2.211017899</v>
      </c>
      <c r="V34" s="516">
        <f t="shared" si="97"/>
        <v>0.04255961442</v>
      </c>
      <c r="W34" s="516">
        <f t="shared" si="97"/>
        <v>1.791759469</v>
      </c>
      <c r="X34" s="516">
        <f t="shared" si="97"/>
        <v>1.227604409</v>
      </c>
      <c r="Y34" s="516">
        <f t="shared" si="97"/>
        <v>1.185044794</v>
      </c>
      <c r="Z34" s="516">
        <f t="shared" si="97"/>
        <v>0.4918976139</v>
      </c>
      <c r="AA34" s="516">
        <f t="shared" si="97"/>
        <v>0.2012495667</v>
      </c>
      <c r="AB34" s="516">
        <f t="shared" si="97"/>
        <v>1.025973105</v>
      </c>
      <c r="AC34" s="516">
        <f t="shared" si="97"/>
        <v>1.227604409</v>
      </c>
      <c r="AD34" s="516">
        <f t="shared" si="97"/>
        <v>2.976804264</v>
      </c>
      <c r="AE34" s="516">
        <f t="shared" si="97"/>
        <v>0.735706795</v>
      </c>
      <c r="AF34" s="516">
        <f t="shared" si="97"/>
        <v>0.6931471806</v>
      </c>
      <c r="AG34" s="516">
        <f t="shared" si="97"/>
        <v>0.4918976139</v>
      </c>
      <c r="AH34" s="516">
        <f t="shared" si="97"/>
        <v>0.6931471806</v>
      </c>
      <c r="AI34" s="516">
        <f t="shared" si="97"/>
        <v>1.517870719</v>
      </c>
      <c r="AJ34" s="516">
        <f t="shared" si="97"/>
        <v>0.735706795</v>
      </c>
      <c r="AK34" s="516">
        <f t="shared" si="97"/>
        <v>2.48490665</v>
      </c>
      <c r="AL34" s="516">
        <f t="shared" si="97"/>
        <v>1.428853976</v>
      </c>
      <c r="AM34" s="516">
        <f t="shared" si="97"/>
        <v>1.386294361</v>
      </c>
      <c r="AN34" s="516">
        <f t="shared" si="97"/>
        <v>0.2012495667</v>
      </c>
      <c r="AO34" s="516">
        <f t="shared" si="97"/>
        <v>0.6931471806</v>
      </c>
      <c r="AP34" s="516">
        <f t="shared" si="97"/>
        <v>0.8247235383</v>
      </c>
      <c r="AQ34" s="516">
        <f t="shared" si="97"/>
        <v>1.428853976</v>
      </c>
      <c r="AR34" s="516">
        <f t="shared" si="97"/>
        <v>3.17805383</v>
      </c>
      <c r="AS34" s="516">
        <f t="shared" si="97"/>
        <v>2.253577514</v>
      </c>
      <c r="AT34" s="516">
        <f t="shared" si="97"/>
        <v>2.211017899</v>
      </c>
      <c r="AU34" s="516">
        <f t="shared" si="97"/>
        <v>1.025973105</v>
      </c>
      <c r="AV34" s="516">
        <f t="shared" si="97"/>
        <v>1.517870719</v>
      </c>
      <c r="AW34" s="516">
        <f t="shared" si="97"/>
        <v>0.8247235383</v>
      </c>
      <c r="AX34" s="516">
        <f t="shared" si="97"/>
        <v>2.253577514</v>
      </c>
      <c r="AY34" s="516">
        <f t="shared" si="97"/>
        <v>4.002777369</v>
      </c>
      <c r="AZ34" s="516">
        <f t="shared" si="97"/>
        <v>0</v>
      </c>
      <c r="BA34" s="516">
        <f t="shared" si="97"/>
        <v>0.04255961442</v>
      </c>
      <c r="BB34" s="516">
        <f t="shared" si="97"/>
        <v>1.227604409</v>
      </c>
      <c r="BC34" s="516">
        <f t="shared" si="97"/>
        <v>0.735706795</v>
      </c>
      <c r="BD34" s="516">
        <f t="shared" si="97"/>
        <v>1.428853976</v>
      </c>
      <c r="BE34" s="516">
        <f t="shared" si="97"/>
        <v>2.253577514</v>
      </c>
      <c r="BF34" s="516">
        <f t="shared" si="97"/>
        <v>1.749199855</v>
      </c>
      <c r="BG34" s="516">
        <f t="shared" si="97"/>
        <v>1.749199855</v>
      </c>
      <c r="BH34" s="516">
        <f t="shared" si="97"/>
        <v>1.791759469</v>
      </c>
      <c r="BI34" s="516">
        <f t="shared" si="97"/>
        <v>2.976804264</v>
      </c>
      <c r="BJ34" s="516">
        <f t="shared" si="97"/>
        <v>2.48490665</v>
      </c>
      <c r="BK34" s="516">
        <f t="shared" si="97"/>
        <v>3.17805383</v>
      </c>
      <c r="BL34" s="516">
        <f t="shared" si="97"/>
        <v>4.002777369</v>
      </c>
      <c r="BM34" s="516">
        <f t="shared" si="97"/>
        <v>1.749199855</v>
      </c>
    </row>
    <row r="35">
      <c r="A35" s="466" t="s">
        <v>1576</v>
      </c>
      <c r="B35" s="399"/>
      <c r="C35" s="518"/>
      <c r="D35" s="470" t="s">
        <v>1577</v>
      </c>
      <c r="E35" s="399"/>
      <c r="F35" s="399"/>
      <c r="G35" s="399"/>
      <c r="H35" s="400"/>
      <c r="I35" s="353"/>
      <c r="J35" s="516">
        <f t="shared" ref="J35:P35" si="98">abs($B$85-C85)</f>
        <v>1</v>
      </c>
      <c r="K35" s="516">
        <f t="shared" si="98"/>
        <v>4</v>
      </c>
      <c r="L35" s="516">
        <f t="shared" si="98"/>
        <v>2</v>
      </c>
      <c r="M35" s="516">
        <f t="shared" si="98"/>
        <v>3</v>
      </c>
      <c r="N35" s="516">
        <f t="shared" si="98"/>
        <v>5</v>
      </c>
      <c r="O35" s="516">
        <f t="shared" si="98"/>
        <v>1</v>
      </c>
      <c r="P35" s="516">
        <f t="shared" si="98"/>
        <v>2</v>
      </c>
      <c r="Q35" s="506">
        <f>abs($C$85-B85)</f>
        <v>1</v>
      </c>
      <c r="R35" s="506">
        <f t="shared" ref="R35:W35" si="99">abs($C$85-D85)</f>
        <v>5</v>
      </c>
      <c r="S35" s="506">
        <f t="shared" si="99"/>
        <v>3</v>
      </c>
      <c r="T35" s="506">
        <f t="shared" si="99"/>
        <v>4</v>
      </c>
      <c r="U35" s="506">
        <f t="shared" si="99"/>
        <v>6</v>
      </c>
      <c r="V35" s="506">
        <f t="shared" si="99"/>
        <v>2</v>
      </c>
      <c r="W35" s="506">
        <f t="shared" si="99"/>
        <v>1</v>
      </c>
      <c r="X35" s="506">
        <f t="shared" ref="X35:Y35" si="100">abs($D$85-B85)</f>
        <v>4</v>
      </c>
      <c r="Y35" s="506">
        <f t="shared" si="100"/>
        <v>5</v>
      </c>
      <c r="Z35" s="506">
        <f t="shared" ref="Z35:AD35" si="101">abs($D$85-E85)</f>
        <v>2</v>
      </c>
      <c r="AA35" s="506">
        <f t="shared" si="101"/>
        <v>1</v>
      </c>
      <c r="AB35" s="506">
        <f t="shared" si="101"/>
        <v>1</v>
      </c>
      <c r="AC35" s="506">
        <f t="shared" si="101"/>
        <v>3</v>
      </c>
      <c r="AD35" s="506">
        <f t="shared" si="101"/>
        <v>6</v>
      </c>
      <c r="AE35" s="506">
        <f t="shared" ref="AE35:AG35" si="102">abs($E$85-B85)</f>
        <v>2</v>
      </c>
      <c r="AF35" s="506">
        <f t="shared" si="102"/>
        <v>3</v>
      </c>
      <c r="AG35" s="506">
        <f t="shared" si="102"/>
        <v>2</v>
      </c>
      <c r="AH35" s="506">
        <f t="shared" ref="AH35:AK35" si="103">abs($E$85-F85)</f>
        <v>1</v>
      </c>
      <c r="AI35" s="506">
        <f t="shared" si="103"/>
        <v>3</v>
      </c>
      <c r="AJ35" s="506">
        <f t="shared" si="103"/>
        <v>1</v>
      </c>
      <c r="AK35" s="506">
        <f t="shared" si="103"/>
        <v>4</v>
      </c>
      <c r="AL35" s="506">
        <f t="shared" ref="AL35:AO35" si="104">abs($F$85-B85)</f>
        <v>3</v>
      </c>
      <c r="AM35" s="506">
        <f t="shared" si="104"/>
        <v>4</v>
      </c>
      <c r="AN35" s="506">
        <f t="shared" si="104"/>
        <v>1</v>
      </c>
      <c r="AO35" s="506">
        <f t="shared" si="104"/>
        <v>1</v>
      </c>
      <c r="AP35" s="506">
        <f t="shared" ref="AP35:AR35" si="105">abs($F$85-G85)</f>
        <v>2</v>
      </c>
      <c r="AQ35" s="506">
        <f t="shared" si="105"/>
        <v>2</v>
      </c>
      <c r="AR35" s="506">
        <f t="shared" si="105"/>
        <v>5</v>
      </c>
      <c r="AS35" s="506">
        <f t="shared" ref="AS35:AW35" si="106">abs($G$85-B85)</f>
        <v>5</v>
      </c>
      <c r="AT35" s="506">
        <f t="shared" si="106"/>
        <v>6</v>
      </c>
      <c r="AU35" s="506">
        <f t="shared" si="106"/>
        <v>1</v>
      </c>
      <c r="AV35" s="506">
        <f t="shared" si="106"/>
        <v>3</v>
      </c>
      <c r="AW35" s="506">
        <f t="shared" si="106"/>
        <v>2</v>
      </c>
      <c r="AX35" s="506">
        <f t="shared" ref="AX35:AY35" si="107">abs($G$85-H85)</f>
        <v>4</v>
      </c>
      <c r="AY35" s="506">
        <f t="shared" si="107"/>
        <v>7</v>
      </c>
      <c r="AZ35" s="506">
        <f t="shared" ref="AZ35:BE35" si="108">abs($H$85-B85)</f>
        <v>1</v>
      </c>
      <c r="BA35" s="506">
        <f t="shared" si="108"/>
        <v>2</v>
      </c>
      <c r="BB35" s="506">
        <f t="shared" si="108"/>
        <v>3</v>
      </c>
      <c r="BC35" s="506">
        <f t="shared" si="108"/>
        <v>1</v>
      </c>
      <c r="BD35" s="506">
        <f t="shared" si="108"/>
        <v>2</v>
      </c>
      <c r="BE35" s="506">
        <f t="shared" si="108"/>
        <v>4</v>
      </c>
      <c r="BF35" s="506">
        <f>abs($H$85-I85)</f>
        <v>3</v>
      </c>
      <c r="BG35" s="506">
        <f t="shared" ref="BG35:BM35" si="109">abs($I$85-B85)</f>
        <v>2</v>
      </c>
      <c r="BH35" s="506">
        <f t="shared" si="109"/>
        <v>1</v>
      </c>
      <c r="BI35" s="506">
        <f t="shared" si="109"/>
        <v>6</v>
      </c>
      <c r="BJ35" s="506">
        <f t="shared" si="109"/>
        <v>4</v>
      </c>
      <c r="BK35" s="506">
        <f t="shared" si="109"/>
        <v>5</v>
      </c>
      <c r="BL35" s="506">
        <f t="shared" si="109"/>
        <v>7</v>
      </c>
      <c r="BM35" s="506">
        <f t="shared" si="109"/>
        <v>3</v>
      </c>
    </row>
    <row r="36">
      <c r="A36" s="466" t="s">
        <v>1578</v>
      </c>
      <c r="B36" s="399"/>
      <c r="C36" s="519"/>
      <c r="D36" s="470" t="s">
        <v>1579</v>
      </c>
      <c r="E36" s="399"/>
      <c r="F36" s="399"/>
      <c r="G36" s="399"/>
      <c r="H36" s="400"/>
      <c r="I36" s="353"/>
      <c r="J36" s="520"/>
      <c r="K36" s="520"/>
      <c r="L36" s="520"/>
      <c r="M36" s="520"/>
      <c r="N36" s="520"/>
      <c r="O36" s="464"/>
      <c r="P36" s="464"/>
      <c r="Q36" s="464"/>
      <c r="R36" s="464"/>
      <c r="S36" s="464"/>
      <c r="T36" s="464"/>
      <c r="U36" s="464"/>
      <c r="V36" s="464"/>
      <c r="W36" s="464"/>
      <c r="X36" s="464"/>
      <c r="Y36" s="464"/>
      <c r="Z36" s="464"/>
      <c r="AA36" s="464"/>
      <c r="AB36" s="464"/>
      <c r="AC36" s="464"/>
      <c r="AD36" s="464"/>
      <c r="AE36" s="464"/>
      <c r="AF36" s="464"/>
      <c r="AG36" s="464"/>
      <c r="AH36" s="464"/>
      <c r="AI36" s="464"/>
      <c r="AJ36" s="464"/>
      <c r="AK36" s="464"/>
      <c r="AL36" s="464"/>
      <c r="AM36" s="464"/>
      <c r="AN36" s="464"/>
      <c r="AO36" s="464"/>
      <c r="AP36" s="464"/>
      <c r="AQ36" s="464"/>
      <c r="AR36" s="464"/>
      <c r="AS36" s="464"/>
      <c r="AT36" s="464"/>
      <c r="AU36" s="464"/>
      <c r="AV36" s="464"/>
      <c r="AW36" s="464"/>
      <c r="AX36" s="464"/>
      <c r="AY36" s="464"/>
      <c r="AZ36" s="464"/>
      <c r="BA36" s="464"/>
      <c r="BB36" s="464"/>
      <c r="BC36" s="464"/>
      <c r="BD36" s="464"/>
      <c r="BE36" s="464"/>
      <c r="BF36" s="464"/>
      <c r="BG36" s="464"/>
      <c r="BH36" s="464"/>
      <c r="BI36" s="464"/>
      <c r="BJ36" s="464"/>
      <c r="BK36" s="464"/>
      <c r="BL36" s="464"/>
      <c r="BM36" s="464"/>
    </row>
    <row r="37">
      <c r="A37" s="464"/>
      <c r="B37" s="399"/>
      <c r="C37" s="399"/>
      <c r="D37" s="399"/>
      <c r="E37" s="399"/>
      <c r="F37" s="399"/>
      <c r="G37" s="399"/>
      <c r="H37" s="400"/>
      <c r="I37" s="353"/>
      <c r="J37" s="520"/>
      <c r="K37" s="520"/>
      <c r="L37" s="520"/>
      <c r="M37" s="520"/>
      <c r="N37" s="520"/>
      <c r="O37" s="464"/>
      <c r="P37" s="464"/>
      <c r="Q37" s="464"/>
      <c r="R37" s="521"/>
      <c r="S37" s="521"/>
      <c r="T37" s="521"/>
      <c r="U37" s="521"/>
      <c r="V37" s="464"/>
      <c r="W37" s="464"/>
      <c r="X37" s="464"/>
      <c r="Y37" s="464"/>
      <c r="Z37" s="521"/>
      <c r="AA37" s="521"/>
      <c r="AB37" s="521"/>
      <c r="AC37" s="464"/>
      <c r="AD37" s="464"/>
      <c r="AE37" s="464"/>
      <c r="AF37" s="464"/>
      <c r="AG37" s="464"/>
      <c r="AH37" s="521"/>
      <c r="AI37" s="521"/>
      <c r="AJ37" s="464"/>
      <c r="AK37" s="464"/>
      <c r="AL37" s="464"/>
      <c r="AM37" s="464"/>
      <c r="AN37" s="464"/>
      <c r="AO37" s="464"/>
      <c r="AP37" s="521"/>
      <c r="AQ37" s="464"/>
      <c r="AR37" s="464"/>
      <c r="AS37" s="464"/>
      <c r="AT37" s="464"/>
      <c r="AU37" s="464"/>
      <c r="AV37" s="464"/>
      <c r="AW37" s="464"/>
      <c r="AX37" s="464"/>
      <c r="AY37" s="464"/>
      <c r="AZ37" s="464"/>
      <c r="BA37" s="464"/>
      <c r="BB37" s="464"/>
      <c r="BC37" s="464"/>
      <c r="BD37" s="464"/>
      <c r="BE37" s="464"/>
      <c r="BF37" s="464"/>
      <c r="BG37" s="464"/>
      <c r="BH37" s="464"/>
      <c r="BI37" s="464"/>
      <c r="BJ37" s="464"/>
      <c r="BK37" s="464"/>
      <c r="BL37" s="464"/>
      <c r="BM37" s="464"/>
    </row>
    <row r="38">
      <c r="A38" s="464"/>
      <c r="B38" s="345" t="s">
        <v>389</v>
      </c>
      <c r="C38" s="346" t="s">
        <v>420</v>
      </c>
      <c r="D38" s="347" t="s">
        <v>358</v>
      </c>
      <c r="E38" s="348" t="s">
        <v>363</v>
      </c>
      <c r="F38" s="349" t="s">
        <v>413</v>
      </c>
      <c r="G38" s="350" t="s">
        <v>357</v>
      </c>
      <c r="H38" s="351" t="s">
        <v>380</v>
      </c>
      <c r="I38" s="352" t="s">
        <v>387</v>
      </c>
      <c r="J38" s="466" t="s">
        <v>1580</v>
      </c>
      <c r="K38" s="466" t="s">
        <v>1581</v>
      </c>
      <c r="L38" s="464"/>
      <c r="M38" s="466" t="s">
        <v>1582</v>
      </c>
      <c r="N38" s="466" t="s">
        <v>1490</v>
      </c>
      <c r="O38" s="466" t="s">
        <v>1492</v>
      </c>
      <c r="P38" s="466" t="s">
        <v>1583</v>
      </c>
      <c r="Q38" s="466" t="s">
        <v>1570</v>
      </c>
      <c r="R38" s="466" t="s">
        <v>1584</v>
      </c>
      <c r="S38" s="466" t="s">
        <v>1585</v>
      </c>
      <c r="T38" s="466" t="s">
        <v>1565</v>
      </c>
      <c r="U38" s="466"/>
      <c r="V38" s="464"/>
      <c r="W38" s="464"/>
      <c r="X38" s="464"/>
      <c r="Y38" s="464"/>
      <c r="Z38" s="464"/>
      <c r="AA38" s="464"/>
      <c r="AB38" s="464"/>
      <c r="AC38" s="464"/>
      <c r="AD38" s="464"/>
      <c r="AE38" s="464"/>
      <c r="AF38" s="464"/>
      <c r="AG38" s="464"/>
      <c r="AH38" s="464"/>
      <c r="AI38" s="464"/>
      <c r="AJ38" s="464"/>
      <c r="AK38" s="464"/>
      <c r="AL38" s="464"/>
      <c r="AM38" s="464"/>
      <c r="AN38" s="464"/>
      <c r="AO38" s="464"/>
      <c r="AP38" s="464"/>
      <c r="AQ38" s="464"/>
      <c r="AR38" s="464"/>
      <c r="AS38" s="464"/>
      <c r="AT38" s="464"/>
      <c r="AU38" s="464"/>
      <c r="AV38" s="464"/>
      <c r="AW38" s="464"/>
      <c r="AX38" s="464"/>
      <c r="AY38" s="464"/>
      <c r="AZ38" s="464"/>
      <c r="BA38" s="464"/>
      <c r="BB38" s="464"/>
      <c r="BC38" s="464"/>
      <c r="BD38" s="464"/>
      <c r="BE38" s="464"/>
      <c r="BF38" s="464"/>
      <c r="BG38" s="464"/>
      <c r="BH38" s="464"/>
      <c r="BI38" s="464"/>
      <c r="BJ38" s="464"/>
      <c r="BK38" s="464"/>
      <c r="BL38" s="464"/>
      <c r="BM38" s="464"/>
    </row>
    <row r="39">
      <c r="A39" s="345" t="s">
        <v>389</v>
      </c>
      <c r="B39" s="522">
        <f>B16</f>
        <v>12</v>
      </c>
      <c r="C39" s="464">
        <f t="shared" ref="C39:I39" si="110">J16</f>
        <v>3</v>
      </c>
      <c r="D39" s="464">
        <f t="shared" si="110"/>
        <v>7</v>
      </c>
      <c r="E39" s="464">
        <f t="shared" si="110"/>
        <v>2</v>
      </c>
      <c r="F39" s="523">
        <f t="shared" si="110"/>
        <v>11</v>
      </c>
      <c r="G39" s="464">
        <f t="shared" si="110"/>
        <v>8</v>
      </c>
      <c r="H39" s="519">
        <f t="shared" si="110"/>
        <v>0</v>
      </c>
      <c r="I39" s="464">
        <f t="shared" si="110"/>
        <v>0</v>
      </c>
      <c r="J39" s="470">
        <f>J23</f>
        <v>0.1072614</v>
      </c>
      <c r="K39" s="464">
        <f>(sum(B39:I39)-B39)/sum(B39:I39)</f>
        <v>0.7209302326</v>
      </c>
      <c r="L39" s="464"/>
      <c r="M39" s="407" t="s">
        <v>1427</v>
      </c>
      <c r="N39" s="520">
        <v>0.4326987</v>
      </c>
      <c r="O39" s="520">
        <v>0.51066769</v>
      </c>
      <c r="P39" s="464">
        <f t="shared" ref="P39:P94" si="112">if(O39&lt;=0.05,1,0)</f>
        <v>0</v>
      </c>
      <c r="Q39" s="520">
        <v>0.093576375</v>
      </c>
      <c r="R39" s="521">
        <f>sum(Frequency!B17,Frequency!C17)/Frequency!B18</f>
        <v>0.1114808652</v>
      </c>
      <c r="S39" s="470">
        <v>1.0</v>
      </c>
      <c r="T39" s="521">
        <v>0.019230769230769232</v>
      </c>
      <c r="U39" s="470"/>
      <c r="V39" s="464"/>
      <c r="W39" s="464"/>
      <c r="X39" s="464"/>
      <c r="Y39" s="464"/>
      <c r="Z39" s="464"/>
      <c r="AA39" s="464"/>
      <c r="AB39" s="464"/>
      <c r="AC39" s="464"/>
      <c r="AD39" s="464"/>
      <c r="AE39" s="464"/>
      <c r="AF39" s="464"/>
      <c r="AG39" s="464"/>
      <c r="AH39" s="464"/>
      <c r="AI39" s="464"/>
      <c r="AJ39" s="464"/>
      <c r="AK39" s="464"/>
      <c r="AL39" s="464"/>
      <c r="AM39" s="464"/>
      <c r="AN39" s="464"/>
      <c r="AO39" s="464"/>
      <c r="AP39" s="464"/>
      <c r="AQ39" s="464"/>
      <c r="AR39" s="464"/>
      <c r="AS39" s="464"/>
      <c r="AT39" s="464"/>
      <c r="AU39" s="464"/>
      <c r="AV39" s="464"/>
      <c r="AW39" s="464"/>
      <c r="AX39" s="464"/>
      <c r="AY39" s="464"/>
      <c r="AZ39" s="464"/>
      <c r="BA39" s="464"/>
      <c r="BB39" s="464"/>
      <c r="BC39" s="464"/>
      <c r="BD39" s="464"/>
      <c r="BE39" s="464"/>
      <c r="BF39" s="464"/>
      <c r="BG39" s="464"/>
      <c r="BH39" s="464"/>
      <c r="BI39" s="464"/>
      <c r="BJ39" s="464"/>
      <c r="BK39" s="464"/>
      <c r="BL39" s="464"/>
      <c r="BM39" s="464"/>
    </row>
    <row r="40">
      <c r="A40" s="346" t="s">
        <v>420</v>
      </c>
      <c r="B40" s="464">
        <f>J16</f>
        <v>3</v>
      </c>
      <c r="C40" s="522">
        <f>C16</f>
        <v>16</v>
      </c>
      <c r="D40" s="464">
        <f t="shared" ref="D40:I40" si="111">R16</f>
        <v>8</v>
      </c>
      <c r="E40" s="464">
        <f t="shared" si="111"/>
        <v>2</v>
      </c>
      <c r="F40" s="464">
        <f t="shared" si="111"/>
        <v>5</v>
      </c>
      <c r="G40" s="519">
        <f t="shared" si="111"/>
        <v>4</v>
      </c>
      <c r="H40" s="464">
        <f t="shared" si="111"/>
        <v>2</v>
      </c>
      <c r="I40" s="464">
        <f t="shared" si="111"/>
        <v>0</v>
      </c>
      <c r="J40" s="464">
        <f>Q23</f>
        <v>0.3844103</v>
      </c>
      <c r="K40" s="464">
        <f>(sum(B40:I40)-C40)/sum(B40:I40)</f>
        <v>0.6</v>
      </c>
      <c r="L40" s="464"/>
      <c r="M40" s="408" t="s">
        <v>1190</v>
      </c>
      <c r="N40" s="520">
        <v>0.2152267</v>
      </c>
      <c r="O40" s="520">
        <v>0.64270128</v>
      </c>
      <c r="P40" s="464">
        <f t="shared" si="112"/>
        <v>0</v>
      </c>
      <c r="Q40" s="520">
        <v>0.132754072</v>
      </c>
      <c r="R40" s="521">
        <f>sum(Frequency!B17,Frequency!D17)/Frequency!B18</f>
        <v>0.227953411</v>
      </c>
      <c r="S40" s="521">
        <f>Frequency!B17/Frequency!B18</f>
        <v>0.05657237937</v>
      </c>
      <c r="T40" s="521">
        <v>0.04487179487179487</v>
      </c>
      <c r="U40" s="521"/>
      <c r="V40" s="464"/>
      <c r="W40" s="464"/>
      <c r="X40" s="464"/>
      <c r="Y40" s="464"/>
      <c r="Z40" s="464"/>
      <c r="AA40" s="464"/>
      <c r="AB40" s="464"/>
      <c r="AC40" s="464"/>
      <c r="AD40" s="464"/>
      <c r="AE40" s="464"/>
      <c r="AF40" s="464"/>
      <c r="AG40" s="464"/>
      <c r="AH40" s="464"/>
      <c r="AI40" s="464"/>
      <c r="AJ40" s="464"/>
      <c r="AK40" s="464"/>
      <c r="AL40" s="464"/>
      <c r="AM40" s="464"/>
      <c r="AN40" s="464"/>
      <c r="AO40" s="464"/>
      <c r="AP40" s="464"/>
      <c r="AQ40" s="464"/>
      <c r="AR40" s="464"/>
      <c r="AS40" s="464"/>
      <c r="AT40" s="464"/>
      <c r="AU40" s="464"/>
      <c r="AV40" s="464"/>
      <c r="AW40" s="464"/>
      <c r="AX40" s="464"/>
      <c r="AY40" s="464"/>
      <c r="AZ40" s="464"/>
      <c r="BA40" s="464"/>
      <c r="BB40" s="464"/>
      <c r="BC40" s="464"/>
      <c r="BD40" s="464"/>
      <c r="BE40" s="464"/>
      <c r="BF40" s="464"/>
      <c r="BG40" s="464"/>
      <c r="BH40" s="464"/>
      <c r="BI40" s="464"/>
      <c r="BJ40" s="464"/>
      <c r="BK40" s="464"/>
      <c r="BL40" s="464"/>
      <c r="BM40" s="464"/>
    </row>
    <row r="41">
      <c r="A41" s="347" t="s">
        <v>358</v>
      </c>
      <c r="B41" s="464">
        <f>K16</f>
        <v>7</v>
      </c>
      <c r="C41" s="464">
        <f>R16</f>
        <v>8</v>
      </c>
      <c r="D41" s="522">
        <f>D16</f>
        <v>46</v>
      </c>
      <c r="E41" s="464">
        <f t="shared" ref="E41:I41" si="113">Z16</f>
        <v>9</v>
      </c>
      <c r="F41" s="523">
        <f t="shared" si="113"/>
        <v>23</v>
      </c>
      <c r="G41" s="524">
        <f t="shared" si="113"/>
        <v>20</v>
      </c>
      <c r="H41" s="464">
        <f t="shared" si="113"/>
        <v>6</v>
      </c>
      <c r="I41" s="464">
        <f t="shared" si="113"/>
        <v>0</v>
      </c>
      <c r="J41" s="525">
        <f>X23</f>
        <v>0.08362951</v>
      </c>
      <c r="K41" s="464">
        <f>(sum(B41:I41)-D41)/sum(B41:I41)</f>
        <v>0.6134453782</v>
      </c>
      <c r="L41" s="464"/>
      <c r="M41" s="409" t="s">
        <v>1214</v>
      </c>
      <c r="N41" s="520">
        <v>0.5275197</v>
      </c>
      <c r="O41" s="520">
        <v>0.46765151</v>
      </c>
      <c r="P41" s="464">
        <f t="shared" si="112"/>
        <v>0</v>
      </c>
      <c r="Q41" s="520">
        <v>0.119046481</v>
      </c>
      <c r="R41" s="521">
        <f>sum(Frequency!B17,Frequency!E17)/Frequency!B18</f>
        <v>0.1630615641</v>
      </c>
      <c r="S41" s="521"/>
      <c r="T41" s="521">
        <v>0.01282051282051282</v>
      </c>
      <c r="U41" s="521"/>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row>
    <row r="42">
      <c r="A42" s="348" t="s">
        <v>363</v>
      </c>
      <c r="B42" s="464">
        <f>L16</f>
        <v>2</v>
      </c>
      <c r="C42" s="464">
        <f>S16</f>
        <v>2</v>
      </c>
      <c r="D42" s="464">
        <f>Z16</f>
        <v>9</v>
      </c>
      <c r="E42" s="522">
        <f>E16</f>
        <v>30</v>
      </c>
      <c r="F42" s="464">
        <f t="shared" ref="F42:I42" si="114">AH16</f>
        <v>3</v>
      </c>
      <c r="G42" s="464">
        <f t="shared" si="114"/>
        <v>17</v>
      </c>
      <c r="H42" s="464">
        <f t="shared" si="114"/>
        <v>1</v>
      </c>
      <c r="I42" s="464">
        <f t="shared" si="114"/>
        <v>1</v>
      </c>
      <c r="J42" s="464">
        <f>AE23</f>
        <v>0.5120748</v>
      </c>
      <c r="K42" s="464">
        <f>(sum(B42:I42)-E42)/sum(B42:I42)</f>
        <v>0.5384615385</v>
      </c>
      <c r="L42" s="464"/>
      <c r="M42" s="410" t="s">
        <v>1120</v>
      </c>
      <c r="N42" s="520">
        <v>4.7115666</v>
      </c>
      <c r="O42" s="520">
        <v>0.02996034</v>
      </c>
      <c r="P42" s="464">
        <f t="shared" si="112"/>
        <v>1</v>
      </c>
      <c r="Q42" s="520">
        <v>0.094485948</v>
      </c>
      <c r="R42" s="521">
        <f>sum(Frequency!B17,Frequency!F17)/Frequency!B18</f>
        <v>0.2212978369</v>
      </c>
      <c r="S42" s="521"/>
      <c r="T42" s="521">
        <v>0.07051282051282051</v>
      </c>
      <c r="U42" s="521"/>
      <c r="V42" s="464"/>
      <c r="W42" s="464"/>
      <c r="X42" s="464"/>
      <c r="Y42" s="464"/>
      <c r="Z42" s="464"/>
      <c r="AA42" s="464"/>
      <c r="AB42" s="464"/>
      <c r="AC42" s="464"/>
      <c r="AD42" s="464"/>
      <c r="AE42" s="464"/>
      <c r="AF42" s="464"/>
      <c r="AG42" s="464"/>
      <c r="AH42" s="464"/>
      <c r="AI42" s="464"/>
      <c r="AJ42" s="464"/>
      <c r="AK42" s="464"/>
      <c r="AL42" s="464"/>
      <c r="AM42" s="464"/>
      <c r="AN42" s="464"/>
      <c r="AO42" s="464"/>
      <c r="AP42" s="464"/>
      <c r="AQ42" s="464"/>
      <c r="AR42" s="464"/>
      <c r="AS42" s="464"/>
      <c r="AT42" s="464"/>
      <c r="AU42" s="464"/>
      <c r="AV42" s="464"/>
      <c r="AW42" s="464"/>
      <c r="AX42" s="464"/>
      <c r="AY42" s="464"/>
      <c r="AZ42" s="464"/>
      <c r="BA42" s="464"/>
      <c r="BB42" s="464"/>
      <c r="BC42" s="464"/>
      <c r="BD42" s="464"/>
      <c r="BE42" s="464"/>
      <c r="BF42" s="464"/>
      <c r="BG42" s="464"/>
      <c r="BH42" s="464"/>
      <c r="BI42" s="464"/>
      <c r="BJ42" s="464"/>
      <c r="BK42" s="464"/>
      <c r="BL42" s="464"/>
      <c r="BM42" s="464"/>
    </row>
    <row r="43">
      <c r="A43" s="349" t="s">
        <v>413</v>
      </c>
      <c r="B43" s="523">
        <f>M16</f>
        <v>11</v>
      </c>
      <c r="C43" s="464">
        <f>T16</f>
        <v>5</v>
      </c>
      <c r="D43" s="523">
        <f>AA16</f>
        <v>23</v>
      </c>
      <c r="E43" s="464">
        <f>AH16</f>
        <v>3</v>
      </c>
      <c r="F43" s="522">
        <f>F16</f>
        <v>55</v>
      </c>
      <c r="G43" s="524">
        <f t="shared" ref="G43:I43" si="115">AP16</f>
        <v>14</v>
      </c>
      <c r="H43" s="464">
        <f t="shared" si="115"/>
        <v>2</v>
      </c>
      <c r="I43" s="464">
        <f t="shared" si="115"/>
        <v>0</v>
      </c>
      <c r="J43" s="526">
        <f>AL23</f>
        <v>0.001356411</v>
      </c>
      <c r="K43" s="464">
        <f>(sum(B43:I43)-F43)/sum(B43:I43)</f>
        <v>0.5132743363</v>
      </c>
      <c r="L43" s="464"/>
      <c r="M43" s="411" t="s">
        <v>1188</v>
      </c>
      <c r="N43" s="520">
        <v>1.7765722</v>
      </c>
      <c r="O43" s="520">
        <v>0.18257081</v>
      </c>
      <c r="P43" s="464">
        <f t="shared" si="112"/>
        <v>0</v>
      </c>
      <c r="Q43" s="520">
        <v>0.113842067</v>
      </c>
      <c r="R43" s="521">
        <f>sum(Frequency!B17,Frequency!G17)/Frequency!B18</f>
        <v>0.4226289517</v>
      </c>
      <c r="S43" s="521"/>
      <c r="T43" s="521">
        <v>0.05128205128205128</v>
      </c>
      <c r="U43" s="521"/>
      <c r="V43" s="464"/>
      <c r="W43" s="464"/>
      <c r="X43" s="464"/>
      <c r="Y43" s="464"/>
      <c r="Z43" s="464"/>
      <c r="AA43" s="464"/>
      <c r="AB43" s="464"/>
      <c r="AC43" s="464"/>
      <c r="AD43" s="464"/>
      <c r="AE43" s="464"/>
      <c r="AF43" s="464"/>
      <c r="AG43" s="464"/>
      <c r="AH43" s="464"/>
      <c r="AI43" s="464"/>
      <c r="AJ43" s="464"/>
      <c r="AK43" s="464"/>
      <c r="AL43" s="464"/>
      <c r="AM43" s="464"/>
      <c r="AN43" s="464"/>
      <c r="AO43" s="464"/>
      <c r="AP43" s="464"/>
      <c r="AQ43" s="464"/>
      <c r="AR43" s="464"/>
      <c r="AS43" s="464"/>
      <c r="AT43" s="464"/>
      <c r="AU43" s="464"/>
      <c r="AV43" s="464"/>
      <c r="AW43" s="464"/>
      <c r="AX43" s="464"/>
      <c r="AY43" s="464"/>
      <c r="AZ43" s="464"/>
      <c r="BA43" s="464"/>
      <c r="BB43" s="464"/>
      <c r="BC43" s="464"/>
      <c r="BD43" s="464"/>
      <c r="BE43" s="464"/>
      <c r="BF43" s="464"/>
      <c r="BG43" s="464"/>
      <c r="BH43" s="464"/>
      <c r="BI43" s="464"/>
      <c r="BJ43" s="464"/>
      <c r="BK43" s="464"/>
      <c r="BL43" s="464"/>
      <c r="BM43" s="464"/>
    </row>
    <row r="44">
      <c r="A44" s="350" t="s">
        <v>357</v>
      </c>
      <c r="B44" s="523">
        <f>N16</f>
        <v>8</v>
      </c>
      <c r="C44" s="464">
        <f>U16</f>
        <v>4</v>
      </c>
      <c r="D44" s="464">
        <f>AB16</f>
        <v>20</v>
      </c>
      <c r="E44" s="464">
        <f>AI16</f>
        <v>17</v>
      </c>
      <c r="F44" s="464">
        <f>AP16</f>
        <v>14</v>
      </c>
      <c r="G44" s="522">
        <f>G16</f>
        <v>165</v>
      </c>
      <c r="H44" s="464">
        <f t="shared" ref="H44:I44" si="116">AX16</f>
        <v>7</v>
      </c>
      <c r="I44" s="464">
        <f t="shared" si="116"/>
        <v>1</v>
      </c>
      <c r="J44" s="525">
        <f>AS23</f>
        <v>0.05445234</v>
      </c>
      <c r="K44" s="464">
        <f>(sum(B44:I44)-G44)/sum(B44:I44)</f>
        <v>0.3008474576</v>
      </c>
      <c r="L44" s="464"/>
      <c r="M44" s="412" t="s">
        <v>1428</v>
      </c>
      <c r="N44" s="521">
        <v>4.1334186</v>
      </c>
      <c r="O44" s="521">
        <v>0.04204433</v>
      </c>
      <c r="P44" s="464">
        <f t="shared" si="112"/>
        <v>1</v>
      </c>
      <c r="Q44" s="464"/>
      <c r="R44" s="521">
        <f>sum(Frequency!B17,Frequency!H17)/Frequency!B18</f>
        <v>0.1247920133</v>
      </c>
      <c r="S44" s="521"/>
      <c r="T44" s="521">
        <v>0.0</v>
      </c>
      <c r="U44" s="521"/>
      <c r="V44" s="464"/>
      <c r="W44" s="464"/>
      <c r="X44" s="464"/>
      <c r="Y44" s="464"/>
      <c r="Z44" s="464"/>
      <c r="AA44" s="464"/>
      <c r="AB44" s="464"/>
      <c r="AC44" s="464"/>
      <c r="AD44" s="464"/>
      <c r="AE44" s="464"/>
      <c r="AF44" s="464"/>
      <c r="AG44" s="464"/>
      <c r="AH44" s="464"/>
      <c r="AI44" s="464"/>
      <c r="AJ44" s="464"/>
      <c r="AK44" s="464"/>
      <c r="AL44" s="464"/>
      <c r="AM44" s="464"/>
      <c r="AN44" s="464"/>
      <c r="AO44" s="464"/>
      <c r="AP44" s="464"/>
      <c r="AQ44" s="464"/>
      <c r="AR44" s="464"/>
      <c r="AS44" s="464"/>
      <c r="AT44" s="464"/>
      <c r="AU44" s="464"/>
      <c r="AV44" s="464"/>
      <c r="AW44" s="464"/>
      <c r="AX44" s="464"/>
      <c r="AY44" s="464"/>
      <c r="AZ44" s="464"/>
      <c r="BA44" s="464"/>
      <c r="BB44" s="464"/>
      <c r="BC44" s="464"/>
      <c r="BD44" s="464"/>
      <c r="BE44" s="464"/>
      <c r="BF44" s="464"/>
      <c r="BG44" s="464"/>
      <c r="BH44" s="464"/>
      <c r="BI44" s="464"/>
      <c r="BJ44" s="464"/>
      <c r="BK44" s="464"/>
      <c r="BL44" s="464"/>
      <c r="BM44" s="464"/>
    </row>
    <row r="45">
      <c r="A45" s="351" t="s">
        <v>380</v>
      </c>
      <c r="B45" s="519">
        <f>O16</f>
        <v>0</v>
      </c>
      <c r="C45" s="464">
        <f>V16</f>
        <v>2</v>
      </c>
      <c r="D45" s="464">
        <f>AC16</f>
        <v>6</v>
      </c>
      <c r="E45" s="464">
        <f>AJ16</f>
        <v>1</v>
      </c>
      <c r="F45" s="464">
        <f>AQ16</f>
        <v>2</v>
      </c>
      <c r="G45" s="464">
        <f>AX16</f>
        <v>7</v>
      </c>
      <c r="H45" s="522">
        <f>H16</f>
        <v>27</v>
      </c>
      <c r="I45" s="464">
        <f>BF16</f>
        <v>0</v>
      </c>
      <c r="J45" s="464">
        <f>AZ23</f>
        <v>0.1501502</v>
      </c>
      <c r="K45" s="464">
        <f>(sum(B45:I45)-H45)/sum(B45:I45)</f>
        <v>0.4</v>
      </c>
      <c r="L45" s="464"/>
      <c r="M45" s="413" t="s">
        <v>1429</v>
      </c>
      <c r="N45" s="521">
        <v>0.6230364</v>
      </c>
      <c r="O45" s="521">
        <v>0.42992118</v>
      </c>
      <c r="P45" s="464">
        <f t="shared" si="112"/>
        <v>0</v>
      </c>
      <c r="Q45" s="464"/>
      <c r="R45" s="521">
        <f>sum(Frequency!B17,Frequency!I17)/Frequency!B18</f>
        <v>0.06821963394</v>
      </c>
      <c r="S45" s="521"/>
      <c r="T45" s="521">
        <v>0.0</v>
      </c>
      <c r="U45" s="521"/>
      <c r="V45" s="464"/>
      <c r="W45" s="464"/>
      <c r="X45" s="464"/>
      <c r="Y45" s="464"/>
      <c r="Z45" s="464"/>
      <c r="AA45" s="464"/>
      <c r="AB45" s="464"/>
      <c r="AC45" s="464"/>
      <c r="AD45" s="464"/>
      <c r="AE45" s="464"/>
      <c r="AF45" s="464"/>
      <c r="AG45" s="464"/>
      <c r="AH45" s="464"/>
      <c r="AI45" s="464"/>
      <c r="AJ45" s="464"/>
      <c r="AK45" s="464"/>
      <c r="AL45" s="464"/>
      <c r="AM45" s="464"/>
      <c r="AN45" s="464"/>
      <c r="AO45" s="464"/>
      <c r="AP45" s="464"/>
      <c r="AQ45" s="464"/>
      <c r="AR45" s="464"/>
      <c r="AS45" s="464"/>
      <c r="AT45" s="464"/>
      <c r="AU45" s="464"/>
      <c r="AV45" s="464"/>
      <c r="AW45" s="464"/>
      <c r="AX45" s="464"/>
      <c r="AY45" s="464"/>
      <c r="AZ45" s="464"/>
      <c r="BA45" s="464"/>
      <c r="BB45" s="464"/>
      <c r="BC45" s="464"/>
      <c r="BD45" s="464"/>
      <c r="BE45" s="464"/>
      <c r="BF45" s="464"/>
      <c r="BG45" s="464"/>
      <c r="BH45" s="464"/>
      <c r="BI45" s="464"/>
      <c r="BJ45" s="464"/>
      <c r="BK45" s="464"/>
      <c r="BL45" s="464"/>
      <c r="BM45" s="464"/>
    </row>
    <row r="46">
      <c r="A46" s="352" t="s">
        <v>387</v>
      </c>
      <c r="B46" s="464">
        <f>P16</f>
        <v>0</v>
      </c>
      <c r="C46" s="464">
        <f>W16</f>
        <v>0</v>
      </c>
      <c r="D46" s="464">
        <f>AD16</f>
        <v>0</v>
      </c>
      <c r="E46" s="464">
        <f>AK16</f>
        <v>1</v>
      </c>
      <c r="F46" s="464">
        <f>AR16</f>
        <v>0</v>
      </c>
      <c r="G46" s="464">
        <f>AY16</f>
        <v>1</v>
      </c>
      <c r="H46" s="464">
        <f>BF16</f>
        <v>0</v>
      </c>
      <c r="I46" s="522">
        <f>I16</f>
        <v>5</v>
      </c>
      <c r="J46" s="464">
        <f>BG23</f>
        <v>0.8005968</v>
      </c>
      <c r="K46" s="464">
        <f>(sum(B46:I46)-I46)/sum(B46:I46)</f>
        <v>0.2857142857</v>
      </c>
      <c r="L46" s="464"/>
      <c r="M46" s="414" t="s">
        <v>1430</v>
      </c>
      <c r="N46" s="521">
        <v>0.84983419</v>
      </c>
      <c r="O46" s="521">
        <v>0.3565993</v>
      </c>
      <c r="P46" s="464">
        <f t="shared" si="112"/>
        <v>0</v>
      </c>
      <c r="Q46" s="464">
        <v>0.093576375</v>
      </c>
      <c r="R46" s="521">
        <v>0.11148086522462562</v>
      </c>
      <c r="S46" s="521"/>
      <c r="T46" s="521">
        <v>0.019230769230769232</v>
      </c>
      <c r="U46" s="464"/>
      <c r="V46" s="464"/>
      <c r="W46" s="464"/>
      <c r="X46" s="464"/>
      <c r="Y46" s="464"/>
      <c r="Z46" s="464"/>
      <c r="AA46" s="464"/>
      <c r="AB46" s="464"/>
      <c r="AC46" s="464"/>
      <c r="AD46" s="464"/>
      <c r="AE46" s="464"/>
      <c r="AF46" s="464"/>
      <c r="AG46" s="464"/>
      <c r="AH46" s="464"/>
      <c r="AI46" s="464"/>
      <c r="AJ46" s="464"/>
      <c r="AK46" s="464"/>
      <c r="AL46" s="464"/>
      <c r="AM46" s="464"/>
      <c r="AN46" s="464"/>
      <c r="AO46" s="464"/>
      <c r="AP46" s="464"/>
      <c r="AQ46" s="464"/>
      <c r="AR46" s="464"/>
      <c r="AS46" s="464"/>
      <c r="AT46" s="464"/>
      <c r="AU46" s="464"/>
      <c r="AV46" s="464"/>
      <c r="AW46" s="464"/>
      <c r="AX46" s="464"/>
      <c r="AY46" s="464"/>
      <c r="AZ46" s="464"/>
      <c r="BA46" s="464"/>
      <c r="BB46" s="464"/>
      <c r="BC46" s="464"/>
      <c r="BD46" s="464"/>
      <c r="BE46" s="464"/>
      <c r="BF46" s="464"/>
      <c r="BG46" s="464"/>
      <c r="BH46" s="464"/>
      <c r="BI46" s="464"/>
      <c r="BJ46" s="464"/>
      <c r="BK46" s="464"/>
      <c r="BL46" s="464"/>
      <c r="BM46" s="464"/>
    </row>
    <row r="47">
      <c r="A47" s="466"/>
      <c r="B47" s="464"/>
      <c r="C47" s="464"/>
      <c r="D47" s="464"/>
      <c r="E47" s="464"/>
      <c r="F47" s="464"/>
      <c r="G47" s="464"/>
      <c r="H47" s="464"/>
      <c r="I47" s="464"/>
      <c r="J47" s="470"/>
      <c r="K47" s="464"/>
      <c r="L47" s="464"/>
      <c r="M47" s="415" t="s">
        <v>1178</v>
      </c>
      <c r="N47" s="521">
        <v>2.40996337</v>
      </c>
      <c r="O47" s="521">
        <v>0.1205652</v>
      </c>
      <c r="P47" s="464">
        <f t="shared" si="112"/>
        <v>0</v>
      </c>
      <c r="Q47" s="521">
        <v>0.127417845</v>
      </c>
      <c r="R47" s="521">
        <f>sum(Frequency!C17,Frequency!D17)/Frequency!B18</f>
        <v>0.2262895175</v>
      </c>
      <c r="S47" s="521"/>
      <c r="T47" s="521">
        <v>0.05128205128205128</v>
      </c>
      <c r="U47" s="464"/>
      <c r="V47" s="464"/>
      <c r="W47" s="464"/>
      <c r="X47" s="464"/>
      <c r="Y47" s="464"/>
      <c r="Z47" s="464"/>
      <c r="AA47" s="464"/>
      <c r="AB47" s="464"/>
      <c r="AC47" s="464"/>
      <c r="AD47" s="464"/>
      <c r="AE47" s="464"/>
      <c r="AF47" s="464"/>
      <c r="AG47" s="464"/>
      <c r="AH47" s="464"/>
      <c r="AI47" s="464"/>
      <c r="AJ47" s="464"/>
      <c r="AK47" s="464"/>
      <c r="AL47" s="464"/>
      <c r="AM47" s="464"/>
      <c r="AN47" s="464"/>
      <c r="AO47" s="464"/>
      <c r="AP47" s="464"/>
      <c r="AQ47" s="464"/>
      <c r="AR47" s="464"/>
      <c r="AS47" s="464"/>
      <c r="AT47" s="464"/>
      <c r="AU47" s="464"/>
      <c r="AV47" s="464"/>
      <c r="AW47" s="464"/>
      <c r="AX47" s="464"/>
      <c r="AY47" s="464"/>
      <c r="AZ47" s="464"/>
      <c r="BA47" s="464"/>
      <c r="BB47" s="464"/>
      <c r="BC47" s="464"/>
      <c r="BD47" s="464"/>
      <c r="BE47" s="464"/>
      <c r="BF47" s="464"/>
      <c r="BG47" s="464"/>
      <c r="BH47" s="464"/>
      <c r="BI47" s="464"/>
      <c r="BJ47" s="464"/>
      <c r="BK47" s="464"/>
      <c r="BL47" s="464"/>
      <c r="BM47" s="464"/>
    </row>
    <row r="48">
      <c r="A48" s="464"/>
      <c r="B48" s="345" t="s">
        <v>389</v>
      </c>
      <c r="C48" s="346" t="s">
        <v>420</v>
      </c>
      <c r="D48" s="347" t="s">
        <v>358</v>
      </c>
      <c r="E48" s="348" t="s">
        <v>363</v>
      </c>
      <c r="F48" s="349" t="s">
        <v>413</v>
      </c>
      <c r="G48" s="350" t="s">
        <v>357</v>
      </c>
      <c r="H48" s="351" t="s">
        <v>380</v>
      </c>
      <c r="I48" s="352" t="s">
        <v>387</v>
      </c>
      <c r="J48" s="464"/>
      <c r="K48" s="464"/>
      <c r="L48" s="464"/>
      <c r="M48" s="416" t="s">
        <v>1145</v>
      </c>
      <c r="N48" s="521">
        <v>0.09687506</v>
      </c>
      <c r="O48" s="521">
        <v>0.7556124</v>
      </c>
      <c r="P48" s="464">
        <f t="shared" si="112"/>
        <v>0</v>
      </c>
      <c r="Q48" s="521">
        <v>0.119800592</v>
      </c>
      <c r="R48" s="521">
        <f>sum(Frequency!C17,Frequency!E17)/Frequency!B18</f>
        <v>0.1613976705</v>
      </c>
      <c r="S48" s="521"/>
      <c r="T48" s="521">
        <v>0.01282051282051282</v>
      </c>
      <c r="U48" s="464"/>
      <c r="V48" s="464"/>
      <c r="W48" s="464"/>
      <c r="X48" s="464"/>
      <c r="Y48" s="464"/>
      <c r="Z48" s="464"/>
      <c r="AA48" s="464"/>
      <c r="AB48" s="464"/>
      <c r="AC48" s="464"/>
      <c r="AD48" s="464"/>
      <c r="AE48" s="464"/>
      <c r="AF48" s="464"/>
      <c r="AG48" s="464"/>
      <c r="AH48" s="464"/>
      <c r="AI48" s="464"/>
      <c r="AJ48" s="464"/>
      <c r="AK48" s="464"/>
      <c r="AL48" s="464"/>
      <c r="AM48" s="464"/>
      <c r="AN48" s="464"/>
      <c r="AO48" s="464"/>
      <c r="AP48" s="464"/>
      <c r="AQ48" s="464"/>
      <c r="AR48" s="464"/>
      <c r="AS48" s="464"/>
      <c r="AT48" s="464"/>
      <c r="AU48" s="464"/>
      <c r="AV48" s="464"/>
      <c r="AW48" s="464"/>
      <c r="AX48" s="464"/>
      <c r="AY48" s="464"/>
      <c r="AZ48" s="464"/>
      <c r="BA48" s="464"/>
      <c r="BB48" s="464"/>
      <c r="BC48" s="464"/>
      <c r="BD48" s="464"/>
      <c r="BE48" s="464"/>
      <c r="BF48" s="464"/>
      <c r="BG48" s="464"/>
      <c r="BH48" s="464"/>
      <c r="BI48" s="464"/>
      <c r="BJ48" s="464"/>
      <c r="BK48" s="464"/>
      <c r="BL48" s="464"/>
      <c r="BM48" s="464"/>
    </row>
    <row r="49">
      <c r="A49" s="345" t="s">
        <v>389</v>
      </c>
      <c r="B49" s="464"/>
      <c r="C49" s="506">
        <f t="shared" ref="C49:I49" si="117">(sum(C$39:C$46)/(512-$B$39))*(sum($B$39:$B$46)-$B$39)</f>
        <v>2.48</v>
      </c>
      <c r="D49" s="506">
        <f t="shared" si="117"/>
        <v>7.378</v>
      </c>
      <c r="E49" s="506">
        <f t="shared" si="117"/>
        <v>4.03</v>
      </c>
      <c r="F49" s="506">
        <f t="shared" si="117"/>
        <v>7.006</v>
      </c>
      <c r="G49" s="506">
        <f t="shared" si="117"/>
        <v>14.632</v>
      </c>
      <c r="H49" s="506">
        <f t="shared" si="117"/>
        <v>2.79</v>
      </c>
      <c r="I49" s="506">
        <f t="shared" si="117"/>
        <v>0.434</v>
      </c>
      <c r="J49" s="464">
        <f>sum(C49:I49)</f>
        <v>38.75</v>
      </c>
      <c r="K49" s="464">
        <f>sum(J16:P16)</f>
        <v>31</v>
      </c>
      <c r="L49" s="464"/>
      <c r="M49" s="417" t="s">
        <v>1301</v>
      </c>
      <c r="N49" s="521">
        <v>0.10919425</v>
      </c>
      <c r="O49" s="521">
        <v>0.7410633</v>
      </c>
      <c r="P49" s="464">
        <f t="shared" si="112"/>
        <v>0</v>
      </c>
      <c r="Q49" s="521">
        <v>0.069170507</v>
      </c>
      <c r="R49" s="521">
        <f>sum(Frequency!C17,Frequency!F17)/Frequency!B18</f>
        <v>0.2196339434</v>
      </c>
      <c r="S49" s="521"/>
      <c r="T49" s="521">
        <v>0.03205128205128205</v>
      </c>
      <c r="U49" s="464"/>
      <c r="V49" s="464"/>
      <c r="W49" s="464"/>
      <c r="X49" s="464"/>
      <c r="Y49" s="464"/>
      <c r="Z49" s="464"/>
      <c r="AA49" s="464"/>
      <c r="AB49" s="464"/>
      <c r="AC49" s="464"/>
      <c r="AD49" s="464"/>
      <c r="AE49" s="464"/>
      <c r="AF49" s="464"/>
      <c r="AG49" s="464"/>
      <c r="AH49" s="464"/>
      <c r="AI49" s="464"/>
      <c r="AJ49" s="464"/>
      <c r="AK49" s="464"/>
      <c r="AL49" s="464"/>
      <c r="AM49" s="464"/>
      <c r="AN49" s="464"/>
      <c r="AO49" s="464"/>
      <c r="AP49" s="464"/>
      <c r="AQ49" s="464"/>
      <c r="AR49" s="464"/>
      <c r="AS49" s="464"/>
      <c r="AT49" s="464"/>
      <c r="AU49" s="464"/>
      <c r="AV49" s="464"/>
      <c r="AW49" s="464"/>
      <c r="AX49" s="464"/>
      <c r="AY49" s="464"/>
      <c r="AZ49" s="464"/>
      <c r="BA49" s="464"/>
      <c r="BB49" s="464"/>
      <c r="BC49" s="464"/>
      <c r="BD49" s="464"/>
      <c r="BE49" s="464"/>
      <c r="BF49" s="464"/>
      <c r="BG49" s="464"/>
      <c r="BH49" s="464"/>
      <c r="BI49" s="464"/>
      <c r="BJ49" s="464"/>
      <c r="BK49" s="464"/>
      <c r="BL49" s="464"/>
      <c r="BM49" s="464"/>
    </row>
    <row r="50">
      <c r="A50" s="346" t="s">
        <v>420</v>
      </c>
      <c r="B50" s="506">
        <f>(sum(B$39:B$46)/(512-$C$40))*(sum($C$39:$C$46)-$C$40)</f>
        <v>2.080645161</v>
      </c>
      <c r="C50" s="464"/>
      <c r="D50" s="506">
        <f t="shared" ref="D50:I50" si="118">(sum(D$39:D$46)/(512-$C$40))*(sum($C$39:$C$46)-$C$40)</f>
        <v>5.758064516</v>
      </c>
      <c r="E50" s="506">
        <f t="shared" si="118"/>
        <v>3.14516129</v>
      </c>
      <c r="F50" s="506">
        <f t="shared" si="118"/>
        <v>5.467741935</v>
      </c>
      <c r="G50" s="506">
        <f t="shared" si="118"/>
        <v>11.41935484</v>
      </c>
      <c r="H50" s="506">
        <f t="shared" si="118"/>
        <v>2.177419355</v>
      </c>
      <c r="I50" s="506">
        <f t="shared" si="118"/>
        <v>0.3387096774</v>
      </c>
      <c r="J50" s="464">
        <f t="shared" ref="J50:J56" si="121">sum(B50:I50)</f>
        <v>30.38709677</v>
      </c>
      <c r="K50" s="464">
        <f>sum(J16,R16:W16)</f>
        <v>24</v>
      </c>
      <c r="L50" s="464"/>
      <c r="M50" s="418" t="s">
        <v>1130</v>
      </c>
      <c r="N50" s="521">
        <v>4.37339471</v>
      </c>
      <c r="O50" s="521">
        <v>0.0365042</v>
      </c>
      <c r="P50" s="464">
        <f t="shared" si="112"/>
        <v>1</v>
      </c>
      <c r="Q50" s="521">
        <v>0.117149808</v>
      </c>
      <c r="R50" s="521">
        <f>sum(Frequency!C17,Frequency!G17)/Frequency!B18</f>
        <v>0.4209650582</v>
      </c>
      <c r="S50" s="521"/>
      <c r="T50" s="521">
        <v>0.02564102564102564</v>
      </c>
      <c r="U50" s="464"/>
      <c r="V50" s="464"/>
      <c r="W50" s="464"/>
      <c r="X50" s="464"/>
      <c r="Y50" s="464"/>
      <c r="Z50" s="464"/>
      <c r="AA50" s="464"/>
      <c r="AB50" s="464"/>
      <c r="AC50" s="464"/>
      <c r="AD50" s="464"/>
      <c r="AE50" s="464"/>
      <c r="AF50" s="464"/>
      <c r="AG50" s="464"/>
      <c r="AH50" s="464"/>
      <c r="AI50" s="464"/>
      <c r="AJ50" s="464"/>
      <c r="AK50" s="464"/>
      <c r="AL50" s="464"/>
      <c r="AM50" s="464"/>
      <c r="AN50" s="464"/>
      <c r="AO50" s="464"/>
      <c r="AP50" s="464"/>
      <c r="AQ50" s="464"/>
      <c r="AR50" s="464"/>
      <c r="AS50" s="464"/>
      <c r="AT50" s="464"/>
      <c r="AU50" s="464"/>
      <c r="AV50" s="464"/>
      <c r="AW50" s="464"/>
      <c r="AX50" s="464"/>
      <c r="AY50" s="464"/>
      <c r="AZ50" s="464"/>
      <c r="BA50" s="464"/>
      <c r="BB50" s="464"/>
      <c r="BC50" s="464"/>
      <c r="BD50" s="464"/>
      <c r="BE50" s="464"/>
      <c r="BF50" s="464"/>
      <c r="BG50" s="464"/>
      <c r="BH50" s="464"/>
      <c r="BI50" s="464"/>
      <c r="BJ50" s="464"/>
      <c r="BK50" s="464"/>
      <c r="BL50" s="464"/>
      <c r="BM50" s="464"/>
    </row>
    <row r="51">
      <c r="A51" s="347" t="s">
        <v>358</v>
      </c>
      <c r="B51" s="506">
        <f t="shared" ref="B51:C51" si="119">(sum(B$39:B$46)/(512-$D$41))*(sum($D$39:$D$46)-$D$41)</f>
        <v>6.736051502</v>
      </c>
      <c r="C51" s="506">
        <f t="shared" si="119"/>
        <v>6.266094421</v>
      </c>
      <c r="D51" s="464"/>
      <c r="E51" s="506">
        <f t="shared" ref="E51:I51" si="120">(sum(E$39:E$46)/(512-$D$41))*(sum($D$39:$D$46)-$D$41)</f>
        <v>10.18240343</v>
      </c>
      <c r="F51" s="506">
        <f t="shared" si="120"/>
        <v>17.70171674</v>
      </c>
      <c r="G51" s="506">
        <f t="shared" si="120"/>
        <v>36.96995708</v>
      </c>
      <c r="H51" s="506">
        <f t="shared" si="120"/>
        <v>7.049356223</v>
      </c>
      <c r="I51" s="506">
        <f t="shared" si="120"/>
        <v>1.096566524</v>
      </c>
      <c r="J51" s="464">
        <f t="shared" si="121"/>
        <v>86.00214592</v>
      </c>
      <c r="K51" s="464">
        <f>sum(K16,R16,Z16:AD16)</f>
        <v>73</v>
      </c>
      <c r="L51" s="464"/>
      <c r="M51" s="419" t="s">
        <v>1314</v>
      </c>
      <c r="N51" s="521">
        <v>0.04059792</v>
      </c>
      <c r="O51" s="521">
        <v>0.840316</v>
      </c>
      <c r="P51" s="464">
        <f t="shared" si="112"/>
        <v>0</v>
      </c>
      <c r="Q51" s="464"/>
      <c r="R51" s="521">
        <f>sum(Frequency!C17,Frequency!H17)/Frequency!B18</f>
        <v>0.1231281198</v>
      </c>
      <c r="S51" s="521"/>
      <c r="T51" s="521">
        <v>0.01282051282051282</v>
      </c>
      <c r="U51" s="464"/>
      <c r="V51" s="464"/>
      <c r="W51" s="464"/>
      <c r="X51" s="464"/>
      <c r="Y51" s="464"/>
      <c r="Z51" s="464"/>
      <c r="AA51" s="464"/>
      <c r="AB51" s="464"/>
      <c r="AC51" s="464"/>
      <c r="AD51" s="464"/>
      <c r="AE51" s="464"/>
      <c r="AF51" s="464"/>
      <c r="AG51" s="464"/>
      <c r="AH51" s="464"/>
      <c r="AI51" s="464"/>
      <c r="AJ51" s="464"/>
      <c r="AK51" s="464"/>
      <c r="AL51" s="464"/>
      <c r="AM51" s="464"/>
      <c r="AN51" s="464"/>
      <c r="AO51" s="464"/>
      <c r="AP51" s="464"/>
      <c r="AQ51" s="464"/>
      <c r="AR51" s="464"/>
      <c r="AS51" s="464"/>
      <c r="AT51" s="464"/>
      <c r="AU51" s="464"/>
      <c r="AV51" s="464"/>
      <c r="AW51" s="464"/>
      <c r="AX51" s="464"/>
      <c r="AY51" s="464"/>
      <c r="AZ51" s="464"/>
      <c r="BA51" s="464"/>
      <c r="BB51" s="464"/>
      <c r="BC51" s="464"/>
      <c r="BD51" s="464"/>
      <c r="BE51" s="464"/>
      <c r="BF51" s="464"/>
      <c r="BG51" s="464"/>
      <c r="BH51" s="464"/>
      <c r="BI51" s="464"/>
      <c r="BJ51" s="464"/>
      <c r="BK51" s="464"/>
      <c r="BL51" s="464"/>
      <c r="BM51" s="464"/>
    </row>
    <row r="52">
      <c r="A52" s="348" t="s">
        <v>363</v>
      </c>
      <c r="B52" s="506">
        <f t="shared" ref="B52:D52" si="122">(sum(B$39:B$46)/(512-$E$42))*(sum($E$39:$E$46)-$E$42)</f>
        <v>3.122406639</v>
      </c>
      <c r="C52" s="506">
        <f t="shared" si="122"/>
        <v>2.904564315</v>
      </c>
      <c r="D52" s="506">
        <f t="shared" si="122"/>
        <v>8.641078838</v>
      </c>
      <c r="E52" s="464"/>
      <c r="F52" s="506">
        <f t="shared" ref="F52:I52" si="123">(sum(F$39:F$46)/(512-$E$42))*(sum($E$39:$E$46)-$E$42)</f>
        <v>8.205394191</v>
      </c>
      <c r="G52" s="506">
        <f t="shared" si="123"/>
        <v>17.13692946</v>
      </c>
      <c r="H52" s="506">
        <f t="shared" si="123"/>
        <v>3.267634855</v>
      </c>
      <c r="I52" s="506">
        <f t="shared" si="123"/>
        <v>0.5082987552</v>
      </c>
      <c r="J52" s="464">
        <f t="shared" si="121"/>
        <v>43.78630705</v>
      </c>
      <c r="K52" s="464">
        <f>sum(L16,S16,Z16,AH16:AK16)</f>
        <v>35</v>
      </c>
      <c r="L52" s="464"/>
      <c r="M52" s="420" t="s">
        <v>1431</v>
      </c>
      <c r="N52" s="521">
        <v>0.46559326</v>
      </c>
      <c r="O52" s="521">
        <v>0.4950215</v>
      </c>
      <c r="P52" s="464">
        <f t="shared" si="112"/>
        <v>0</v>
      </c>
      <c r="Q52" s="464"/>
      <c r="R52" s="521">
        <f>sum(Frequency!C17,Frequency!I17)/Frequency!B18</f>
        <v>0.06655574043</v>
      </c>
      <c r="S52" s="521"/>
      <c r="T52" s="521">
        <v>0.0</v>
      </c>
      <c r="U52" s="464"/>
      <c r="V52" s="464"/>
      <c r="W52" s="464"/>
      <c r="X52" s="464"/>
      <c r="Y52" s="464"/>
      <c r="Z52" s="464"/>
      <c r="AA52" s="464"/>
      <c r="AB52" s="464"/>
      <c r="AC52" s="464"/>
      <c r="AD52" s="464"/>
      <c r="AE52" s="464"/>
      <c r="AF52" s="464"/>
      <c r="AG52" s="464"/>
      <c r="AH52" s="464"/>
      <c r="AI52" s="464"/>
      <c r="AJ52" s="464"/>
      <c r="AK52" s="464"/>
      <c r="AL52" s="464"/>
      <c r="AM52" s="464"/>
      <c r="AN52" s="464"/>
      <c r="AO52" s="464"/>
      <c r="AP52" s="464"/>
      <c r="AQ52" s="464"/>
      <c r="AR52" s="464"/>
      <c r="AS52" s="464"/>
      <c r="AT52" s="464"/>
      <c r="AU52" s="464"/>
      <c r="AV52" s="464"/>
      <c r="AW52" s="464"/>
      <c r="AX52" s="464"/>
      <c r="AY52" s="464"/>
      <c r="AZ52" s="464"/>
      <c r="BA52" s="464"/>
      <c r="BB52" s="464"/>
      <c r="BC52" s="464"/>
      <c r="BD52" s="464"/>
      <c r="BE52" s="464"/>
      <c r="BF52" s="464"/>
      <c r="BG52" s="464"/>
      <c r="BH52" s="464"/>
      <c r="BI52" s="464"/>
      <c r="BJ52" s="464"/>
      <c r="BK52" s="464"/>
      <c r="BL52" s="464"/>
      <c r="BM52" s="464"/>
    </row>
    <row r="53">
      <c r="A53" s="349" t="s">
        <v>413</v>
      </c>
      <c r="B53" s="506">
        <f t="shared" ref="B53:E53" si="124">(sum(B$39:B$46)/(512-$F$43))*(sum($F$39:$F$46)-$F$43)</f>
        <v>5.457330416</v>
      </c>
      <c r="C53" s="506">
        <f t="shared" si="124"/>
        <v>5.076586433</v>
      </c>
      <c r="D53" s="506">
        <f t="shared" si="124"/>
        <v>15.10284464</v>
      </c>
      <c r="E53" s="506">
        <f t="shared" si="124"/>
        <v>8.249452954</v>
      </c>
      <c r="F53" s="464"/>
      <c r="G53" s="506">
        <f t="shared" ref="G53:I53" si="125">(sum(G$39:G$46)/(512-$F$43))*(sum($F$39:$F$46)-$F$43)</f>
        <v>29.95185996</v>
      </c>
      <c r="H53" s="506">
        <f t="shared" si="125"/>
        <v>5.711159737</v>
      </c>
      <c r="I53" s="506">
        <f t="shared" si="125"/>
        <v>0.8884026258</v>
      </c>
      <c r="J53" s="464">
        <f t="shared" si="121"/>
        <v>70.43763676</v>
      </c>
      <c r="K53" s="464">
        <f>sum(M16,T16,AA16,AH16,AP16:AR16)</f>
        <v>58</v>
      </c>
      <c r="L53" s="464"/>
      <c r="M53" s="421" t="s">
        <v>1432</v>
      </c>
      <c r="N53" s="521">
        <v>0.2794483</v>
      </c>
      <c r="O53" s="521">
        <v>0.597063047</v>
      </c>
      <c r="P53" s="464">
        <f t="shared" si="112"/>
        <v>0</v>
      </c>
      <c r="Q53" s="464">
        <v>0.132754072</v>
      </c>
      <c r="R53" s="521">
        <v>0.22795341098169716</v>
      </c>
      <c r="S53" s="521"/>
      <c r="T53" s="521">
        <v>0.04487179487179487</v>
      </c>
      <c r="U53" s="464"/>
      <c r="V53" s="464"/>
      <c r="W53" s="464"/>
      <c r="X53" s="464"/>
      <c r="Y53" s="464"/>
      <c r="Z53" s="464"/>
      <c r="AA53" s="464"/>
      <c r="AB53" s="464"/>
      <c r="AC53" s="464"/>
      <c r="AD53" s="464"/>
      <c r="AE53" s="464"/>
      <c r="AF53" s="464"/>
      <c r="AG53" s="464"/>
      <c r="AH53" s="464"/>
      <c r="AI53" s="464"/>
      <c r="AJ53" s="464"/>
      <c r="AK53" s="464"/>
      <c r="AL53" s="464"/>
      <c r="AM53" s="464"/>
      <c r="AN53" s="464"/>
      <c r="AO53" s="464"/>
      <c r="AP53" s="464"/>
      <c r="AQ53" s="464"/>
      <c r="AR53" s="464"/>
      <c r="AS53" s="464"/>
      <c r="AT53" s="464"/>
      <c r="AU53" s="464"/>
      <c r="AV53" s="464"/>
      <c r="AW53" s="464"/>
      <c r="AX53" s="464"/>
      <c r="AY53" s="464"/>
      <c r="AZ53" s="464"/>
      <c r="BA53" s="464"/>
      <c r="BB53" s="464"/>
      <c r="BC53" s="464"/>
      <c r="BD53" s="464"/>
      <c r="BE53" s="464"/>
      <c r="BF53" s="464"/>
      <c r="BG53" s="464"/>
      <c r="BH53" s="464"/>
      <c r="BI53" s="464"/>
      <c r="BJ53" s="464"/>
      <c r="BK53" s="464"/>
      <c r="BL53" s="464"/>
      <c r="BM53" s="464"/>
    </row>
    <row r="54">
      <c r="A54" s="350" t="s">
        <v>357</v>
      </c>
      <c r="B54" s="506">
        <f t="shared" ref="B54:F54" si="126">(sum(B$39:B$46)/(512-$G$44))*(sum($G$39:$G$46)-$G$44)</f>
        <v>8.798270893</v>
      </c>
      <c r="C54" s="506">
        <f t="shared" si="126"/>
        <v>8.18443804</v>
      </c>
      <c r="D54" s="506">
        <f t="shared" si="126"/>
        <v>24.34870317</v>
      </c>
      <c r="E54" s="506">
        <f t="shared" si="126"/>
        <v>13.29971182</v>
      </c>
      <c r="F54" s="506">
        <f t="shared" si="126"/>
        <v>23.12103746</v>
      </c>
      <c r="G54" s="464"/>
      <c r="H54" s="506">
        <f t="shared" ref="H54:I54" si="127">(sum(H$39:H$46)/(512-$G$44))*(sum($G$39:$G$46)-$G$44)</f>
        <v>9.207492795</v>
      </c>
      <c r="I54" s="506">
        <f t="shared" si="127"/>
        <v>1.432276657</v>
      </c>
      <c r="J54" s="464">
        <f t="shared" si="121"/>
        <v>88.39193084</v>
      </c>
      <c r="K54" s="464">
        <f>sum(N16,U16,AB16,AI16,AP16,AX16,AY16)</f>
        <v>71</v>
      </c>
      <c r="L54" s="464"/>
      <c r="M54" s="422" t="s">
        <v>1433</v>
      </c>
      <c r="N54" s="521">
        <v>1.218103</v>
      </c>
      <c r="O54" s="521">
        <v>0.269733221</v>
      </c>
      <c r="P54" s="464">
        <f t="shared" si="112"/>
        <v>0</v>
      </c>
      <c r="Q54" s="464">
        <v>0.127417845</v>
      </c>
      <c r="R54" s="521">
        <v>0.22628951747088186</v>
      </c>
      <c r="S54" s="521"/>
      <c r="T54" s="521">
        <v>0.05128205128205128</v>
      </c>
      <c r="U54" s="464"/>
      <c r="V54" s="464"/>
      <c r="W54" s="464"/>
      <c r="X54" s="464"/>
      <c r="Y54" s="464"/>
      <c r="Z54" s="464"/>
      <c r="AA54" s="464"/>
      <c r="AB54" s="464"/>
      <c r="AC54" s="464"/>
      <c r="AD54" s="464"/>
      <c r="AE54" s="464"/>
      <c r="AF54" s="464"/>
      <c r="AG54" s="464"/>
      <c r="AH54" s="464"/>
      <c r="AI54" s="464"/>
      <c r="AJ54" s="464"/>
      <c r="AK54" s="464"/>
      <c r="AL54" s="464"/>
      <c r="AM54" s="464"/>
      <c r="AN54" s="464"/>
      <c r="AO54" s="464"/>
      <c r="AP54" s="464"/>
      <c r="AQ54" s="464"/>
      <c r="AR54" s="464"/>
      <c r="AS54" s="464"/>
      <c r="AT54" s="464"/>
      <c r="AU54" s="464"/>
      <c r="AV54" s="464"/>
      <c r="AW54" s="464"/>
      <c r="AX54" s="464"/>
      <c r="AY54" s="464"/>
      <c r="AZ54" s="464"/>
      <c r="BA54" s="464"/>
      <c r="BB54" s="464"/>
      <c r="BC54" s="464"/>
      <c r="BD54" s="464"/>
      <c r="BE54" s="464"/>
      <c r="BF54" s="464"/>
      <c r="BG54" s="464"/>
      <c r="BH54" s="464"/>
      <c r="BI54" s="464"/>
      <c r="BJ54" s="464"/>
      <c r="BK54" s="464"/>
      <c r="BL54" s="464"/>
      <c r="BM54" s="464"/>
    </row>
    <row r="55">
      <c r="A55" s="351" t="s">
        <v>380</v>
      </c>
      <c r="B55" s="506">
        <f t="shared" ref="B55:G55" si="128">(sum(B$39:B$46)/(512-$H$45))*(sum($H$39:$H$46)-$H$45)</f>
        <v>1.595876289</v>
      </c>
      <c r="C55" s="506">
        <f t="shared" si="128"/>
        <v>1.484536082</v>
      </c>
      <c r="D55" s="506">
        <f t="shared" si="128"/>
        <v>4.416494845</v>
      </c>
      <c r="E55" s="506">
        <f t="shared" si="128"/>
        <v>2.412371134</v>
      </c>
      <c r="F55" s="506">
        <f t="shared" si="128"/>
        <v>4.193814433</v>
      </c>
      <c r="G55" s="506">
        <f t="shared" si="128"/>
        <v>8.758762887</v>
      </c>
      <c r="H55" s="464"/>
      <c r="I55" s="506">
        <f>(sum(I$39:I$46)/(512-$H$45))*(sum($H$39:$H$46)-$H$45)</f>
        <v>0.2597938144</v>
      </c>
      <c r="J55" s="464">
        <f t="shared" si="121"/>
        <v>23.12164948</v>
      </c>
      <c r="K55" s="464">
        <f>sum(O16,V16,AC16,AJ16,AQ16,AX16,BF16)</f>
        <v>18</v>
      </c>
      <c r="L55" s="464"/>
      <c r="M55" s="423" t="s">
        <v>1095</v>
      </c>
      <c r="N55" s="521">
        <v>0.01577724</v>
      </c>
      <c r="O55" s="521">
        <v>0.900042627</v>
      </c>
      <c r="P55" s="464">
        <f t="shared" si="112"/>
        <v>0</v>
      </c>
      <c r="Q55" s="521">
        <v>0.139073207</v>
      </c>
      <c r="R55" s="521"/>
      <c r="S55" s="521"/>
      <c r="T55" s="521">
        <v>0.057692307692307696</v>
      </c>
      <c r="U55" s="464"/>
      <c r="V55" s="464"/>
      <c r="W55" s="464"/>
      <c r="X55" s="464"/>
      <c r="Y55" s="464"/>
      <c r="Z55" s="464"/>
      <c r="AA55" s="464"/>
      <c r="AB55" s="464"/>
      <c r="AC55" s="464"/>
      <c r="AD55" s="464"/>
      <c r="AE55" s="464"/>
      <c r="AF55" s="464"/>
      <c r="AG55" s="464"/>
      <c r="AH55" s="464"/>
      <c r="AI55" s="464"/>
      <c r="AJ55" s="464"/>
      <c r="AK55" s="464"/>
      <c r="AL55" s="464"/>
      <c r="AM55" s="464"/>
      <c r="AN55" s="464"/>
      <c r="AO55" s="464"/>
      <c r="AP55" s="464"/>
      <c r="AQ55" s="464"/>
      <c r="AR55" s="464"/>
      <c r="AS55" s="464"/>
      <c r="AT55" s="464"/>
      <c r="AU55" s="464"/>
      <c r="AV55" s="464"/>
      <c r="AW55" s="464"/>
      <c r="AX55" s="464"/>
      <c r="AY55" s="464"/>
      <c r="AZ55" s="464"/>
      <c r="BA55" s="464"/>
      <c r="BB55" s="464"/>
      <c r="BC55" s="464"/>
      <c r="BD55" s="464"/>
      <c r="BE55" s="464"/>
      <c r="BF55" s="464"/>
      <c r="BG55" s="464"/>
      <c r="BH55" s="464"/>
      <c r="BI55" s="464"/>
      <c r="BJ55" s="464"/>
      <c r="BK55" s="464"/>
      <c r="BL55" s="464"/>
      <c r="BM55" s="464"/>
    </row>
    <row r="56">
      <c r="A56" s="352" t="s">
        <v>387</v>
      </c>
      <c r="B56" s="506">
        <f t="shared" ref="B56:H56" si="129">(sum(B$39:B$46)/(512-$I$46))*(sum($I$39:$I$46)-$I$46)</f>
        <v>0.1696252465</v>
      </c>
      <c r="C56" s="506">
        <f t="shared" si="129"/>
        <v>0.157790927</v>
      </c>
      <c r="D56" s="506">
        <f t="shared" si="129"/>
        <v>0.4694280079</v>
      </c>
      <c r="E56" s="506">
        <f t="shared" si="129"/>
        <v>0.2564102564</v>
      </c>
      <c r="F56" s="506">
        <f t="shared" si="129"/>
        <v>0.4457593688</v>
      </c>
      <c r="G56" s="506">
        <f t="shared" si="129"/>
        <v>0.9309664694</v>
      </c>
      <c r="H56" s="506">
        <f t="shared" si="129"/>
        <v>0.1775147929</v>
      </c>
      <c r="I56" s="464"/>
      <c r="J56" s="464">
        <f t="shared" si="121"/>
        <v>2.607495069</v>
      </c>
      <c r="K56" s="464">
        <f>sum(P16,W16,AD16,AK16,AR16,AY16,BF16)</f>
        <v>2</v>
      </c>
      <c r="L56" s="464"/>
      <c r="M56" s="424" t="s">
        <v>1103</v>
      </c>
      <c r="N56" s="521">
        <v>4.567697</v>
      </c>
      <c r="O56" s="521">
        <v>0.032580342</v>
      </c>
      <c r="P56" s="464">
        <f t="shared" si="112"/>
        <v>1</v>
      </c>
      <c r="Q56" s="521">
        <v>0.127087183</v>
      </c>
      <c r="R56" s="521"/>
      <c r="S56" s="521"/>
      <c r="T56" s="521">
        <v>0.14743589743589744</v>
      </c>
      <c r="V56" s="464"/>
      <c r="W56" s="464"/>
      <c r="X56" s="464"/>
      <c r="Y56" s="464"/>
      <c r="Z56" s="464"/>
      <c r="AA56" s="464"/>
      <c r="AB56" s="464"/>
      <c r="AC56" s="464"/>
      <c r="AD56" s="464"/>
      <c r="AE56" s="464"/>
      <c r="AF56" s="464"/>
      <c r="AG56" s="464"/>
      <c r="AH56" s="464"/>
      <c r="AI56" s="464"/>
      <c r="AJ56" s="464"/>
      <c r="AK56" s="464"/>
      <c r="AL56" s="464"/>
      <c r="AM56" s="464"/>
      <c r="AN56" s="464"/>
      <c r="AO56" s="464"/>
      <c r="AP56" s="464"/>
      <c r="AQ56" s="464"/>
      <c r="AR56" s="464"/>
      <c r="AS56" s="464"/>
      <c r="AT56" s="464"/>
      <c r="AU56" s="464"/>
      <c r="AV56" s="464"/>
      <c r="AW56" s="464"/>
      <c r="AX56" s="464"/>
      <c r="AY56" s="464"/>
      <c r="AZ56" s="464"/>
      <c r="BA56" s="464"/>
      <c r="BB56" s="464"/>
      <c r="BC56" s="464"/>
      <c r="BD56" s="464"/>
      <c r="BE56" s="464"/>
      <c r="BF56" s="464"/>
      <c r="BG56" s="464"/>
      <c r="BH56" s="464"/>
      <c r="BI56" s="464"/>
      <c r="BJ56" s="464"/>
      <c r="BK56" s="464"/>
      <c r="BL56" s="464"/>
      <c r="BM56" s="464"/>
    </row>
    <row r="57">
      <c r="A57" s="464"/>
      <c r="C57" s="464"/>
      <c r="D57" s="464"/>
      <c r="E57" s="464"/>
      <c r="F57" s="464"/>
      <c r="G57" s="464"/>
      <c r="H57" s="464"/>
      <c r="I57" s="466"/>
      <c r="J57" s="464"/>
      <c r="K57" s="464"/>
      <c r="L57" s="464"/>
      <c r="M57" s="425" t="s">
        <v>1090</v>
      </c>
      <c r="N57" s="521">
        <v>7.257443</v>
      </c>
      <c r="O57" s="521">
        <v>0.007060775</v>
      </c>
      <c r="P57" s="464">
        <f t="shared" si="112"/>
        <v>1</v>
      </c>
      <c r="Q57" s="521">
        <v>0.132499419</v>
      </c>
      <c r="R57" s="521"/>
      <c r="S57" s="521"/>
      <c r="T57" s="521">
        <v>0.1282051282051282</v>
      </c>
      <c r="U57" s="464"/>
      <c r="V57" s="464"/>
      <c r="W57" s="464"/>
      <c r="X57" s="464"/>
      <c r="Y57" s="464"/>
      <c r="Z57" s="464"/>
      <c r="AA57" s="464"/>
      <c r="AB57" s="464"/>
      <c r="AC57" s="464"/>
      <c r="AD57" s="464"/>
      <c r="AE57" s="464"/>
      <c r="AF57" s="464"/>
      <c r="AG57" s="464"/>
      <c r="AH57" s="464"/>
      <c r="AI57" s="464"/>
      <c r="AJ57" s="464"/>
      <c r="AK57" s="464"/>
      <c r="AL57" s="464"/>
      <c r="AM57" s="464"/>
      <c r="AN57" s="464"/>
      <c r="AO57" s="464"/>
      <c r="AP57" s="464"/>
      <c r="AQ57" s="464"/>
      <c r="AR57" s="464"/>
      <c r="AS57" s="464"/>
      <c r="AT57" s="464"/>
      <c r="AU57" s="464"/>
      <c r="AV57" s="464"/>
      <c r="AW57" s="464"/>
      <c r="AX57" s="464"/>
      <c r="AY57" s="464"/>
      <c r="AZ57" s="464"/>
      <c r="BA57" s="464"/>
      <c r="BB57" s="464"/>
      <c r="BC57" s="464"/>
      <c r="BD57" s="464"/>
      <c r="BE57" s="464"/>
      <c r="BF57" s="464"/>
      <c r="BG57" s="464"/>
      <c r="BH57" s="464"/>
      <c r="BI57" s="464"/>
      <c r="BJ57" s="464"/>
      <c r="BK57" s="464"/>
      <c r="BL57" s="464"/>
      <c r="BM57" s="464"/>
    </row>
    <row r="58">
      <c r="A58" s="464"/>
      <c r="B58" s="345" t="s">
        <v>389</v>
      </c>
      <c r="C58" s="346" t="s">
        <v>420</v>
      </c>
      <c r="D58" s="347" t="s">
        <v>358</v>
      </c>
      <c r="E58" s="348" t="s">
        <v>363</v>
      </c>
      <c r="F58" s="349" t="s">
        <v>413</v>
      </c>
      <c r="G58" s="350" t="s">
        <v>357</v>
      </c>
      <c r="H58" s="351" t="s">
        <v>380</v>
      </c>
      <c r="I58" s="352" t="s">
        <v>387</v>
      </c>
      <c r="J58" s="466" t="s">
        <v>1497</v>
      </c>
      <c r="K58" s="464"/>
      <c r="L58" s="464"/>
      <c r="M58" s="426" t="s">
        <v>1296</v>
      </c>
      <c r="N58" s="521">
        <v>4.665077E-5</v>
      </c>
      <c r="O58" s="521">
        <v>0.994550382</v>
      </c>
      <c r="P58" s="464">
        <f t="shared" si="112"/>
        <v>0</v>
      </c>
      <c r="Q58" s="464"/>
      <c r="R58" s="521"/>
      <c r="S58" s="521"/>
      <c r="T58" s="521">
        <v>0.038461538461538464</v>
      </c>
      <c r="U58" s="464"/>
      <c r="V58" s="464"/>
      <c r="W58" s="464"/>
      <c r="X58" s="464"/>
      <c r="Y58" s="464"/>
      <c r="Z58" s="464"/>
      <c r="AA58" s="464"/>
      <c r="AB58" s="464"/>
      <c r="AC58" s="464"/>
      <c r="AD58" s="464"/>
      <c r="AE58" s="464"/>
      <c r="AF58" s="464"/>
      <c r="AG58" s="464"/>
      <c r="AH58" s="464"/>
      <c r="AI58" s="464"/>
      <c r="AJ58" s="464"/>
      <c r="AK58" s="464"/>
      <c r="AL58" s="464"/>
      <c r="AM58" s="464"/>
      <c r="AN58" s="464"/>
      <c r="AO58" s="464"/>
      <c r="AP58" s="464"/>
      <c r="AQ58" s="464"/>
      <c r="AR58" s="464"/>
      <c r="AS58" s="464"/>
      <c r="AT58" s="464"/>
      <c r="AU58" s="464"/>
      <c r="AV58" s="464"/>
      <c r="AW58" s="464"/>
      <c r="AX58" s="464"/>
      <c r="AY58" s="464"/>
      <c r="AZ58" s="464"/>
      <c r="BA58" s="464"/>
      <c r="BB58" s="464"/>
      <c r="BC58" s="464"/>
      <c r="BD58" s="464"/>
      <c r="BE58" s="464"/>
      <c r="BF58" s="464"/>
      <c r="BG58" s="464"/>
      <c r="BH58" s="464"/>
      <c r="BI58" s="464"/>
      <c r="BJ58" s="464"/>
      <c r="BK58" s="464"/>
      <c r="BL58" s="464"/>
      <c r="BM58" s="464"/>
    </row>
    <row r="59">
      <c r="A59" s="466" t="s">
        <v>1478</v>
      </c>
      <c r="B59" s="464">
        <f t="shared" ref="B59:I59" si="130">B16</f>
        <v>12</v>
      </c>
      <c r="C59" s="464">
        <f t="shared" si="130"/>
        <v>16</v>
      </c>
      <c r="D59" s="464">
        <f t="shared" si="130"/>
        <v>46</v>
      </c>
      <c r="E59" s="464">
        <f t="shared" si="130"/>
        <v>30</v>
      </c>
      <c r="F59" s="464">
        <f t="shared" si="130"/>
        <v>55</v>
      </c>
      <c r="G59" s="464">
        <f t="shared" si="130"/>
        <v>165</v>
      </c>
      <c r="H59" s="464">
        <f t="shared" si="130"/>
        <v>27</v>
      </c>
      <c r="I59" s="464">
        <f t="shared" si="130"/>
        <v>5</v>
      </c>
      <c r="J59" s="467">
        <f>CORREL(B59:I59,B61:I61)</f>
        <v>0.9867488425</v>
      </c>
      <c r="K59" s="464"/>
      <c r="L59" s="464"/>
      <c r="M59" s="427" t="s">
        <v>1270</v>
      </c>
      <c r="N59" s="521">
        <v>1.78798</v>
      </c>
      <c r="O59" s="521">
        <v>0.181172472</v>
      </c>
      <c r="P59" s="464">
        <f t="shared" si="112"/>
        <v>0</v>
      </c>
      <c r="Q59" s="464"/>
      <c r="R59" s="521"/>
      <c r="S59" s="521"/>
      <c r="T59" s="521">
        <v>0.0</v>
      </c>
      <c r="U59" s="464"/>
      <c r="V59" s="464"/>
      <c r="W59" s="464"/>
      <c r="X59" s="464"/>
      <c r="Y59" s="464"/>
      <c r="Z59" s="464"/>
      <c r="AA59" s="464"/>
      <c r="AB59" s="464"/>
      <c r="AC59" s="464"/>
      <c r="AD59" s="464"/>
      <c r="AE59" s="464"/>
      <c r="AF59" s="464"/>
      <c r="AG59" s="464"/>
      <c r="AH59" s="464"/>
      <c r="AI59" s="464"/>
      <c r="AJ59" s="464"/>
      <c r="AK59" s="464"/>
      <c r="AL59" s="464"/>
      <c r="AM59" s="464"/>
      <c r="AN59" s="464"/>
      <c r="AO59" s="464"/>
      <c r="AP59" s="464"/>
      <c r="AQ59" s="464"/>
      <c r="AR59" s="464"/>
      <c r="AS59" s="464"/>
      <c r="AT59" s="464"/>
      <c r="AU59" s="464"/>
      <c r="AV59" s="464"/>
      <c r="AW59" s="464"/>
      <c r="AX59" s="464"/>
      <c r="AY59" s="464"/>
      <c r="AZ59" s="464"/>
      <c r="BA59" s="464"/>
      <c r="BB59" s="464"/>
      <c r="BC59" s="464"/>
      <c r="BD59" s="464"/>
      <c r="BE59" s="464"/>
      <c r="BF59" s="464"/>
      <c r="BG59" s="464"/>
      <c r="BH59" s="464"/>
      <c r="BI59" s="464"/>
      <c r="BJ59" s="464"/>
      <c r="BK59" s="464"/>
      <c r="BL59" s="464"/>
      <c r="BM59" s="464"/>
    </row>
    <row r="60">
      <c r="A60" s="466" t="s">
        <v>1586</v>
      </c>
      <c r="B60" s="464">
        <f t="shared" ref="B60:I60" si="131">B59/sum($B$59:$I$59)</f>
        <v>0.03370786517</v>
      </c>
      <c r="C60" s="464">
        <f t="shared" si="131"/>
        <v>0.04494382022</v>
      </c>
      <c r="D60" s="464">
        <f t="shared" si="131"/>
        <v>0.1292134831</v>
      </c>
      <c r="E60" s="464">
        <f t="shared" si="131"/>
        <v>0.08426966292</v>
      </c>
      <c r="F60" s="464">
        <f t="shared" si="131"/>
        <v>0.154494382</v>
      </c>
      <c r="G60" s="464">
        <f t="shared" si="131"/>
        <v>0.4634831461</v>
      </c>
      <c r="H60" s="464">
        <f t="shared" si="131"/>
        <v>0.07584269663</v>
      </c>
      <c r="I60" s="464">
        <f t="shared" si="131"/>
        <v>0.01404494382</v>
      </c>
      <c r="J60" s="464"/>
      <c r="K60" s="464"/>
      <c r="L60" s="464"/>
      <c r="M60" s="428" t="s">
        <v>1434</v>
      </c>
      <c r="N60" s="521">
        <v>0.10236401</v>
      </c>
      <c r="O60" s="521">
        <v>0.749011</v>
      </c>
      <c r="P60" s="464">
        <f t="shared" si="112"/>
        <v>0</v>
      </c>
      <c r="Q60" s="464">
        <v>0.119046481</v>
      </c>
      <c r="R60" s="521"/>
      <c r="S60" s="521"/>
      <c r="T60" s="521">
        <v>0.01282051282051282</v>
      </c>
      <c r="U60" s="464"/>
      <c r="V60" s="464"/>
      <c r="W60" s="464"/>
      <c r="X60" s="464"/>
      <c r="Y60" s="464"/>
      <c r="Z60" s="464"/>
      <c r="AA60" s="464"/>
      <c r="AB60" s="464"/>
      <c r="AC60" s="464"/>
      <c r="AD60" s="464"/>
      <c r="AE60" s="464"/>
      <c r="AF60" s="464"/>
      <c r="AG60" s="464"/>
      <c r="AH60" s="464"/>
      <c r="AI60" s="464"/>
      <c r="AJ60" s="464"/>
      <c r="AK60" s="464"/>
      <c r="AL60" s="464"/>
      <c r="AM60" s="464"/>
      <c r="AN60" s="464"/>
      <c r="AO60" s="464"/>
      <c r="AP60" s="464"/>
      <c r="AQ60" s="464"/>
      <c r="AR60" s="464"/>
      <c r="AS60" s="464"/>
      <c r="AT60" s="464"/>
      <c r="AU60" s="464"/>
      <c r="AV60" s="464"/>
      <c r="AW60" s="464"/>
      <c r="AX60" s="464"/>
      <c r="AY60" s="464"/>
      <c r="AZ60" s="464"/>
      <c r="BA60" s="464"/>
      <c r="BB60" s="464"/>
      <c r="BC60" s="464"/>
      <c r="BD60" s="464"/>
      <c r="BE60" s="464"/>
      <c r="BF60" s="464"/>
      <c r="BG60" s="464"/>
      <c r="BH60" s="464"/>
      <c r="BI60" s="464"/>
      <c r="BJ60" s="464"/>
      <c r="BK60" s="464"/>
      <c r="BL60" s="464"/>
      <c r="BM60" s="464"/>
    </row>
    <row r="61">
      <c r="A61" s="466" t="s">
        <v>1587</v>
      </c>
      <c r="B61" s="464">
        <f>sum('07-28-09'!AJ14,'11-05-09'!AI24,'01-28-10'!AK75,'03-06-10'!AN63,'05-21-10'!AO74,'07-14-10'!AI66,'09-23-10'!AI71,'11-05-10'!AL69,'03-04-11'!AE61,'07-13-11'!AJ83,'01-17-12'!AK90,'01-31-12'!AO92,'02-14-12'!AJ93,'03-15-12'!AJ86)</f>
        <v>46</v>
      </c>
      <c r="C61" s="464">
        <f>sum('07-28-09'!AK14,'11-05-09'!AJ24,'01-28-10'!AL75,'03-06-10'!AO63,'05-21-10'!AP74,'07-14-10'!AJ66,'09-23-10'!AJ71,'11-05-10'!AM69,'03-04-11'!AF61,'07-13-11'!AK83,'01-17-12'!AL90,'01-31-12'!AP92,'02-14-12'!AK93,'03-15-12'!AK86)</f>
        <v>48</v>
      </c>
      <c r="D61" s="464">
        <f>sum('07-28-09'!AL14,'11-05-09'!AK24,'01-28-10'!AM75,'03-06-10'!AP63,'05-21-10'!AQ74,'07-14-10'!AK66,'09-23-10'!AK71,'11-05-10'!AN69,'03-04-11'!AG61,'07-13-11'!AL83,'01-17-12'!AM90,'01-31-12'!AQ92,'02-14-12'!AL93,'03-15-12'!AL86)</f>
        <v>157</v>
      </c>
      <c r="E61" s="464">
        <f>sum('07-28-09'!AM14,'11-05-09'!AL24,'01-28-10'!AN75,'03-06-10'!AQ63,'05-21-10'!AR74,'07-14-10'!AL66,'09-23-10'!AL71,'11-05-10'!AO69,'03-04-11'!AH61,'07-13-11'!AM83,'01-17-12'!AN90,'01-31-12'!AR92,'02-14-12'!AM93,'03-15-12'!AM86)</f>
        <v>96</v>
      </c>
      <c r="F61" s="464">
        <f>sum('07-28-09'!AN14,'11-05-09'!AM24,'01-28-10'!AO75,'03-06-10'!AR63,'05-21-10'!AS74,'07-14-10'!AM66,'09-23-10'!AM71,'11-05-10'!AP69,'03-04-11'!AI61,'07-13-11'!AN83,'01-17-12'!AO90,'01-31-12'!AS92,'02-14-12'!AN93,'03-15-12'!AN86)</f>
        <v>192</v>
      </c>
      <c r="G61" s="464">
        <f>sum('07-28-09'!AO14,'11-05-09'!AN24,'01-28-10'!AP75,'03-06-10'!AS63,'05-21-10'!AT74,'07-14-10'!AN66,'09-23-10'!AN71,'11-05-10'!AQ69,'03-04-11'!AJ61,'07-13-11'!AO83,'01-17-12'!AP90,'01-31-12'!AT92,'02-14-12'!AO93,'03-15-12'!AO86)</f>
        <v>438</v>
      </c>
      <c r="H61" s="464">
        <f>sum('07-28-09'!AP14,'11-05-09'!AO24,'01-28-10'!AQ75,'03-06-10'!AT63,'05-21-10'!AU74,'07-14-10'!AO66,'09-23-10'!AO71,'11-05-10'!AR69,'03-04-11'!AK61,'07-13-11'!AP83,'01-17-12'!AQ90,'01-31-12'!AU92,'02-14-12'!AP93,'03-15-12'!AP86)</f>
        <v>46</v>
      </c>
      <c r="I61" s="464">
        <f>sum('07-28-09'!AQ14,'11-05-09'!AP24,'01-28-10'!AR75,'03-06-10'!AU63,'05-21-10'!AV74,'07-14-10'!AP66,'09-23-10'!AP71,'11-05-10'!AS69,'03-04-11'!AL61,'07-13-11'!AQ83,'01-17-12'!AR90,'01-31-12'!AV92,'02-14-12'!AQ93,'03-15-12'!AQ86)</f>
        <v>8</v>
      </c>
      <c r="J61" s="464"/>
      <c r="K61" s="464"/>
      <c r="L61" s="464"/>
      <c r="M61" s="429" t="s">
        <v>1435</v>
      </c>
      <c r="N61" s="521">
        <v>0.04513267</v>
      </c>
      <c r="O61" s="521">
        <v>0.8317603</v>
      </c>
      <c r="P61" s="464">
        <f t="shared" si="112"/>
        <v>0</v>
      </c>
      <c r="Q61" s="464">
        <v>0.119800592</v>
      </c>
      <c r="R61" s="521"/>
      <c r="S61" s="521"/>
      <c r="T61" s="521">
        <v>0.01282051282051282</v>
      </c>
      <c r="U61" s="464"/>
      <c r="V61" s="464"/>
      <c r="W61" s="464"/>
      <c r="X61" s="464"/>
      <c r="Y61" s="464"/>
      <c r="Z61" s="464"/>
      <c r="AA61" s="464"/>
      <c r="AB61" s="464"/>
      <c r="AC61" s="464"/>
      <c r="AD61" s="464"/>
      <c r="AE61" s="464"/>
      <c r="AF61" s="464"/>
      <c r="AG61" s="464"/>
      <c r="AH61" s="464"/>
      <c r="AI61" s="464"/>
      <c r="AJ61" s="464"/>
      <c r="AK61" s="464"/>
      <c r="AL61" s="464"/>
      <c r="AM61" s="464"/>
      <c r="AN61" s="464"/>
      <c r="AO61" s="464"/>
      <c r="AP61" s="464"/>
      <c r="AQ61" s="464"/>
      <c r="AR61" s="464"/>
      <c r="AS61" s="464"/>
      <c r="AT61" s="464"/>
      <c r="AU61" s="464"/>
      <c r="AV61" s="464"/>
      <c r="AW61" s="464"/>
      <c r="AX61" s="464"/>
      <c r="AY61" s="464"/>
      <c r="AZ61" s="464"/>
      <c r="BA61" s="464"/>
      <c r="BB61" s="464"/>
      <c r="BC61" s="464"/>
      <c r="BD61" s="464"/>
      <c r="BE61" s="464"/>
      <c r="BF61" s="464"/>
      <c r="BG61" s="464"/>
      <c r="BH61" s="464"/>
      <c r="BI61" s="464"/>
      <c r="BJ61" s="464"/>
      <c r="BK61" s="464"/>
      <c r="BL61" s="464"/>
      <c r="BM61" s="464"/>
    </row>
    <row r="62">
      <c r="A62" s="466" t="s">
        <v>1588</v>
      </c>
      <c r="B62" s="464">
        <f t="shared" ref="B62:I62" si="132">B61/sum($B$61:$I$61)</f>
        <v>0.04461687682</v>
      </c>
      <c r="C62" s="464">
        <f t="shared" si="132"/>
        <v>0.04655674103</v>
      </c>
      <c r="D62" s="464">
        <f t="shared" si="132"/>
        <v>0.1522793404</v>
      </c>
      <c r="E62" s="464">
        <f t="shared" si="132"/>
        <v>0.09311348206</v>
      </c>
      <c r="F62" s="464">
        <f t="shared" si="132"/>
        <v>0.1862269641</v>
      </c>
      <c r="G62" s="464">
        <f t="shared" si="132"/>
        <v>0.4248302619</v>
      </c>
      <c r="H62" s="464">
        <f t="shared" si="132"/>
        <v>0.04461687682</v>
      </c>
      <c r="I62" s="464">
        <f t="shared" si="132"/>
        <v>0.007759456838</v>
      </c>
      <c r="J62" s="464"/>
      <c r="K62" s="464"/>
      <c r="L62" s="464"/>
      <c r="M62" s="430" t="s">
        <v>1436</v>
      </c>
      <c r="N62" s="521">
        <v>0.66701032</v>
      </c>
      <c r="O62" s="521">
        <v>0.4140959</v>
      </c>
      <c r="P62" s="464">
        <f t="shared" si="112"/>
        <v>0</v>
      </c>
      <c r="Q62" s="464">
        <v>0.139073207</v>
      </c>
      <c r="R62" s="521"/>
      <c r="S62" s="521"/>
      <c r="T62" s="521">
        <v>0.057692307692307696</v>
      </c>
      <c r="U62" s="464"/>
      <c r="V62" s="464"/>
      <c r="W62" s="464"/>
      <c r="X62" s="464"/>
      <c r="Y62" s="464"/>
      <c r="Z62" s="464"/>
      <c r="AA62" s="464"/>
      <c r="AB62" s="464"/>
      <c r="AC62" s="464"/>
      <c r="AD62" s="464"/>
      <c r="AE62" s="464"/>
      <c r="AF62" s="464"/>
      <c r="AG62" s="464"/>
      <c r="AH62" s="464"/>
      <c r="AI62" s="464"/>
      <c r="AJ62" s="464"/>
      <c r="AK62" s="464"/>
      <c r="AL62" s="464"/>
      <c r="AM62" s="464"/>
      <c r="AN62" s="464"/>
      <c r="AO62" s="464"/>
      <c r="AP62" s="464"/>
      <c r="AQ62" s="464"/>
      <c r="AR62" s="464"/>
      <c r="AS62" s="464"/>
      <c r="AT62" s="464"/>
      <c r="AU62" s="464"/>
      <c r="AV62" s="464"/>
      <c r="AW62" s="464"/>
      <c r="AX62" s="464"/>
      <c r="AY62" s="464"/>
      <c r="AZ62" s="464"/>
      <c r="BA62" s="464"/>
      <c r="BB62" s="464"/>
      <c r="BC62" s="464"/>
      <c r="BD62" s="464"/>
      <c r="BE62" s="464"/>
      <c r="BF62" s="464"/>
      <c r="BG62" s="464"/>
      <c r="BH62" s="464"/>
      <c r="BI62" s="464"/>
      <c r="BJ62" s="464"/>
      <c r="BK62" s="464"/>
      <c r="BL62" s="464"/>
      <c r="BM62" s="464"/>
    </row>
    <row r="63">
      <c r="A63" s="464"/>
      <c r="B63" s="464"/>
      <c r="C63" s="464"/>
      <c r="D63" s="464"/>
      <c r="E63" s="464"/>
      <c r="F63" s="464"/>
      <c r="G63" s="464"/>
      <c r="H63" s="464"/>
      <c r="I63" s="466"/>
      <c r="J63" s="464"/>
      <c r="K63" s="464"/>
      <c r="L63" s="464"/>
      <c r="M63" s="431" t="s">
        <v>1115</v>
      </c>
      <c r="N63" s="521">
        <v>2.5770457</v>
      </c>
      <c r="O63" s="521">
        <v>0.1084239</v>
      </c>
      <c r="P63" s="464">
        <f t="shared" si="112"/>
        <v>0</v>
      </c>
      <c r="Q63" s="521">
        <v>0.120082535</v>
      </c>
      <c r="R63" s="521"/>
      <c r="S63" s="521"/>
      <c r="T63" s="521">
        <v>0.019230769230769232</v>
      </c>
      <c r="U63" s="464"/>
      <c r="V63" s="464"/>
      <c r="W63" s="464"/>
      <c r="X63" s="464"/>
      <c r="Y63" s="464"/>
      <c r="Z63" s="464"/>
      <c r="AA63" s="464"/>
      <c r="AB63" s="464"/>
      <c r="AC63" s="464"/>
      <c r="AD63" s="464"/>
      <c r="AE63" s="464"/>
      <c r="AF63" s="464"/>
      <c r="AG63" s="464"/>
      <c r="AH63" s="464"/>
      <c r="AI63" s="464"/>
      <c r="AJ63" s="464"/>
      <c r="AK63" s="464"/>
      <c r="AL63" s="464"/>
      <c r="AM63" s="464"/>
      <c r="AN63" s="464"/>
      <c r="AO63" s="464"/>
      <c r="AP63" s="464"/>
      <c r="AQ63" s="464"/>
      <c r="AR63" s="464"/>
      <c r="AS63" s="464"/>
      <c r="AT63" s="464"/>
      <c r="AU63" s="464"/>
      <c r="AV63" s="464"/>
      <c r="AW63" s="464"/>
      <c r="AX63" s="464"/>
      <c r="AY63" s="464"/>
      <c r="AZ63" s="464"/>
      <c r="BA63" s="464"/>
      <c r="BB63" s="464"/>
      <c r="BC63" s="464"/>
      <c r="BD63" s="464"/>
      <c r="BE63" s="464"/>
      <c r="BF63" s="464"/>
      <c r="BG63" s="464"/>
      <c r="BH63" s="464"/>
      <c r="BI63" s="464"/>
      <c r="BJ63" s="464"/>
      <c r="BK63" s="464"/>
      <c r="BL63" s="464"/>
      <c r="BM63" s="464"/>
    </row>
    <row r="64">
      <c r="A64" s="466" t="s">
        <v>1571</v>
      </c>
      <c r="B64" s="345" t="s">
        <v>389</v>
      </c>
      <c r="C64" s="346" t="s">
        <v>420</v>
      </c>
      <c r="D64" s="347" t="s">
        <v>358</v>
      </c>
      <c r="E64" s="348" t="s">
        <v>363</v>
      </c>
      <c r="F64" s="349" t="s">
        <v>413</v>
      </c>
      <c r="G64" s="350" t="s">
        <v>357</v>
      </c>
      <c r="H64" s="351" t="s">
        <v>380</v>
      </c>
      <c r="I64" s="352" t="s">
        <v>387</v>
      </c>
      <c r="J64" s="464"/>
      <c r="K64" s="466"/>
      <c r="L64" s="399"/>
      <c r="M64" s="432" t="s">
        <v>1089</v>
      </c>
      <c r="N64" s="521">
        <v>1.15570967</v>
      </c>
      <c r="O64" s="521">
        <v>0.2823571</v>
      </c>
      <c r="P64" s="464">
        <f t="shared" si="112"/>
        <v>0</v>
      </c>
      <c r="Q64" s="521">
        <v>0.11648931</v>
      </c>
      <c r="R64" s="521"/>
      <c r="S64" s="521"/>
      <c r="T64" s="521">
        <v>0.10897435897435898</v>
      </c>
      <c r="U64" s="464"/>
      <c r="V64" s="464"/>
      <c r="W64" s="464"/>
      <c r="X64" s="464"/>
      <c r="Y64" s="464"/>
      <c r="Z64" s="464"/>
      <c r="AA64" s="464"/>
      <c r="AB64" s="464"/>
      <c r="AC64" s="464"/>
      <c r="AD64" s="464"/>
      <c r="AE64" s="464"/>
      <c r="AF64" s="464"/>
      <c r="AG64" s="464"/>
      <c r="AH64" s="464"/>
      <c r="AI64" s="464"/>
      <c r="AJ64" s="464"/>
      <c r="AK64" s="464"/>
      <c r="AL64" s="464"/>
      <c r="AM64" s="464"/>
      <c r="AN64" s="464"/>
      <c r="AO64" s="464"/>
      <c r="AP64" s="464"/>
      <c r="AQ64" s="464"/>
      <c r="AR64" s="464"/>
      <c r="AS64" s="464"/>
      <c r="AT64" s="464"/>
      <c r="AU64" s="464"/>
      <c r="AV64" s="464"/>
      <c r="AW64" s="464"/>
      <c r="AX64" s="464"/>
      <c r="AY64" s="464"/>
      <c r="AZ64" s="464"/>
      <c r="BA64" s="464"/>
      <c r="BB64" s="464"/>
      <c r="BC64" s="464"/>
      <c r="BD64" s="464"/>
      <c r="BE64" s="464"/>
      <c r="BF64" s="464"/>
      <c r="BG64" s="464"/>
      <c r="BH64" s="464"/>
      <c r="BI64" s="464"/>
      <c r="BJ64" s="464"/>
      <c r="BK64" s="464"/>
      <c r="BL64" s="464"/>
      <c r="BM64" s="464"/>
    </row>
    <row r="65">
      <c r="A65" s="345" t="s">
        <v>389</v>
      </c>
      <c r="B65" s="464"/>
      <c r="C65" s="464">
        <f t="shared" ref="C65:I65" si="133">$B$60/C60</f>
        <v>0.75</v>
      </c>
      <c r="D65" s="464">
        <f t="shared" si="133"/>
        <v>0.2608695652</v>
      </c>
      <c r="E65" s="464">
        <f t="shared" si="133"/>
        <v>0.4</v>
      </c>
      <c r="F65" s="464">
        <f t="shared" si="133"/>
        <v>0.2181818182</v>
      </c>
      <c r="G65" s="464">
        <f t="shared" si="133"/>
        <v>0.07272727273</v>
      </c>
      <c r="H65" s="464">
        <f t="shared" si="133"/>
        <v>0.4444444444</v>
      </c>
      <c r="I65" s="464">
        <f t="shared" si="133"/>
        <v>2.4</v>
      </c>
      <c r="J65" s="464"/>
      <c r="K65" s="399"/>
      <c r="L65" s="464"/>
      <c r="M65" s="433" t="s">
        <v>1182</v>
      </c>
      <c r="N65" s="521">
        <v>1.24917716</v>
      </c>
      <c r="O65" s="521">
        <v>0.2637097</v>
      </c>
      <c r="P65" s="464">
        <f t="shared" si="112"/>
        <v>0</v>
      </c>
      <c r="Q65" s="464"/>
      <c r="R65" s="521"/>
      <c r="S65" s="521"/>
      <c r="T65" s="521">
        <v>0.00641025641025641</v>
      </c>
      <c r="U65" s="464"/>
      <c r="V65" s="464"/>
      <c r="W65" s="464"/>
      <c r="X65" s="464"/>
      <c r="Y65" s="464"/>
      <c r="Z65" s="464"/>
      <c r="AA65" s="464"/>
      <c r="AB65" s="464"/>
      <c r="AC65" s="464"/>
      <c r="AD65" s="464"/>
      <c r="AE65" s="464"/>
      <c r="AF65" s="464"/>
      <c r="AG65" s="464"/>
      <c r="AH65" s="464"/>
      <c r="AI65" s="464"/>
      <c r="AJ65" s="464"/>
      <c r="AK65" s="464"/>
      <c r="AL65" s="464"/>
      <c r="AM65" s="464"/>
      <c r="AN65" s="464"/>
      <c r="AO65" s="464"/>
      <c r="AP65" s="464"/>
      <c r="AQ65" s="464"/>
      <c r="AR65" s="464"/>
      <c r="AS65" s="464"/>
      <c r="AT65" s="464"/>
      <c r="AU65" s="464"/>
      <c r="AV65" s="464"/>
      <c r="AW65" s="464"/>
      <c r="AX65" s="464"/>
      <c r="AY65" s="464"/>
      <c r="AZ65" s="464"/>
      <c r="BA65" s="464"/>
      <c r="BB65" s="464"/>
      <c r="BC65" s="464"/>
      <c r="BD65" s="464"/>
      <c r="BE65" s="464"/>
      <c r="BF65" s="464"/>
      <c r="BG65" s="464"/>
      <c r="BH65" s="464"/>
      <c r="BI65" s="464"/>
      <c r="BJ65" s="464"/>
      <c r="BK65" s="464"/>
      <c r="BL65" s="464"/>
      <c r="BM65" s="464"/>
    </row>
    <row r="66">
      <c r="A66" s="346" t="s">
        <v>420</v>
      </c>
      <c r="B66" s="464">
        <f>$C$60/B60</f>
        <v>1.333333333</v>
      </c>
      <c r="C66" s="464"/>
      <c r="D66" s="464">
        <f t="shared" ref="D66:I66" si="134">$C$60/D60</f>
        <v>0.347826087</v>
      </c>
      <c r="E66" s="464">
        <f t="shared" si="134"/>
        <v>0.5333333333</v>
      </c>
      <c r="F66" s="464">
        <f t="shared" si="134"/>
        <v>0.2909090909</v>
      </c>
      <c r="G66" s="464">
        <f t="shared" si="134"/>
        <v>0.09696969697</v>
      </c>
      <c r="H66" s="464">
        <f t="shared" si="134"/>
        <v>0.5925925926</v>
      </c>
      <c r="I66" s="464">
        <f t="shared" si="134"/>
        <v>3.2</v>
      </c>
      <c r="J66" s="464"/>
      <c r="K66" s="399"/>
      <c r="L66" s="464"/>
      <c r="M66" s="434" t="s">
        <v>1298</v>
      </c>
      <c r="N66" s="521">
        <v>0.5639278</v>
      </c>
      <c r="O66" s="521">
        <v>0.452682</v>
      </c>
      <c r="P66" s="464">
        <f t="shared" si="112"/>
        <v>0</v>
      </c>
      <c r="Q66" s="464"/>
      <c r="R66" s="521"/>
      <c r="S66" s="521"/>
      <c r="T66" s="521">
        <v>0.00641025641025641</v>
      </c>
      <c r="U66" s="464"/>
      <c r="V66" s="464"/>
      <c r="W66" s="464"/>
      <c r="X66" s="464"/>
      <c r="Y66" s="464"/>
      <c r="Z66" s="464"/>
      <c r="AA66" s="464"/>
      <c r="AB66" s="464"/>
      <c r="AC66" s="464"/>
      <c r="AD66" s="464"/>
      <c r="AE66" s="464"/>
      <c r="AF66" s="464"/>
      <c r="AG66" s="464"/>
      <c r="AH66" s="464"/>
      <c r="AI66" s="464"/>
      <c r="AJ66" s="464"/>
      <c r="AK66" s="464"/>
      <c r="AL66" s="464"/>
      <c r="AM66" s="464"/>
      <c r="AN66" s="464"/>
      <c r="AO66" s="464"/>
      <c r="AP66" s="464"/>
      <c r="AQ66" s="464"/>
      <c r="AR66" s="464"/>
      <c r="AS66" s="464"/>
      <c r="AT66" s="464"/>
      <c r="AU66" s="464"/>
      <c r="AV66" s="464"/>
      <c r="AW66" s="464"/>
      <c r="AX66" s="464"/>
      <c r="AY66" s="464"/>
      <c r="AZ66" s="464"/>
      <c r="BA66" s="464"/>
      <c r="BB66" s="464"/>
      <c r="BC66" s="464"/>
      <c r="BD66" s="464"/>
      <c r="BE66" s="464"/>
      <c r="BF66" s="464"/>
      <c r="BG66" s="464"/>
      <c r="BH66" s="464"/>
      <c r="BI66" s="464"/>
      <c r="BJ66" s="464"/>
      <c r="BK66" s="464"/>
      <c r="BL66" s="464"/>
      <c r="BM66" s="464"/>
    </row>
    <row r="67">
      <c r="A67" s="347" t="s">
        <v>358</v>
      </c>
      <c r="B67" s="464">
        <f t="shared" ref="B67:C67" si="135">$D$60/B60</f>
        <v>3.833333333</v>
      </c>
      <c r="C67" s="464">
        <f t="shared" si="135"/>
        <v>2.875</v>
      </c>
      <c r="D67" s="464"/>
      <c r="E67" s="464">
        <f t="shared" ref="E67:I67" si="136">$D$60/E60</f>
        <v>1.533333333</v>
      </c>
      <c r="F67" s="464">
        <f t="shared" si="136"/>
        <v>0.8363636364</v>
      </c>
      <c r="G67" s="464">
        <f t="shared" si="136"/>
        <v>0.2787878788</v>
      </c>
      <c r="H67" s="464">
        <f t="shared" si="136"/>
        <v>1.703703704</v>
      </c>
      <c r="I67" s="464">
        <f t="shared" si="136"/>
        <v>9.2</v>
      </c>
      <c r="J67" s="464"/>
      <c r="K67" s="399"/>
      <c r="L67" s="464"/>
      <c r="M67" s="435" t="s">
        <v>1437</v>
      </c>
      <c r="N67" s="521">
        <v>4.6788789</v>
      </c>
      <c r="O67" s="521">
        <v>0.030535671</v>
      </c>
      <c r="P67" s="464">
        <f t="shared" si="112"/>
        <v>1</v>
      </c>
      <c r="Q67" s="464">
        <v>0.094485948</v>
      </c>
      <c r="R67" s="521"/>
      <c r="S67" s="521"/>
      <c r="T67" s="521">
        <v>0.07051282051282051</v>
      </c>
      <c r="U67" s="464"/>
      <c r="V67" s="464"/>
      <c r="W67" s="464"/>
      <c r="X67" s="464"/>
      <c r="Y67" s="464"/>
      <c r="Z67" s="464"/>
      <c r="AA67" s="464"/>
      <c r="AB67" s="464"/>
      <c r="AC67" s="464"/>
      <c r="AD67" s="464"/>
      <c r="AE67" s="464"/>
      <c r="AF67" s="464"/>
      <c r="AG67" s="464"/>
      <c r="AH67" s="464"/>
      <c r="AI67" s="464"/>
      <c r="AJ67" s="464"/>
      <c r="AK67" s="464"/>
      <c r="AL67" s="464"/>
      <c r="AM67" s="464"/>
      <c r="AN67" s="464"/>
      <c r="AO67" s="464"/>
      <c r="AP67" s="464"/>
      <c r="AQ67" s="464"/>
      <c r="AR67" s="464"/>
      <c r="AS67" s="464"/>
      <c r="AT67" s="464"/>
      <c r="AU67" s="464"/>
      <c r="AV67" s="464"/>
      <c r="AW67" s="464"/>
      <c r="AX67" s="464"/>
      <c r="AY67" s="464"/>
      <c r="AZ67" s="464"/>
      <c r="BA67" s="464"/>
      <c r="BB67" s="464"/>
      <c r="BC67" s="464"/>
      <c r="BD67" s="464"/>
      <c r="BE67" s="464"/>
      <c r="BF67" s="464"/>
      <c r="BG67" s="464"/>
      <c r="BH67" s="464"/>
      <c r="BI67" s="464"/>
      <c r="BJ67" s="464"/>
      <c r="BK67" s="464"/>
      <c r="BL67" s="464"/>
      <c r="BM67" s="464"/>
    </row>
    <row r="68">
      <c r="A68" s="348" t="s">
        <v>363</v>
      </c>
      <c r="B68" s="464">
        <f t="shared" ref="B68:D68" si="137">$E$60/B60</f>
        <v>2.5</v>
      </c>
      <c r="C68" s="464">
        <f t="shared" si="137"/>
        <v>1.875</v>
      </c>
      <c r="D68" s="464">
        <f t="shared" si="137"/>
        <v>0.652173913</v>
      </c>
      <c r="E68" s="464"/>
      <c r="F68" s="464">
        <f t="shared" ref="F68:I68" si="138">$E$60/F60</f>
        <v>0.5454545455</v>
      </c>
      <c r="G68" s="464">
        <f t="shared" si="138"/>
        <v>0.1818181818</v>
      </c>
      <c r="H68" s="464">
        <f t="shared" si="138"/>
        <v>1.111111111</v>
      </c>
      <c r="I68" s="464">
        <f t="shared" si="138"/>
        <v>6</v>
      </c>
      <c r="J68" s="464"/>
      <c r="K68" s="399"/>
      <c r="L68" s="464"/>
      <c r="M68" s="436" t="s">
        <v>1438</v>
      </c>
      <c r="N68" s="521">
        <v>0.1856799</v>
      </c>
      <c r="O68" s="521">
        <v>0.666536754</v>
      </c>
      <c r="P68" s="464">
        <f t="shared" si="112"/>
        <v>0</v>
      </c>
      <c r="Q68" s="464">
        <v>0.069170507</v>
      </c>
      <c r="R68" s="521"/>
      <c r="S68" s="521"/>
      <c r="T68" s="521">
        <v>0.03205128205128205</v>
      </c>
      <c r="U68" s="464"/>
      <c r="V68" s="464"/>
      <c r="W68" s="464"/>
      <c r="X68" s="464"/>
      <c r="Y68" s="464"/>
      <c r="Z68" s="464"/>
      <c r="AA68" s="464"/>
      <c r="AB68" s="464"/>
      <c r="AC68" s="464"/>
      <c r="AD68" s="464"/>
      <c r="AE68" s="464"/>
      <c r="AF68" s="464"/>
      <c r="AG68" s="464"/>
      <c r="AH68" s="464"/>
      <c r="AI68" s="464"/>
      <c r="AJ68" s="464"/>
      <c r="AK68" s="464"/>
      <c r="AL68" s="464"/>
      <c r="AM68" s="464"/>
      <c r="AN68" s="464"/>
      <c r="AO68" s="464"/>
      <c r="AP68" s="464"/>
      <c r="AQ68" s="464"/>
      <c r="AR68" s="464"/>
      <c r="AS68" s="464"/>
      <c r="AT68" s="464"/>
      <c r="AU68" s="464"/>
      <c r="AV68" s="464"/>
      <c r="AW68" s="464"/>
      <c r="AX68" s="464"/>
      <c r="AY68" s="464"/>
      <c r="AZ68" s="464"/>
      <c r="BA68" s="464"/>
      <c r="BB68" s="464"/>
      <c r="BC68" s="464"/>
      <c r="BD68" s="464"/>
      <c r="BE68" s="464"/>
      <c r="BF68" s="464"/>
      <c r="BG68" s="464"/>
      <c r="BH68" s="464"/>
      <c r="BI68" s="464"/>
      <c r="BJ68" s="464"/>
      <c r="BK68" s="464"/>
      <c r="BL68" s="464"/>
      <c r="BM68" s="464"/>
    </row>
    <row r="69">
      <c r="A69" s="349" t="s">
        <v>413</v>
      </c>
      <c r="B69" s="464">
        <f t="shared" ref="B69:E69" si="139">$F$60/B60</f>
        <v>4.583333333</v>
      </c>
      <c r="C69" s="464">
        <f t="shared" si="139"/>
        <v>3.4375</v>
      </c>
      <c r="D69" s="464">
        <f t="shared" si="139"/>
        <v>1.195652174</v>
      </c>
      <c r="E69" s="464">
        <f t="shared" si="139"/>
        <v>1.833333333</v>
      </c>
      <c r="F69" s="464"/>
      <c r="G69" s="464">
        <f t="shared" ref="G69:I69" si="140">$F$60/G60</f>
        <v>0.3333333333</v>
      </c>
      <c r="H69" s="464">
        <f t="shared" si="140"/>
        <v>2.037037037</v>
      </c>
      <c r="I69" s="464">
        <f t="shared" si="140"/>
        <v>11</v>
      </c>
      <c r="J69" s="464"/>
      <c r="K69" s="399"/>
      <c r="L69" s="464"/>
      <c r="M69" s="437" t="s">
        <v>1439</v>
      </c>
      <c r="N69" s="521">
        <v>9.7185195</v>
      </c>
      <c r="O69" s="521">
        <v>0.001824204</v>
      </c>
      <c r="P69" s="464">
        <f t="shared" si="112"/>
        <v>1</v>
      </c>
      <c r="Q69" s="464">
        <v>0.127087183</v>
      </c>
      <c r="R69" s="521"/>
      <c r="S69" s="521"/>
      <c r="T69" s="521">
        <v>0.14743589743589744</v>
      </c>
      <c r="U69" s="464"/>
      <c r="V69" s="464"/>
      <c r="W69" s="464"/>
      <c r="X69" s="464"/>
      <c r="Y69" s="464"/>
      <c r="Z69" s="464"/>
      <c r="AA69" s="464"/>
      <c r="AB69" s="464"/>
      <c r="AC69" s="464"/>
      <c r="AD69" s="464"/>
      <c r="AE69" s="464"/>
      <c r="AF69" s="464"/>
      <c r="AG69" s="464"/>
      <c r="AH69" s="464"/>
      <c r="AI69" s="464"/>
      <c r="AJ69" s="464"/>
      <c r="AK69" s="464"/>
      <c r="AL69" s="464"/>
      <c r="AM69" s="464"/>
      <c r="AN69" s="464"/>
      <c r="AO69" s="464"/>
      <c r="AP69" s="464"/>
      <c r="AQ69" s="464"/>
      <c r="AR69" s="464"/>
      <c r="AS69" s="464"/>
      <c r="AT69" s="464"/>
      <c r="AU69" s="464"/>
      <c r="AV69" s="464"/>
      <c r="AW69" s="464"/>
      <c r="AX69" s="464"/>
      <c r="AY69" s="464"/>
      <c r="AZ69" s="464"/>
      <c r="BA69" s="464"/>
      <c r="BB69" s="464"/>
      <c r="BC69" s="464"/>
      <c r="BD69" s="464"/>
      <c r="BE69" s="464"/>
      <c r="BF69" s="464"/>
      <c r="BG69" s="464"/>
      <c r="BH69" s="464"/>
      <c r="BI69" s="464"/>
      <c r="BJ69" s="464"/>
      <c r="BK69" s="464"/>
      <c r="BL69" s="464"/>
      <c r="BM69" s="464"/>
    </row>
    <row r="70">
      <c r="A70" s="350" t="s">
        <v>357</v>
      </c>
      <c r="B70" s="464">
        <f t="shared" ref="B70:F70" si="141">$G$60/B60</f>
        <v>13.75</v>
      </c>
      <c r="C70" s="464">
        <f t="shared" si="141"/>
        <v>10.3125</v>
      </c>
      <c r="D70" s="464">
        <f t="shared" si="141"/>
        <v>3.586956522</v>
      </c>
      <c r="E70" s="464">
        <f t="shared" si="141"/>
        <v>5.5</v>
      </c>
      <c r="F70" s="464">
        <f t="shared" si="141"/>
        <v>3</v>
      </c>
      <c r="G70" s="464"/>
      <c r="H70" s="464">
        <f t="shared" ref="H70:I70" si="142">$G$60/H60</f>
        <v>6.111111111</v>
      </c>
      <c r="I70" s="464">
        <f t="shared" si="142"/>
        <v>33</v>
      </c>
      <c r="J70" s="464"/>
      <c r="K70" s="399"/>
      <c r="L70" s="464"/>
      <c r="M70" s="438" t="s">
        <v>1440</v>
      </c>
      <c r="N70" s="521">
        <v>2.643732</v>
      </c>
      <c r="O70" s="521">
        <v>0.103959076</v>
      </c>
      <c r="P70" s="464">
        <f t="shared" si="112"/>
        <v>0</v>
      </c>
      <c r="Q70" s="464">
        <v>0.120082535</v>
      </c>
      <c r="R70" s="521"/>
      <c r="S70" s="521"/>
      <c r="T70" s="521">
        <v>0.019230769230769232</v>
      </c>
      <c r="U70" s="464"/>
      <c r="V70" s="464"/>
      <c r="W70" s="464"/>
      <c r="X70" s="464"/>
      <c r="Y70" s="464"/>
      <c r="Z70" s="464"/>
      <c r="AA70" s="464"/>
      <c r="AB70" s="464"/>
      <c r="AC70" s="464"/>
      <c r="AD70" s="464"/>
      <c r="AE70" s="464"/>
      <c r="AF70" s="464"/>
      <c r="AG70" s="464"/>
      <c r="AH70" s="464"/>
      <c r="AI70" s="464"/>
      <c r="AJ70" s="464"/>
      <c r="AK70" s="464"/>
      <c r="AL70" s="464"/>
      <c r="AM70" s="464"/>
      <c r="AN70" s="464"/>
      <c r="AO70" s="464"/>
      <c r="AP70" s="464"/>
      <c r="AQ70" s="464"/>
      <c r="AR70" s="464"/>
      <c r="AS70" s="464"/>
      <c r="AT70" s="464"/>
      <c r="AU70" s="464"/>
      <c r="AV70" s="464"/>
      <c r="AW70" s="464"/>
      <c r="AX70" s="464"/>
      <c r="AY70" s="464"/>
      <c r="AZ70" s="464"/>
      <c r="BA70" s="464"/>
      <c r="BB70" s="464"/>
      <c r="BC70" s="464"/>
      <c r="BD70" s="464"/>
      <c r="BE70" s="464"/>
      <c r="BF70" s="464"/>
      <c r="BG70" s="464"/>
      <c r="BH70" s="464"/>
      <c r="BI70" s="464"/>
      <c r="BJ70" s="464"/>
      <c r="BK70" s="464"/>
      <c r="BL70" s="464"/>
      <c r="BM70" s="464"/>
    </row>
    <row r="71" ht="14.25" customHeight="1">
      <c r="A71" s="351" t="s">
        <v>380</v>
      </c>
      <c r="B71" s="464">
        <f t="shared" ref="B71:G71" si="143">$H$60/B60</f>
        <v>2.25</v>
      </c>
      <c r="C71" s="464">
        <f t="shared" si="143"/>
        <v>1.6875</v>
      </c>
      <c r="D71" s="464">
        <f t="shared" si="143"/>
        <v>0.5869565217</v>
      </c>
      <c r="E71" s="464">
        <f t="shared" si="143"/>
        <v>0.9</v>
      </c>
      <c r="F71" s="464">
        <f t="shared" si="143"/>
        <v>0.4909090909</v>
      </c>
      <c r="G71" s="464">
        <f t="shared" si="143"/>
        <v>0.1636363636</v>
      </c>
      <c r="H71" s="464"/>
      <c r="I71" s="464">
        <f>$H$60/I60</f>
        <v>5.4</v>
      </c>
      <c r="J71" s="464"/>
      <c r="K71" s="400"/>
      <c r="L71" s="464"/>
      <c r="M71" s="439" t="s">
        <v>1163</v>
      </c>
      <c r="N71" s="521">
        <v>7.4640228</v>
      </c>
      <c r="O71" s="521">
        <v>0.006294419</v>
      </c>
      <c r="P71" s="464">
        <f t="shared" si="112"/>
        <v>1</v>
      </c>
      <c r="Q71" s="521">
        <v>0.119967925</v>
      </c>
      <c r="R71" s="521"/>
      <c r="S71" s="521"/>
      <c r="T71" s="521">
        <v>0.08974358974358974</v>
      </c>
      <c r="U71" s="464"/>
      <c r="V71" s="464"/>
      <c r="W71" s="464"/>
      <c r="X71" s="464"/>
      <c r="Y71" s="464"/>
      <c r="Z71" s="464"/>
      <c r="AA71" s="464"/>
      <c r="AB71" s="464"/>
      <c r="AC71" s="464"/>
      <c r="AD71" s="464"/>
      <c r="AE71" s="464"/>
      <c r="AF71" s="464"/>
      <c r="AG71" s="464"/>
      <c r="AH71" s="464"/>
      <c r="AI71" s="464"/>
      <c r="AJ71" s="464"/>
      <c r="AK71" s="464"/>
      <c r="AL71" s="464"/>
      <c r="AM71" s="464"/>
      <c r="AN71" s="464"/>
      <c r="AO71" s="464"/>
      <c r="AP71" s="464"/>
      <c r="AQ71" s="464"/>
      <c r="AR71" s="464"/>
      <c r="AS71" s="464"/>
      <c r="AT71" s="464"/>
      <c r="AU71" s="464"/>
      <c r="AV71" s="464"/>
      <c r="AW71" s="464"/>
      <c r="AX71" s="464"/>
      <c r="AY71" s="464"/>
      <c r="AZ71" s="464"/>
      <c r="BA71" s="464"/>
      <c r="BB71" s="464"/>
      <c r="BC71" s="464"/>
      <c r="BD71" s="464"/>
      <c r="BE71" s="464"/>
      <c r="BF71" s="464"/>
      <c r="BG71" s="464"/>
      <c r="BH71" s="464"/>
      <c r="BI71" s="464"/>
      <c r="BJ71" s="464"/>
      <c r="BK71" s="464"/>
      <c r="BL71" s="464"/>
      <c r="BM71" s="464"/>
    </row>
    <row r="72" ht="14.25" customHeight="1">
      <c r="A72" s="352" t="s">
        <v>387</v>
      </c>
      <c r="B72" s="464">
        <f t="shared" ref="B72:H72" si="144">$I$60/B60</f>
        <v>0.4166666667</v>
      </c>
      <c r="C72" s="464">
        <f t="shared" si="144"/>
        <v>0.3125</v>
      </c>
      <c r="D72" s="464">
        <f t="shared" si="144"/>
        <v>0.1086956522</v>
      </c>
      <c r="E72" s="464">
        <f t="shared" si="144"/>
        <v>0.1666666667</v>
      </c>
      <c r="F72" s="464">
        <f t="shared" si="144"/>
        <v>0.09090909091</v>
      </c>
      <c r="G72" s="464">
        <f t="shared" si="144"/>
        <v>0.0303030303</v>
      </c>
      <c r="H72" s="464">
        <f t="shared" si="144"/>
        <v>0.1851851852</v>
      </c>
      <c r="I72" s="464"/>
      <c r="J72" s="464"/>
      <c r="K72" s="353"/>
      <c r="L72" s="464"/>
      <c r="M72" s="440" t="s">
        <v>1223</v>
      </c>
      <c r="N72" s="521">
        <v>1.9006315</v>
      </c>
      <c r="O72" s="521">
        <v>0.168007653</v>
      </c>
      <c r="P72" s="464">
        <f t="shared" si="112"/>
        <v>0</v>
      </c>
      <c r="Q72" s="464"/>
      <c r="R72" s="521"/>
      <c r="S72" s="521"/>
      <c r="T72" s="521">
        <v>0.01282051282051282</v>
      </c>
      <c r="U72" s="464"/>
      <c r="V72" s="464"/>
      <c r="W72" s="464"/>
      <c r="X72" s="464"/>
      <c r="Y72" s="464"/>
      <c r="Z72" s="464"/>
      <c r="AA72" s="464"/>
      <c r="AB72" s="464"/>
      <c r="AC72" s="464"/>
      <c r="AD72" s="464"/>
      <c r="AE72" s="464"/>
      <c r="AF72" s="464"/>
      <c r="AG72" s="464"/>
      <c r="AH72" s="464"/>
      <c r="AI72" s="464"/>
      <c r="AJ72" s="464"/>
      <c r="AK72" s="464"/>
      <c r="AL72" s="464"/>
      <c r="AM72" s="464"/>
      <c r="AN72" s="464"/>
      <c r="AO72" s="464"/>
      <c r="AP72" s="464"/>
      <c r="AQ72" s="464"/>
      <c r="AR72" s="464"/>
      <c r="AS72" s="464"/>
      <c r="AT72" s="464"/>
      <c r="AU72" s="464"/>
      <c r="AV72" s="464"/>
      <c r="AW72" s="464"/>
      <c r="AX72" s="464"/>
      <c r="AY72" s="464"/>
      <c r="AZ72" s="464"/>
      <c r="BA72" s="464"/>
      <c r="BB72" s="464"/>
      <c r="BC72" s="464"/>
      <c r="BD72" s="464"/>
      <c r="BE72" s="464"/>
      <c r="BF72" s="464"/>
      <c r="BG72" s="464"/>
      <c r="BH72" s="464"/>
      <c r="BI72" s="464"/>
      <c r="BJ72" s="464"/>
      <c r="BK72" s="464"/>
      <c r="BL72" s="464"/>
      <c r="BM72" s="464"/>
    </row>
    <row r="73" ht="14.25" customHeight="1">
      <c r="A73" s="398"/>
      <c r="B73" s="464"/>
      <c r="C73" s="464"/>
      <c r="D73" s="464"/>
      <c r="E73" s="464"/>
      <c r="F73" s="464"/>
      <c r="G73" s="464"/>
      <c r="H73" s="464"/>
      <c r="I73" s="464"/>
      <c r="J73" s="464"/>
      <c r="K73" s="464"/>
      <c r="L73" s="464"/>
      <c r="M73" s="441" t="s">
        <v>1441</v>
      </c>
      <c r="N73" s="521">
        <v>1.3631117</v>
      </c>
      <c r="O73" s="521">
        <v>0.242998925</v>
      </c>
      <c r="P73" s="464">
        <f t="shared" si="112"/>
        <v>0</v>
      </c>
      <c r="Q73" s="464"/>
      <c r="R73" s="521"/>
      <c r="S73" s="521"/>
      <c r="T73" s="521">
        <v>0.0</v>
      </c>
      <c r="U73" s="464"/>
      <c r="V73" s="464"/>
      <c r="W73" s="464"/>
      <c r="X73" s="464"/>
      <c r="Y73" s="464"/>
      <c r="Z73" s="464"/>
      <c r="AA73" s="464"/>
      <c r="AB73" s="464"/>
      <c r="AC73" s="464"/>
      <c r="AD73" s="464"/>
      <c r="AE73" s="464"/>
      <c r="AF73" s="464"/>
      <c r="AG73" s="464"/>
      <c r="AH73" s="464"/>
      <c r="AI73" s="464"/>
      <c r="AJ73" s="464"/>
      <c r="AK73" s="464"/>
      <c r="AL73" s="464"/>
      <c r="AM73" s="464"/>
      <c r="AN73" s="464"/>
      <c r="AO73" s="464"/>
      <c r="AP73" s="464"/>
      <c r="AQ73" s="464"/>
      <c r="AR73" s="464"/>
      <c r="AS73" s="464"/>
      <c r="AT73" s="464"/>
      <c r="AU73" s="464"/>
      <c r="AV73" s="464"/>
      <c r="AW73" s="464"/>
      <c r="AX73" s="464"/>
      <c r="AY73" s="464"/>
      <c r="AZ73" s="464"/>
      <c r="BA73" s="464"/>
      <c r="BB73" s="464"/>
      <c r="BC73" s="464"/>
      <c r="BD73" s="464"/>
      <c r="BE73" s="464"/>
      <c r="BF73" s="464"/>
      <c r="BG73" s="464"/>
      <c r="BH73" s="464"/>
      <c r="BI73" s="464"/>
      <c r="BJ73" s="464"/>
      <c r="BK73" s="464"/>
      <c r="BL73" s="464"/>
      <c r="BM73" s="464"/>
    </row>
    <row r="74">
      <c r="A74" s="466" t="s">
        <v>1573</v>
      </c>
      <c r="B74" s="345" t="s">
        <v>389</v>
      </c>
      <c r="C74" s="346" t="s">
        <v>420</v>
      </c>
      <c r="D74" s="347" t="s">
        <v>358</v>
      </c>
      <c r="E74" s="348" t="s">
        <v>363</v>
      </c>
      <c r="F74" s="349" t="s">
        <v>413</v>
      </c>
      <c r="G74" s="350" t="s">
        <v>357</v>
      </c>
      <c r="H74" s="351" t="s">
        <v>380</v>
      </c>
      <c r="I74" s="352" t="s">
        <v>387</v>
      </c>
      <c r="J74" s="464"/>
      <c r="K74" s="464"/>
      <c r="L74" s="464"/>
      <c r="M74" s="442" t="s">
        <v>1442</v>
      </c>
      <c r="N74" s="521">
        <v>6.98360769</v>
      </c>
      <c r="O74" s="521">
        <v>0.008225962</v>
      </c>
      <c r="P74" s="464">
        <f t="shared" si="112"/>
        <v>1</v>
      </c>
      <c r="Q74" s="464">
        <v>0.113842067</v>
      </c>
      <c r="R74" s="521"/>
      <c r="S74" s="521"/>
      <c r="T74" s="521">
        <v>0.05128205128205128</v>
      </c>
      <c r="U74" s="464"/>
      <c r="V74" s="464"/>
      <c r="W74" s="464"/>
      <c r="X74" s="464"/>
      <c r="Y74" s="464"/>
      <c r="Z74" s="464"/>
      <c r="AA74" s="464"/>
      <c r="AB74" s="464"/>
      <c r="AC74" s="464"/>
      <c r="AD74" s="464"/>
      <c r="AE74" s="464"/>
      <c r="AF74" s="464"/>
      <c r="AG74" s="464"/>
      <c r="AH74" s="464"/>
      <c r="AI74" s="464"/>
      <c r="AJ74" s="464"/>
      <c r="AK74" s="464"/>
      <c r="AL74" s="464"/>
      <c r="AM74" s="464"/>
      <c r="AN74" s="464"/>
      <c r="AO74" s="464"/>
      <c r="AP74" s="464"/>
      <c r="AQ74" s="464"/>
      <c r="AR74" s="464"/>
      <c r="AS74" s="464"/>
      <c r="AT74" s="464"/>
      <c r="AU74" s="464"/>
      <c r="AV74" s="464"/>
      <c r="AW74" s="464"/>
      <c r="AX74" s="464"/>
      <c r="AY74" s="464"/>
      <c r="AZ74" s="464"/>
      <c r="BA74" s="464"/>
      <c r="BB74" s="464"/>
      <c r="BC74" s="464"/>
      <c r="BD74" s="464"/>
      <c r="BE74" s="464"/>
      <c r="BF74" s="464"/>
      <c r="BG74" s="464"/>
      <c r="BH74" s="464"/>
      <c r="BI74" s="464"/>
      <c r="BJ74" s="464"/>
      <c r="BK74" s="464"/>
      <c r="BL74" s="464"/>
      <c r="BM74" s="464"/>
    </row>
    <row r="75">
      <c r="A75" s="345" t="s">
        <v>389</v>
      </c>
      <c r="B75" s="464"/>
      <c r="C75" s="464">
        <f t="shared" ref="C75:I75" si="145">$B$62/C62</f>
        <v>0.9583333333</v>
      </c>
      <c r="D75" s="464">
        <f t="shared" si="145"/>
        <v>0.2929936306</v>
      </c>
      <c r="E75" s="464">
        <f t="shared" si="145"/>
        <v>0.4791666667</v>
      </c>
      <c r="F75" s="464">
        <f t="shared" si="145"/>
        <v>0.2395833333</v>
      </c>
      <c r="G75" s="464">
        <f t="shared" si="145"/>
        <v>0.1050228311</v>
      </c>
      <c r="H75" s="464">
        <f t="shared" si="145"/>
        <v>1</v>
      </c>
      <c r="I75" s="464">
        <f t="shared" si="145"/>
        <v>5.75</v>
      </c>
      <c r="J75" s="464"/>
      <c r="K75" s="464"/>
      <c r="L75" s="464"/>
      <c r="M75" s="443" t="s">
        <v>1443</v>
      </c>
      <c r="N75" s="521">
        <v>1.61629562</v>
      </c>
      <c r="O75" s="521">
        <v>0.203609086</v>
      </c>
      <c r="P75" s="464">
        <f t="shared" si="112"/>
        <v>0</v>
      </c>
      <c r="Q75" s="464">
        <v>0.117149808</v>
      </c>
      <c r="R75" s="521"/>
      <c r="S75" s="521"/>
      <c r="T75" s="521">
        <v>0.02564102564102564</v>
      </c>
      <c r="U75" s="464"/>
      <c r="V75" s="527"/>
      <c r="W75" s="527"/>
      <c r="X75" s="527"/>
      <c r="Y75" s="528"/>
      <c r="Z75" s="528"/>
      <c r="AA75" s="464"/>
      <c r="AB75" s="464"/>
      <c r="AC75" s="464"/>
      <c r="AD75" s="464"/>
      <c r="AE75" s="464"/>
      <c r="AF75" s="464"/>
      <c r="AG75" s="464"/>
      <c r="AH75" s="464"/>
      <c r="AI75" s="464"/>
      <c r="AJ75" s="464"/>
      <c r="AK75" s="464"/>
      <c r="AL75" s="464"/>
      <c r="AM75" s="464"/>
      <c r="AN75" s="464"/>
      <c r="AO75" s="464"/>
      <c r="AP75" s="464"/>
      <c r="AQ75" s="464"/>
      <c r="AR75" s="464"/>
      <c r="AS75" s="464"/>
      <c r="AT75" s="464"/>
      <c r="AU75" s="464"/>
      <c r="AV75" s="464"/>
      <c r="AW75" s="464"/>
      <c r="AX75" s="464"/>
      <c r="AY75" s="464"/>
      <c r="AZ75" s="464"/>
      <c r="BA75" s="464"/>
      <c r="BB75" s="464"/>
      <c r="BC75" s="464"/>
      <c r="BD75" s="464"/>
      <c r="BE75" s="464"/>
      <c r="BF75" s="464"/>
      <c r="BG75" s="464"/>
      <c r="BH75" s="464"/>
      <c r="BI75" s="464"/>
      <c r="BJ75" s="464"/>
      <c r="BK75" s="464"/>
      <c r="BL75" s="464"/>
      <c r="BM75" s="464"/>
    </row>
    <row r="76">
      <c r="A76" s="346" t="s">
        <v>420</v>
      </c>
      <c r="B76" s="464">
        <f>$C$62/B62</f>
        <v>1.043478261</v>
      </c>
      <c r="C76" s="464"/>
      <c r="D76" s="464">
        <f t="shared" ref="D76:I76" si="146">$C$62/D62</f>
        <v>0.3057324841</v>
      </c>
      <c r="E76" s="464">
        <f t="shared" si="146"/>
        <v>0.5</v>
      </c>
      <c r="F76" s="464">
        <f t="shared" si="146"/>
        <v>0.25</v>
      </c>
      <c r="G76" s="464">
        <f t="shared" si="146"/>
        <v>0.1095890411</v>
      </c>
      <c r="H76" s="464">
        <f t="shared" si="146"/>
        <v>1.043478261</v>
      </c>
      <c r="I76" s="464">
        <f t="shared" si="146"/>
        <v>6</v>
      </c>
      <c r="J76" s="464"/>
      <c r="K76" s="464"/>
      <c r="L76" s="464"/>
      <c r="M76" s="444" t="s">
        <v>1444</v>
      </c>
      <c r="N76" s="521">
        <v>0.05310893</v>
      </c>
      <c r="O76" s="521">
        <v>0.817739204</v>
      </c>
      <c r="P76" s="464">
        <f t="shared" si="112"/>
        <v>0</v>
      </c>
      <c r="Q76" s="464">
        <v>0.132499419</v>
      </c>
      <c r="R76" s="521"/>
      <c r="S76" s="521"/>
      <c r="T76" s="521">
        <v>0.1282051282051282</v>
      </c>
      <c r="U76" s="464"/>
      <c r="V76" s="529"/>
      <c r="W76" s="530"/>
      <c r="X76" s="531"/>
      <c r="Y76" s="530"/>
      <c r="Z76" s="530"/>
      <c r="AA76" s="464"/>
      <c r="AB76" s="464"/>
      <c r="AC76" s="464"/>
      <c r="AD76" s="464"/>
      <c r="AE76" s="464"/>
      <c r="AF76" s="464"/>
      <c r="AG76" s="464"/>
      <c r="AH76" s="464"/>
      <c r="AI76" s="464"/>
      <c r="AJ76" s="464"/>
      <c r="AK76" s="464"/>
      <c r="AL76" s="464"/>
      <c r="AM76" s="464"/>
      <c r="AN76" s="464"/>
      <c r="AO76" s="464"/>
      <c r="AP76" s="464"/>
      <c r="AQ76" s="464"/>
      <c r="AR76" s="464"/>
      <c r="AS76" s="464"/>
      <c r="AT76" s="464"/>
      <c r="AU76" s="464"/>
      <c r="AV76" s="464"/>
      <c r="AW76" s="464"/>
      <c r="AX76" s="464"/>
      <c r="AY76" s="464"/>
      <c r="AZ76" s="464"/>
      <c r="BA76" s="464"/>
      <c r="BB76" s="464"/>
      <c r="BC76" s="464"/>
      <c r="BD76" s="464"/>
      <c r="BE76" s="464"/>
      <c r="BF76" s="464"/>
      <c r="BG76" s="464"/>
      <c r="BH76" s="464"/>
      <c r="BI76" s="464"/>
      <c r="BJ76" s="464"/>
      <c r="BK76" s="464"/>
      <c r="BL76" s="464"/>
      <c r="BM76" s="464"/>
    </row>
    <row r="77">
      <c r="A77" s="347" t="s">
        <v>358</v>
      </c>
      <c r="B77" s="464">
        <f t="shared" ref="B77:C77" si="147">$D$62/B62</f>
        <v>3.413043478</v>
      </c>
      <c r="C77" s="464">
        <f t="shared" si="147"/>
        <v>3.270833333</v>
      </c>
      <c r="D77" s="464"/>
      <c r="E77" s="464">
        <f t="shared" ref="E77:I77" si="148">$D$62/E62</f>
        <v>1.635416667</v>
      </c>
      <c r="F77" s="464">
        <f t="shared" si="148"/>
        <v>0.8177083333</v>
      </c>
      <c r="G77" s="464">
        <f t="shared" si="148"/>
        <v>0.3584474886</v>
      </c>
      <c r="H77" s="464">
        <f t="shared" si="148"/>
        <v>3.413043478</v>
      </c>
      <c r="I77" s="464">
        <f t="shared" si="148"/>
        <v>19.625</v>
      </c>
      <c r="J77" s="464"/>
      <c r="K77" s="464"/>
      <c r="L77" s="464"/>
      <c r="M77" s="445" t="s">
        <v>1445</v>
      </c>
      <c r="N77" s="521">
        <v>2.79166076</v>
      </c>
      <c r="O77" s="521">
        <v>0.094755978</v>
      </c>
      <c r="P77" s="464">
        <f t="shared" si="112"/>
        <v>0</v>
      </c>
      <c r="Q77" s="464">
        <v>0.11648931</v>
      </c>
      <c r="R77" s="521"/>
      <c r="S77" s="521"/>
      <c r="T77" s="521">
        <v>0.10897435897435898</v>
      </c>
      <c r="U77" s="464"/>
      <c r="V77" s="532"/>
      <c r="W77" s="530"/>
      <c r="X77" s="533"/>
      <c r="Y77" s="530"/>
      <c r="Z77" s="530"/>
      <c r="AA77" s="464"/>
      <c r="AB77" s="464"/>
      <c r="AC77" s="464"/>
      <c r="AD77" s="464"/>
      <c r="AE77" s="464"/>
      <c r="AF77" s="464"/>
      <c r="AG77" s="464"/>
      <c r="AH77" s="464"/>
      <c r="AI77" s="464"/>
      <c r="AJ77" s="464"/>
      <c r="AK77" s="464"/>
      <c r="AL77" s="464"/>
      <c r="AM77" s="464"/>
      <c r="AN77" s="464"/>
      <c r="AO77" s="464"/>
      <c r="AP77" s="464"/>
      <c r="AQ77" s="464"/>
      <c r="AR77" s="464"/>
      <c r="AS77" s="464"/>
      <c r="AT77" s="464"/>
      <c r="AU77" s="464"/>
      <c r="AV77" s="464"/>
      <c r="AW77" s="464"/>
      <c r="AX77" s="464"/>
      <c r="AY77" s="464"/>
      <c r="AZ77" s="464"/>
      <c r="BA77" s="464"/>
      <c r="BB77" s="464"/>
      <c r="BC77" s="464"/>
      <c r="BD77" s="464"/>
      <c r="BE77" s="464"/>
      <c r="BF77" s="464"/>
      <c r="BG77" s="464"/>
      <c r="BH77" s="464"/>
      <c r="BI77" s="464"/>
      <c r="BJ77" s="464"/>
      <c r="BK77" s="464"/>
      <c r="BL77" s="464"/>
      <c r="BM77" s="464"/>
    </row>
    <row r="78">
      <c r="A78" s="348" t="s">
        <v>363</v>
      </c>
      <c r="B78" s="464">
        <f t="shared" ref="B78:D78" si="149">$E$62/B62</f>
        <v>2.086956522</v>
      </c>
      <c r="C78" s="464">
        <f t="shared" si="149"/>
        <v>2</v>
      </c>
      <c r="D78" s="464">
        <f t="shared" si="149"/>
        <v>0.6114649682</v>
      </c>
      <c r="E78" s="464"/>
      <c r="F78" s="464">
        <f t="shared" ref="F78:I78" si="150">$E$62/F62</f>
        <v>0.5</v>
      </c>
      <c r="G78" s="464">
        <f t="shared" si="150"/>
        <v>0.2191780822</v>
      </c>
      <c r="H78" s="464">
        <f t="shared" si="150"/>
        <v>2.086956522</v>
      </c>
      <c r="I78" s="464">
        <f t="shared" si="150"/>
        <v>12</v>
      </c>
      <c r="J78" s="464"/>
      <c r="K78" s="464"/>
      <c r="L78" s="464"/>
      <c r="M78" s="446" t="s">
        <v>1446</v>
      </c>
      <c r="N78" s="521">
        <v>2.4602239</v>
      </c>
      <c r="O78" s="521">
        <v>0.116762137</v>
      </c>
      <c r="P78" s="464">
        <f t="shared" si="112"/>
        <v>0</v>
      </c>
      <c r="Q78" s="464">
        <v>0.119967925</v>
      </c>
      <c r="R78" s="521"/>
      <c r="S78" s="521"/>
      <c r="T78" s="521">
        <v>0.08974358974358974</v>
      </c>
      <c r="U78" s="464"/>
      <c r="V78" s="534"/>
      <c r="W78" s="530"/>
      <c r="X78" s="531"/>
      <c r="Y78" s="530"/>
      <c r="Z78" s="530"/>
      <c r="AA78" s="464"/>
      <c r="AB78" s="464"/>
      <c r="AC78" s="464"/>
      <c r="AD78" s="464"/>
      <c r="AE78" s="464"/>
      <c r="AF78" s="464"/>
      <c r="AG78" s="464"/>
      <c r="AH78" s="464"/>
      <c r="AI78" s="464"/>
      <c r="AJ78" s="464"/>
      <c r="AK78" s="464"/>
      <c r="AL78" s="464"/>
      <c r="AM78" s="464"/>
      <c r="AN78" s="464"/>
      <c r="AO78" s="464"/>
      <c r="AP78" s="464"/>
      <c r="AQ78" s="464"/>
      <c r="AR78" s="464"/>
      <c r="AS78" s="464"/>
      <c r="AT78" s="464"/>
      <c r="AU78" s="464"/>
      <c r="AV78" s="464"/>
      <c r="AW78" s="464"/>
      <c r="AX78" s="464"/>
      <c r="AY78" s="464"/>
      <c r="AZ78" s="464"/>
      <c r="BA78" s="464"/>
      <c r="BB78" s="464"/>
      <c r="BC78" s="464"/>
      <c r="BD78" s="464"/>
      <c r="BE78" s="464"/>
      <c r="BF78" s="464"/>
      <c r="BG78" s="464"/>
      <c r="BH78" s="464"/>
      <c r="BI78" s="464"/>
      <c r="BJ78" s="464"/>
      <c r="BK78" s="464"/>
      <c r="BL78" s="464"/>
      <c r="BM78" s="464"/>
    </row>
    <row r="79">
      <c r="A79" s="349" t="s">
        <v>413</v>
      </c>
      <c r="B79" s="464">
        <f t="shared" ref="B79:E79" si="151">$F$62/B62</f>
        <v>4.173913043</v>
      </c>
      <c r="C79" s="464">
        <f t="shared" si="151"/>
        <v>4</v>
      </c>
      <c r="D79" s="464">
        <f t="shared" si="151"/>
        <v>1.222929936</v>
      </c>
      <c r="E79" s="464">
        <f t="shared" si="151"/>
        <v>2</v>
      </c>
      <c r="F79" s="464"/>
      <c r="G79" s="464">
        <f t="shared" ref="G79:I79" si="152">$F$62/G62</f>
        <v>0.4383561644</v>
      </c>
      <c r="H79" s="464">
        <f t="shared" si="152"/>
        <v>4.173913043</v>
      </c>
      <c r="I79" s="464">
        <f t="shared" si="152"/>
        <v>24</v>
      </c>
      <c r="J79" s="464"/>
      <c r="K79" s="464"/>
      <c r="L79" s="464"/>
      <c r="M79" s="447" t="s">
        <v>1129</v>
      </c>
      <c r="N79" s="521">
        <v>0.11535071</v>
      </c>
      <c r="O79" s="521">
        <v>0.734132774</v>
      </c>
      <c r="P79" s="464">
        <f t="shared" si="112"/>
        <v>0</v>
      </c>
      <c r="Q79" s="464"/>
      <c r="R79" s="521"/>
      <c r="S79" s="521"/>
      <c r="T79" s="521">
        <v>0.04487179487179487</v>
      </c>
      <c r="U79" s="464"/>
      <c r="V79" s="529"/>
      <c r="W79" s="530"/>
      <c r="X79" s="531"/>
      <c r="Y79" s="530"/>
      <c r="Z79" s="530"/>
      <c r="AA79" s="464"/>
      <c r="AB79" s="464"/>
      <c r="AC79" s="464"/>
      <c r="AD79" s="464"/>
      <c r="AE79" s="464"/>
      <c r="AF79" s="464"/>
      <c r="AG79" s="464"/>
      <c r="AH79" s="464"/>
      <c r="AI79" s="464"/>
      <c r="AJ79" s="464"/>
      <c r="AK79" s="464"/>
      <c r="AL79" s="464"/>
      <c r="AM79" s="464"/>
      <c r="AN79" s="464"/>
      <c r="AO79" s="464"/>
      <c r="AP79" s="464"/>
      <c r="AQ79" s="464"/>
      <c r="AR79" s="464"/>
      <c r="AS79" s="464"/>
      <c r="AT79" s="464"/>
      <c r="AU79" s="464"/>
      <c r="AV79" s="464"/>
      <c r="AW79" s="464"/>
      <c r="AX79" s="464"/>
      <c r="AY79" s="464"/>
      <c r="AZ79" s="464"/>
      <c r="BA79" s="464"/>
      <c r="BB79" s="464"/>
      <c r="BC79" s="464"/>
      <c r="BD79" s="464"/>
      <c r="BE79" s="464"/>
      <c r="BF79" s="464"/>
      <c r="BG79" s="464"/>
      <c r="BH79" s="464"/>
      <c r="BI79" s="464"/>
      <c r="BJ79" s="464"/>
      <c r="BK79" s="464"/>
      <c r="BL79" s="464"/>
      <c r="BM79" s="464"/>
    </row>
    <row r="80">
      <c r="A80" s="350" t="s">
        <v>357</v>
      </c>
      <c r="B80" s="464">
        <f t="shared" ref="B80:F80" si="153">$G$62/B62</f>
        <v>9.52173913</v>
      </c>
      <c r="C80" s="464">
        <f t="shared" si="153"/>
        <v>9.125</v>
      </c>
      <c r="D80" s="464">
        <f t="shared" si="153"/>
        <v>2.789808917</v>
      </c>
      <c r="E80" s="464">
        <f t="shared" si="153"/>
        <v>4.5625</v>
      </c>
      <c r="F80" s="464">
        <f t="shared" si="153"/>
        <v>2.28125</v>
      </c>
      <c r="G80" s="464"/>
      <c r="H80" s="464">
        <f t="shared" ref="H80:I80" si="154">$G$62/H62</f>
        <v>9.52173913</v>
      </c>
      <c r="I80" s="464">
        <f t="shared" si="154"/>
        <v>54.75</v>
      </c>
      <c r="J80" s="464"/>
      <c r="K80" s="464"/>
      <c r="L80" s="464"/>
      <c r="M80" s="448" t="s">
        <v>1447</v>
      </c>
      <c r="N80" s="521">
        <v>0.04459245</v>
      </c>
      <c r="O80" s="521">
        <v>0.832755204</v>
      </c>
      <c r="P80" s="464">
        <f t="shared" si="112"/>
        <v>0</v>
      </c>
      <c r="Q80" s="464"/>
      <c r="R80" s="521"/>
      <c r="S80" s="521"/>
      <c r="T80" s="521">
        <v>0.00641025641025641</v>
      </c>
      <c r="U80" s="464"/>
      <c r="V80" s="529"/>
      <c r="W80" s="530"/>
      <c r="X80" s="531"/>
      <c r="Y80" s="530"/>
      <c r="Z80" s="530"/>
      <c r="AA80" s="464"/>
      <c r="AB80" s="464"/>
      <c r="AC80" s="464"/>
      <c r="AD80" s="464"/>
      <c r="AE80" s="464"/>
      <c r="AF80" s="464"/>
      <c r="AG80" s="464"/>
      <c r="AH80" s="464"/>
      <c r="AI80" s="464"/>
      <c r="AJ80" s="464"/>
      <c r="AK80" s="464"/>
      <c r="AL80" s="464"/>
      <c r="AM80" s="464"/>
      <c r="AN80" s="464"/>
      <c r="AO80" s="464"/>
      <c r="AP80" s="464"/>
      <c r="AQ80" s="464"/>
      <c r="AR80" s="464"/>
      <c r="AS80" s="464"/>
      <c r="AT80" s="464"/>
      <c r="AU80" s="464"/>
      <c r="AV80" s="464"/>
      <c r="AW80" s="464"/>
      <c r="AX80" s="464"/>
      <c r="AY80" s="464"/>
      <c r="AZ80" s="464"/>
      <c r="BA80" s="464"/>
      <c r="BB80" s="464"/>
      <c r="BC80" s="464"/>
      <c r="BD80" s="464"/>
      <c r="BE80" s="464"/>
      <c r="BF80" s="464"/>
      <c r="BG80" s="464"/>
      <c r="BH80" s="464"/>
      <c r="BI80" s="464"/>
      <c r="BJ80" s="464"/>
      <c r="BK80" s="464"/>
      <c r="BL80" s="464"/>
      <c r="BM80" s="464"/>
    </row>
    <row r="81">
      <c r="A81" s="351" t="s">
        <v>380</v>
      </c>
      <c r="B81" s="464">
        <f t="shared" ref="B81:G81" si="155">$H$62/B62</f>
        <v>1</v>
      </c>
      <c r="C81" s="464">
        <f t="shared" si="155"/>
        <v>0.9583333333</v>
      </c>
      <c r="D81" s="464">
        <f t="shared" si="155"/>
        <v>0.2929936306</v>
      </c>
      <c r="E81" s="464">
        <f t="shared" si="155"/>
        <v>0.4791666667</v>
      </c>
      <c r="F81" s="464">
        <f t="shared" si="155"/>
        <v>0.2395833333</v>
      </c>
      <c r="G81" s="464">
        <f t="shared" si="155"/>
        <v>0.1050228311</v>
      </c>
      <c r="H81" s="464"/>
      <c r="I81" s="464">
        <f>$H$62/I62</f>
        <v>5.75</v>
      </c>
      <c r="J81" s="464"/>
      <c r="K81" s="464"/>
      <c r="L81" s="464"/>
      <c r="M81" s="449" t="s">
        <v>1448</v>
      </c>
      <c r="N81" s="521">
        <v>6.6321523</v>
      </c>
      <c r="O81" s="521">
        <v>0.01001542</v>
      </c>
      <c r="P81" s="464">
        <f t="shared" si="112"/>
        <v>1</v>
      </c>
      <c r="Q81" s="464"/>
      <c r="R81" s="521"/>
      <c r="S81" s="521"/>
      <c r="T81" s="521">
        <v>0.0</v>
      </c>
      <c r="U81" s="464"/>
      <c r="V81" s="529"/>
      <c r="W81" s="530"/>
      <c r="X81" s="530"/>
      <c r="Y81" s="530"/>
      <c r="Z81" s="530"/>
      <c r="AA81" s="464"/>
      <c r="AB81" s="464"/>
      <c r="AC81" s="464"/>
      <c r="AD81" s="464"/>
      <c r="AE81" s="464"/>
      <c r="AF81" s="464"/>
      <c r="AG81" s="464"/>
      <c r="AH81" s="464"/>
      <c r="AI81" s="464"/>
      <c r="AJ81" s="464"/>
      <c r="AK81" s="464"/>
      <c r="AL81" s="464"/>
      <c r="AM81" s="464"/>
      <c r="AN81" s="464"/>
      <c r="AO81" s="464"/>
      <c r="AP81" s="464"/>
      <c r="AQ81" s="464"/>
      <c r="AR81" s="464"/>
      <c r="AS81" s="464"/>
      <c r="AT81" s="464"/>
      <c r="AU81" s="464"/>
      <c r="AV81" s="464"/>
      <c r="AW81" s="464"/>
      <c r="AX81" s="464"/>
      <c r="AY81" s="464"/>
      <c r="AZ81" s="464"/>
      <c r="BA81" s="464"/>
      <c r="BB81" s="464"/>
      <c r="BC81" s="464"/>
      <c r="BD81" s="464"/>
      <c r="BE81" s="464"/>
      <c r="BF81" s="464"/>
      <c r="BG81" s="464"/>
      <c r="BH81" s="464"/>
      <c r="BI81" s="464"/>
      <c r="BJ81" s="464"/>
      <c r="BK81" s="464"/>
      <c r="BL81" s="464"/>
      <c r="BM81" s="464"/>
    </row>
    <row r="82">
      <c r="A82" s="352" t="s">
        <v>387</v>
      </c>
      <c r="B82" s="464">
        <f t="shared" ref="B82:H82" si="156">$I$62/B62</f>
        <v>0.1739130435</v>
      </c>
      <c r="C82" s="464">
        <f t="shared" si="156"/>
        <v>0.1666666667</v>
      </c>
      <c r="D82" s="464">
        <f t="shared" si="156"/>
        <v>0.05095541401</v>
      </c>
      <c r="E82" s="464">
        <f t="shared" si="156"/>
        <v>0.08333333333</v>
      </c>
      <c r="F82" s="464">
        <f t="shared" si="156"/>
        <v>0.04166666667</v>
      </c>
      <c r="G82" s="464">
        <f t="shared" si="156"/>
        <v>0.01826484018</v>
      </c>
      <c r="H82" s="464">
        <f t="shared" si="156"/>
        <v>0.1739130435</v>
      </c>
      <c r="I82" s="464"/>
      <c r="J82" s="464"/>
      <c r="K82" s="464"/>
      <c r="L82" s="464"/>
      <c r="M82" s="450" t="s">
        <v>1449</v>
      </c>
      <c r="N82" s="521">
        <v>0.695712</v>
      </c>
      <c r="O82" s="521">
        <v>0.40422828</v>
      </c>
      <c r="P82" s="464">
        <f t="shared" si="112"/>
        <v>0</v>
      </c>
      <c r="Q82" s="464"/>
      <c r="R82" s="521"/>
      <c r="S82" s="521"/>
      <c r="T82" s="521">
        <v>0.01282051282051282</v>
      </c>
      <c r="U82" s="464"/>
      <c r="V82" s="529"/>
      <c r="W82" s="530"/>
      <c r="X82" s="530"/>
      <c r="Y82" s="530"/>
      <c r="Z82" s="530"/>
      <c r="AA82" s="464"/>
      <c r="AB82" s="464"/>
      <c r="AC82" s="464"/>
      <c r="AD82" s="464"/>
      <c r="AE82" s="464"/>
      <c r="AF82" s="464"/>
      <c r="AG82" s="464"/>
      <c r="AH82" s="464"/>
      <c r="AI82" s="464"/>
      <c r="AJ82" s="464"/>
      <c r="AK82" s="464"/>
      <c r="AL82" s="464"/>
      <c r="AM82" s="464"/>
      <c r="AN82" s="464"/>
      <c r="AO82" s="464"/>
      <c r="AP82" s="464"/>
      <c r="AQ82" s="464"/>
      <c r="AR82" s="464"/>
      <c r="AS82" s="464"/>
      <c r="AT82" s="464"/>
      <c r="AU82" s="464"/>
      <c r="AV82" s="464"/>
      <c r="AW82" s="464"/>
      <c r="AX82" s="464"/>
      <c r="AY82" s="464"/>
      <c r="AZ82" s="464"/>
      <c r="BA82" s="464"/>
      <c r="BB82" s="464"/>
      <c r="BC82" s="464"/>
      <c r="BD82" s="464"/>
      <c r="BE82" s="464"/>
      <c r="BF82" s="464"/>
      <c r="BG82" s="464"/>
      <c r="BH82" s="464"/>
      <c r="BI82" s="464"/>
      <c r="BJ82" s="464"/>
      <c r="BK82" s="464"/>
      <c r="BL82" s="464"/>
      <c r="BM82" s="464"/>
    </row>
    <row r="83">
      <c r="A83" s="398"/>
      <c r="B83" s="464"/>
      <c r="C83" s="464"/>
      <c r="D83" s="464"/>
      <c r="E83" s="464"/>
      <c r="F83" s="464"/>
      <c r="G83" s="464"/>
      <c r="H83" s="464"/>
      <c r="I83" s="464"/>
      <c r="J83" s="464"/>
      <c r="K83" s="464"/>
      <c r="L83" s="464"/>
      <c r="M83" s="451" t="s">
        <v>1450</v>
      </c>
      <c r="N83" s="521">
        <v>2.5222414</v>
      </c>
      <c r="O83" s="521">
        <v>0.11225093</v>
      </c>
      <c r="P83" s="464">
        <f t="shared" si="112"/>
        <v>0</v>
      </c>
      <c r="Q83" s="464"/>
      <c r="R83" s="521"/>
      <c r="S83" s="521"/>
      <c r="T83" s="521">
        <v>0.038461538461538464</v>
      </c>
      <c r="U83" s="464"/>
      <c r="V83" s="534"/>
      <c r="W83" s="530"/>
      <c r="X83" s="530"/>
      <c r="Y83" s="530"/>
      <c r="Z83" s="530"/>
      <c r="AA83" s="464"/>
      <c r="AB83" s="464"/>
      <c r="AC83" s="464"/>
      <c r="AD83" s="464"/>
      <c r="AE83" s="464"/>
      <c r="AF83" s="464"/>
      <c r="AG83" s="464"/>
      <c r="AH83" s="464"/>
      <c r="AI83" s="464"/>
      <c r="AJ83" s="464"/>
      <c r="AK83" s="464"/>
      <c r="AL83" s="464"/>
      <c r="AM83" s="464"/>
      <c r="AN83" s="464"/>
      <c r="AO83" s="464"/>
      <c r="AP83" s="464"/>
      <c r="AQ83" s="464"/>
      <c r="AR83" s="464"/>
      <c r="AS83" s="464"/>
      <c r="AT83" s="464"/>
      <c r="AU83" s="464"/>
      <c r="AV83" s="464"/>
      <c r="AW83" s="464"/>
      <c r="AX83" s="464"/>
      <c r="AY83" s="464"/>
      <c r="AZ83" s="464"/>
      <c r="BA83" s="464"/>
      <c r="BB83" s="464"/>
      <c r="BC83" s="464"/>
      <c r="BD83" s="464"/>
      <c r="BE83" s="464"/>
      <c r="BF83" s="464"/>
      <c r="BG83" s="464"/>
      <c r="BH83" s="464"/>
      <c r="BI83" s="464"/>
      <c r="BJ83" s="464"/>
      <c r="BK83" s="464"/>
      <c r="BL83" s="464"/>
      <c r="BM83" s="464"/>
    </row>
    <row r="84">
      <c r="A84" s="398"/>
      <c r="B84" s="345" t="s">
        <v>389</v>
      </c>
      <c r="C84" s="346" t="s">
        <v>420</v>
      </c>
      <c r="D84" s="347" t="s">
        <v>358</v>
      </c>
      <c r="E84" s="348" t="s">
        <v>363</v>
      </c>
      <c r="F84" s="349" t="s">
        <v>413</v>
      </c>
      <c r="G84" s="350" t="s">
        <v>357</v>
      </c>
      <c r="H84" s="351" t="s">
        <v>380</v>
      </c>
      <c r="I84" s="352" t="s">
        <v>387</v>
      </c>
      <c r="J84" s="464"/>
      <c r="K84" s="464"/>
      <c r="L84" s="464"/>
      <c r="M84" s="452" t="s">
        <v>1451</v>
      </c>
      <c r="N84" s="521">
        <v>0.2358988</v>
      </c>
      <c r="O84" s="521">
        <v>0.62718401</v>
      </c>
      <c r="P84" s="464">
        <f t="shared" si="112"/>
        <v>0</v>
      </c>
      <c r="Q84" s="464"/>
      <c r="R84" s="521"/>
      <c r="S84" s="521"/>
      <c r="T84" s="521">
        <v>0.00641025641025641</v>
      </c>
      <c r="U84" s="464"/>
      <c r="V84" s="529"/>
      <c r="W84" s="530"/>
      <c r="X84" s="535"/>
      <c r="Y84" s="530"/>
      <c r="Z84" s="530"/>
      <c r="AA84" s="464"/>
      <c r="AB84" s="464"/>
      <c r="AC84" s="464"/>
      <c r="AD84" s="464"/>
      <c r="AE84" s="464"/>
      <c r="AF84" s="464"/>
      <c r="AG84" s="464"/>
      <c r="AH84" s="464"/>
      <c r="AI84" s="464"/>
      <c r="AJ84" s="464"/>
      <c r="AK84" s="464"/>
      <c r="AL84" s="464"/>
      <c r="AM84" s="464"/>
      <c r="AN84" s="464"/>
      <c r="AO84" s="464"/>
      <c r="AP84" s="464"/>
      <c r="AQ84" s="464"/>
      <c r="AR84" s="464"/>
      <c r="AS84" s="464"/>
      <c r="AT84" s="464"/>
      <c r="AU84" s="464"/>
      <c r="AV84" s="464"/>
      <c r="AW84" s="464"/>
      <c r="AX84" s="464"/>
      <c r="AY84" s="464"/>
      <c r="AZ84" s="464"/>
      <c r="BA84" s="464"/>
      <c r="BB84" s="464"/>
      <c r="BC84" s="464"/>
      <c r="BD84" s="464"/>
      <c r="BE84" s="464"/>
      <c r="BF84" s="464"/>
      <c r="BG84" s="464"/>
      <c r="BH84" s="464"/>
      <c r="BI84" s="464"/>
      <c r="BJ84" s="464"/>
      <c r="BK84" s="464"/>
      <c r="BL84" s="464"/>
      <c r="BM84" s="464"/>
    </row>
    <row r="85">
      <c r="A85" s="398" t="s">
        <v>1589</v>
      </c>
      <c r="B85" s="470">
        <v>6.0</v>
      </c>
      <c r="C85" s="470">
        <v>7.0</v>
      </c>
      <c r="D85" s="470">
        <v>2.0</v>
      </c>
      <c r="E85" s="470">
        <v>4.0</v>
      </c>
      <c r="F85" s="470">
        <v>3.0</v>
      </c>
      <c r="G85" s="470">
        <v>1.0</v>
      </c>
      <c r="H85" s="470">
        <v>5.0</v>
      </c>
      <c r="I85" s="470">
        <v>8.0</v>
      </c>
      <c r="J85" s="464"/>
      <c r="K85" s="464"/>
      <c r="L85" s="464"/>
      <c r="M85" s="453" t="s">
        <v>1452</v>
      </c>
      <c r="N85" s="521">
        <v>0.2396123</v>
      </c>
      <c r="O85" s="521">
        <v>0.62448626</v>
      </c>
      <c r="P85" s="464">
        <f t="shared" si="112"/>
        <v>0</v>
      </c>
      <c r="Q85" s="464"/>
      <c r="R85" s="521"/>
      <c r="S85" s="521"/>
      <c r="T85" s="521">
        <v>0.01282051282051282</v>
      </c>
      <c r="U85" s="464"/>
      <c r="V85" s="464"/>
      <c r="W85" s="464"/>
      <c r="X85" s="464"/>
      <c r="Y85" s="464"/>
      <c r="Z85" s="464"/>
      <c r="AA85" s="464"/>
      <c r="AB85" s="464"/>
      <c r="AC85" s="464"/>
      <c r="AD85" s="464"/>
      <c r="AE85" s="464"/>
      <c r="AF85" s="464"/>
      <c r="AG85" s="464"/>
      <c r="AH85" s="464"/>
      <c r="AI85" s="464"/>
      <c r="AJ85" s="464"/>
      <c r="AK85" s="464"/>
      <c r="AL85" s="464"/>
      <c r="AM85" s="464"/>
      <c r="AN85" s="464"/>
      <c r="AO85" s="464"/>
      <c r="AP85" s="464"/>
      <c r="AQ85" s="464"/>
      <c r="AR85" s="464"/>
      <c r="AS85" s="464"/>
      <c r="AT85" s="464"/>
      <c r="AU85" s="464"/>
      <c r="AV85" s="464"/>
      <c r="AW85" s="464"/>
      <c r="AX85" s="464"/>
      <c r="AY85" s="464"/>
      <c r="AZ85" s="464"/>
      <c r="BA85" s="464"/>
      <c r="BB85" s="464"/>
      <c r="BC85" s="464"/>
      <c r="BD85" s="464"/>
      <c r="BE85" s="464"/>
      <c r="BF85" s="464"/>
      <c r="BG85" s="464"/>
      <c r="BH85" s="464"/>
      <c r="BI85" s="464"/>
      <c r="BJ85" s="464"/>
      <c r="BK85" s="464"/>
      <c r="BL85" s="464"/>
      <c r="BM85" s="464"/>
    </row>
    <row r="86">
      <c r="A86" s="398" t="s">
        <v>1590</v>
      </c>
      <c r="B86" s="470">
        <v>6.0</v>
      </c>
      <c r="C86" s="470">
        <v>5.0</v>
      </c>
      <c r="D86" s="470">
        <v>3.0</v>
      </c>
      <c r="E86" s="470">
        <v>4.0</v>
      </c>
      <c r="F86" s="470">
        <v>2.0</v>
      </c>
      <c r="G86" s="470">
        <v>1.0</v>
      </c>
      <c r="H86" s="470">
        <v>6.0</v>
      </c>
      <c r="I86" s="470">
        <v>8.0</v>
      </c>
      <c r="J86" s="464"/>
      <c r="K86" s="464"/>
      <c r="L86" s="464"/>
      <c r="M86" s="454" t="s">
        <v>1453</v>
      </c>
      <c r="N86" s="521">
        <v>0.2684009</v>
      </c>
      <c r="O86" s="521">
        <v>0.60440646</v>
      </c>
      <c r="P86" s="464">
        <f t="shared" si="112"/>
        <v>0</v>
      </c>
      <c r="Q86" s="464"/>
      <c r="R86" s="521"/>
      <c r="S86" s="521"/>
      <c r="T86" s="521">
        <v>0.04487179487179487</v>
      </c>
      <c r="U86" s="464"/>
      <c r="V86" s="464"/>
      <c r="W86" s="464"/>
      <c r="X86" s="464"/>
      <c r="Y86" s="464"/>
      <c r="Z86" s="464"/>
      <c r="AA86" s="464"/>
      <c r="AB86" s="464"/>
      <c r="AC86" s="464"/>
      <c r="AD86" s="464"/>
      <c r="AE86" s="464"/>
      <c r="AF86" s="464"/>
      <c r="AG86" s="464"/>
      <c r="AH86" s="464"/>
      <c r="AI86" s="464"/>
      <c r="AJ86" s="464"/>
      <c r="AK86" s="464"/>
      <c r="AL86" s="464"/>
      <c r="AM86" s="464"/>
      <c r="AN86" s="464"/>
      <c r="AO86" s="464"/>
      <c r="AP86" s="464"/>
      <c r="AQ86" s="464"/>
      <c r="AR86" s="464"/>
      <c r="AS86" s="464"/>
      <c r="AT86" s="464"/>
      <c r="AU86" s="464"/>
      <c r="AV86" s="464"/>
      <c r="AW86" s="464"/>
      <c r="AX86" s="464"/>
      <c r="AY86" s="464"/>
      <c r="AZ86" s="464"/>
      <c r="BA86" s="464"/>
      <c r="BB86" s="464"/>
      <c r="BC86" s="464"/>
      <c r="BD86" s="464"/>
      <c r="BE86" s="464"/>
      <c r="BF86" s="464"/>
      <c r="BG86" s="464"/>
      <c r="BH86" s="464"/>
      <c r="BI86" s="464"/>
      <c r="BJ86" s="464"/>
      <c r="BK86" s="464"/>
      <c r="BL86" s="464"/>
      <c r="BM86" s="464"/>
    </row>
    <row r="87">
      <c r="A87" s="398"/>
      <c r="B87" s="464"/>
      <c r="C87" s="464"/>
      <c r="D87" s="464"/>
      <c r="E87" s="464"/>
      <c r="F87" s="464"/>
      <c r="G87" s="464"/>
      <c r="H87" s="464"/>
      <c r="I87" s="464"/>
      <c r="J87" s="464"/>
      <c r="K87" s="464"/>
      <c r="L87" s="464"/>
      <c r="M87" s="455" t="s">
        <v>1454</v>
      </c>
      <c r="N87" s="521">
        <v>0.2839613</v>
      </c>
      <c r="O87" s="521">
        <v>0.59411652</v>
      </c>
      <c r="P87" s="464">
        <f t="shared" si="112"/>
        <v>0</v>
      </c>
      <c r="Q87" s="464"/>
      <c r="R87" s="521"/>
      <c r="S87" s="521"/>
      <c r="T87" s="521">
        <v>0.0</v>
      </c>
      <c r="U87" s="464"/>
      <c r="V87" s="464"/>
      <c r="W87" s="464"/>
      <c r="X87" s="464"/>
      <c r="Y87" s="464"/>
      <c r="Z87" s="464"/>
      <c r="AA87" s="464"/>
      <c r="AB87" s="464"/>
      <c r="AC87" s="464"/>
      <c r="AD87" s="464"/>
      <c r="AE87" s="464"/>
      <c r="AF87" s="464"/>
      <c r="AG87" s="464"/>
      <c r="AH87" s="464"/>
      <c r="AI87" s="464"/>
      <c r="AJ87" s="464"/>
      <c r="AK87" s="464"/>
      <c r="AL87" s="464"/>
      <c r="AM87" s="464"/>
      <c r="AN87" s="464"/>
      <c r="AO87" s="464"/>
      <c r="AP87" s="464"/>
      <c r="AQ87" s="464"/>
      <c r="AR87" s="464"/>
      <c r="AS87" s="464"/>
      <c r="AT87" s="464"/>
      <c r="AU87" s="464"/>
      <c r="AV87" s="464"/>
      <c r="AW87" s="464"/>
      <c r="AX87" s="464"/>
      <c r="AY87" s="464"/>
      <c r="AZ87" s="464"/>
      <c r="BA87" s="464"/>
      <c r="BB87" s="464"/>
      <c r="BC87" s="464"/>
      <c r="BD87" s="464"/>
      <c r="BE87" s="464"/>
      <c r="BF87" s="464"/>
      <c r="BG87" s="464"/>
      <c r="BH87" s="464"/>
      <c r="BI87" s="464"/>
      <c r="BJ87" s="464"/>
      <c r="BK87" s="464"/>
      <c r="BL87" s="464"/>
      <c r="BM87" s="464"/>
    </row>
    <row r="88">
      <c r="A88" s="398"/>
      <c r="B88" s="464"/>
      <c r="C88" s="464"/>
      <c r="D88" s="464"/>
      <c r="E88" s="464"/>
      <c r="F88" s="464"/>
      <c r="G88" s="464"/>
      <c r="H88" s="464"/>
      <c r="I88" s="464"/>
      <c r="J88" s="464"/>
      <c r="K88" s="464"/>
      <c r="L88" s="464"/>
      <c r="M88" s="456" t="s">
        <v>1455</v>
      </c>
      <c r="N88" s="521">
        <v>0.5805294</v>
      </c>
      <c r="O88" s="521">
        <v>0.4461049</v>
      </c>
      <c r="P88" s="464">
        <f t="shared" si="112"/>
        <v>0</v>
      </c>
      <c r="Q88" s="464"/>
      <c r="R88" s="521"/>
      <c r="S88" s="521"/>
      <c r="T88" s="521">
        <v>0.0</v>
      </c>
      <c r="U88" s="464"/>
      <c r="V88" s="464"/>
      <c r="W88" s="464"/>
      <c r="X88" s="464"/>
      <c r="Y88" s="464"/>
      <c r="Z88" s="464"/>
      <c r="AA88" s="464"/>
      <c r="AB88" s="464"/>
      <c r="AC88" s="464"/>
      <c r="AD88" s="464"/>
      <c r="AE88" s="464"/>
      <c r="AF88" s="464"/>
      <c r="AG88" s="464"/>
      <c r="AH88" s="464"/>
      <c r="AI88" s="464"/>
      <c r="AJ88" s="464"/>
      <c r="AK88" s="464"/>
      <c r="AL88" s="464"/>
      <c r="AM88" s="464"/>
      <c r="AN88" s="464"/>
      <c r="AO88" s="464"/>
      <c r="AP88" s="464"/>
      <c r="AQ88" s="464"/>
      <c r="AR88" s="464"/>
      <c r="AS88" s="464"/>
      <c r="AT88" s="464"/>
      <c r="AU88" s="464"/>
      <c r="AV88" s="464"/>
      <c r="AW88" s="464"/>
      <c r="AX88" s="464"/>
      <c r="AY88" s="464"/>
      <c r="AZ88" s="464"/>
      <c r="BA88" s="464"/>
      <c r="BB88" s="464"/>
      <c r="BC88" s="464"/>
      <c r="BD88" s="464"/>
      <c r="BE88" s="464"/>
      <c r="BF88" s="464"/>
      <c r="BG88" s="464"/>
      <c r="BH88" s="464"/>
      <c r="BI88" s="464"/>
      <c r="BJ88" s="464"/>
      <c r="BK88" s="464"/>
      <c r="BL88" s="464"/>
      <c r="BM88" s="464"/>
    </row>
    <row r="89">
      <c r="A89" s="398"/>
      <c r="B89" s="464"/>
      <c r="C89" s="464"/>
      <c r="D89" s="464"/>
      <c r="E89" s="464"/>
      <c r="F89" s="464"/>
      <c r="G89" s="464"/>
      <c r="H89" s="464"/>
      <c r="I89" s="464"/>
      <c r="J89" s="464"/>
      <c r="K89" s="464"/>
      <c r="L89" s="464"/>
      <c r="M89" s="457" t="s">
        <v>1456</v>
      </c>
      <c r="N89" s="521">
        <v>0.5363329</v>
      </c>
      <c r="O89" s="521">
        <v>0.4639565</v>
      </c>
      <c r="P89" s="464">
        <f t="shared" si="112"/>
        <v>0</v>
      </c>
      <c r="Q89" s="464"/>
      <c r="R89" s="521"/>
      <c r="S89" s="521"/>
      <c r="T89" s="521">
        <v>0.0</v>
      </c>
      <c r="U89" s="464"/>
      <c r="V89" s="464"/>
      <c r="W89" s="464"/>
      <c r="X89" s="464"/>
      <c r="Y89" s="464"/>
      <c r="Z89" s="464"/>
      <c r="AA89" s="464"/>
      <c r="AB89" s="464"/>
      <c r="AC89" s="464"/>
      <c r="AD89" s="464"/>
      <c r="AE89" s="464"/>
      <c r="AF89" s="464"/>
      <c r="AG89" s="464"/>
      <c r="AH89" s="464"/>
      <c r="AI89" s="464"/>
      <c r="AJ89" s="464"/>
      <c r="AK89" s="464"/>
      <c r="AL89" s="464"/>
      <c r="AM89" s="464"/>
      <c r="AN89" s="464"/>
      <c r="AO89" s="464"/>
      <c r="AP89" s="464"/>
      <c r="AQ89" s="464"/>
      <c r="AR89" s="464"/>
      <c r="AS89" s="464"/>
      <c r="AT89" s="464"/>
      <c r="AU89" s="464"/>
      <c r="AV89" s="464"/>
      <c r="AW89" s="464"/>
      <c r="AX89" s="464"/>
      <c r="AY89" s="464"/>
      <c r="AZ89" s="464"/>
      <c r="BA89" s="464"/>
      <c r="BB89" s="464"/>
      <c r="BC89" s="464"/>
      <c r="BD89" s="464"/>
      <c r="BE89" s="464"/>
      <c r="BF89" s="464"/>
      <c r="BG89" s="464"/>
      <c r="BH89" s="464"/>
      <c r="BI89" s="464"/>
      <c r="BJ89" s="464"/>
      <c r="BK89" s="464"/>
      <c r="BL89" s="464"/>
      <c r="BM89" s="464"/>
    </row>
    <row r="90">
      <c r="A90" s="398"/>
      <c r="B90" s="464"/>
      <c r="C90" s="464"/>
      <c r="D90" s="464"/>
      <c r="E90" s="464"/>
      <c r="F90" s="464"/>
      <c r="G90" s="464"/>
      <c r="H90" s="464"/>
      <c r="I90" s="464"/>
      <c r="J90" s="464"/>
      <c r="K90" s="464"/>
      <c r="L90" s="464"/>
      <c r="M90" s="458" t="s">
        <v>1457</v>
      </c>
      <c r="N90" s="521">
        <v>1.9794651</v>
      </c>
      <c r="O90" s="521">
        <v>0.1594468</v>
      </c>
      <c r="P90" s="464">
        <f t="shared" si="112"/>
        <v>0</v>
      </c>
      <c r="Q90" s="464"/>
      <c r="R90" s="521"/>
      <c r="S90" s="521"/>
      <c r="T90" s="521">
        <v>0.0</v>
      </c>
      <c r="U90" s="464"/>
      <c r="V90" s="464"/>
      <c r="W90" s="464"/>
      <c r="X90" s="464"/>
      <c r="Y90" s="464"/>
      <c r="Z90" s="464"/>
      <c r="AA90" s="464"/>
      <c r="AB90" s="464"/>
      <c r="AC90" s="464"/>
      <c r="AD90" s="464"/>
      <c r="AE90" s="464"/>
      <c r="AF90" s="464"/>
      <c r="AG90" s="464"/>
      <c r="AH90" s="464"/>
      <c r="AI90" s="464"/>
      <c r="AJ90" s="464"/>
      <c r="AK90" s="464"/>
      <c r="AL90" s="464"/>
      <c r="AM90" s="464"/>
      <c r="AN90" s="464"/>
      <c r="AO90" s="464"/>
      <c r="AP90" s="464"/>
      <c r="AQ90" s="464"/>
      <c r="AR90" s="464"/>
      <c r="AS90" s="464"/>
      <c r="AT90" s="464"/>
      <c r="AU90" s="464"/>
      <c r="AV90" s="464"/>
      <c r="AW90" s="464"/>
      <c r="AX90" s="464"/>
      <c r="AY90" s="464"/>
      <c r="AZ90" s="464"/>
      <c r="BA90" s="464"/>
      <c r="BB90" s="464"/>
      <c r="BC90" s="464"/>
      <c r="BD90" s="464"/>
      <c r="BE90" s="464"/>
      <c r="BF90" s="464"/>
      <c r="BG90" s="464"/>
      <c r="BH90" s="464"/>
      <c r="BI90" s="464"/>
      <c r="BJ90" s="464"/>
      <c r="BK90" s="464"/>
      <c r="BL90" s="464"/>
      <c r="BM90" s="464"/>
    </row>
    <row r="91">
      <c r="A91" s="398"/>
      <c r="B91" s="464"/>
      <c r="C91" s="464"/>
      <c r="D91" s="464"/>
      <c r="E91" s="464"/>
      <c r="F91" s="464"/>
      <c r="G91" s="464"/>
      <c r="H91" s="464"/>
      <c r="I91" s="464"/>
      <c r="J91" s="464"/>
      <c r="K91" s="464"/>
      <c r="L91" s="464"/>
      <c r="M91" s="459" t="s">
        <v>1458</v>
      </c>
      <c r="N91" s="521">
        <v>0.4231086</v>
      </c>
      <c r="O91" s="521">
        <v>0.51539</v>
      </c>
      <c r="P91" s="464">
        <f t="shared" si="112"/>
        <v>0</v>
      </c>
      <c r="Q91" s="464"/>
      <c r="R91" s="521"/>
      <c r="S91" s="521"/>
      <c r="T91" s="521">
        <v>0.00641025641025641</v>
      </c>
      <c r="U91" s="464"/>
      <c r="V91" s="464"/>
      <c r="W91" s="464"/>
      <c r="X91" s="464"/>
      <c r="Y91" s="464"/>
      <c r="Z91" s="464"/>
      <c r="AA91" s="464"/>
      <c r="AB91" s="464"/>
      <c r="AC91" s="464"/>
      <c r="AD91" s="464"/>
      <c r="AE91" s="464"/>
      <c r="AF91" s="464"/>
      <c r="AG91" s="464"/>
      <c r="AH91" s="464"/>
      <c r="AI91" s="464"/>
      <c r="AJ91" s="464"/>
      <c r="AK91" s="464"/>
      <c r="AL91" s="464"/>
      <c r="AM91" s="464"/>
      <c r="AN91" s="464"/>
      <c r="AO91" s="464"/>
      <c r="AP91" s="464"/>
      <c r="AQ91" s="464"/>
      <c r="AR91" s="464"/>
      <c r="AS91" s="464"/>
      <c r="AT91" s="464"/>
      <c r="AU91" s="464"/>
      <c r="AV91" s="464"/>
      <c r="AW91" s="464"/>
      <c r="AX91" s="464"/>
      <c r="AY91" s="464"/>
      <c r="AZ91" s="464"/>
      <c r="BA91" s="464"/>
      <c r="BB91" s="464"/>
      <c r="BC91" s="464"/>
      <c r="BD91" s="464"/>
      <c r="BE91" s="464"/>
      <c r="BF91" s="464"/>
      <c r="BG91" s="464"/>
      <c r="BH91" s="464"/>
      <c r="BI91" s="464"/>
      <c r="BJ91" s="464"/>
      <c r="BK91" s="464"/>
      <c r="BL91" s="464"/>
      <c r="BM91" s="464"/>
    </row>
    <row r="92">
      <c r="A92" s="398"/>
      <c r="B92" s="464"/>
      <c r="C92" s="464"/>
      <c r="D92" s="464"/>
      <c r="E92" s="464"/>
      <c r="F92" s="464"/>
      <c r="G92" s="464"/>
      <c r="H92" s="464"/>
      <c r="I92" s="464"/>
      <c r="J92" s="464"/>
      <c r="K92" s="464"/>
      <c r="L92" s="464"/>
      <c r="M92" s="460" t="s">
        <v>1459</v>
      </c>
      <c r="N92" s="521">
        <v>1.8431596</v>
      </c>
      <c r="O92" s="521">
        <v>0.1745811</v>
      </c>
      <c r="P92" s="464">
        <f t="shared" si="112"/>
        <v>0</v>
      </c>
      <c r="Q92" s="464"/>
      <c r="R92" s="521"/>
      <c r="S92" s="521"/>
      <c r="T92" s="521">
        <v>0.0</v>
      </c>
      <c r="U92" s="464"/>
      <c r="V92" s="464"/>
      <c r="W92" s="464"/>
      <c r="X92" s="464"/>
      <c r="Y92" s="464"/>
      <c r="Z92" s="464"/>
      <c r="AA92" s="464"/>
      <c r="AB92" s="464"/>
      <c r="AC92" s="464"/>
      <c r="AD92" s="464"/>
      <c r="AE92" s="464"/>
      <c r="AF92" s="464"/>
      <c r="AG92" s="464"/>
      <c r="AH92" s="464"/>
      <c r="AI92" s="464"/>
      <c r="AJ92" s="464"/>
      <c r="AK92" s="464"/>
      <c r="AL92" s="464"/>
      <c r="AM92" s="464"/>
      <c r="AN92" s="464"/>
      <c r="AO92" s="464"/>
      <c r="AP92" s="464"/>
      <c r="AQ92" s="464"/>
      <c r="AR92" s="464"/>
      <c r="AS92" s="464"/>
      <c r="AT92" s="464"/>
      <c r="AU92" s="464"/>
      <c r="AV92" s="464"/>
      <c r="AW92" s="464"/>
      <c r="AX92" s="464"/>
      <c r="AY92" s="464"/>
      <c r="AZ92" s="464"/>
      <c r="BA92" s="464"/>
      <c r="BB92" s="464"/>
      <c r="BC92" s="464"/>
      <c r="BD92" s="464"/>
      <c r="BE92" s="464"/>
      <c r="BF92" s="464"/>
      <c r="BG92" s="464"/>
      <c r="BH92" s="464"/>
      <c r="BI92" s="464"/>
      <c r="BJ92" s="464"/>
      <c r="BK92" s="464"/>
      <c r="BL92" s="464"/>
      <c r="BM92" s="464"/>
    </row>
    <row r="93">
      <c r="A93" s="398"/>
      <c r="B93" s="464"/>
      <c r="C93" s="464"/>
      <c r="D93" s="464"/>
      <c r="E93" s="464"/>
      <c r="F93" s="464"/>
      <c r="G93" s="464"/>
      <c r="H93" s="464"/>
      <c r="I93" s="464"/>
      <c r="J93" s="464"/>
      <c r="K93" s="464"/>
      <c r="L93" s="464"/>
      <c r="M93" s="461" t="s">
        <v>1460</v>
      </c>
      <c r="N93" s="521">
        <v>2.1212592</v>
      </c>
      <c r="O93" s="521">
        <v>0.1452671</v>
      </c>
      <c r="P93" s="464">
        <f t="shared" si="112"/>
        <v>0</v>
      </c>
      <c r="Q93" s="464"/>
      <c r="R93" s="521"/>
      <c r="S93" s="521"/>
      <c r="T93" s="521">
        <v>0.00641025641025641</v>
      </c>
      <c r="U93" s="464"/>
      <c r="V93" s="464"/>
      <c r="W93" s="464"/>
      <c r="X93" s="464"/>
      <c r="Y93" s="464"/>
      <c r="Z93" s="464"/>
      <c r="AA93" s="464"/>
      <c r="AB93" s="464"/>
      <c r="AC93" s="464"/>
      <c r="AD93" s="464"/>
      <c r="AE93" s="464"/>
      <c r="AF93" s="464"/>
      <c r="AG93" s="464"/>
      <c r="AH93" s="464"/>
      <c r="AI93" s="464"/>
      <c r="AJ93" s="464"/>
      <c r="AK93" s="464"/>
      <c r="AL93" s="464"/>
      <c r="AM93" s="464"/>
      <c r="AN93" s="464"/>
      <c r="AO93" s="464"/>
      <c r="AP93" s="464"/>
      <c r="AQ93" s="464"/>
      <c r="AR93" s="464"/>
      <c r="AS93" s="464"/>
      <c r="AT93" s="464"/>
      <c r="AU93" s="464"/>
      <c r="AV93" s="464"/>
      <c r="AW93" s="464"/>
      <c r="AX93" s="464"/>
      <c r="AY93" s="464"/>
      <c r="AZ93" s="464"/>
      <c r="BA93" s="464"/>
      <c r="BB93" s="464"/>
      <c r="BC93" s="464"/>
      <c r="BD93" s="464"/>
      <c r="BE93" s="464"/>
      <c r="BF93" s="464"/>
      <c r="BG93" s="464"/>
      <c r="BH93" s="464"/>
      <c r="BI93" s="464"/>
      <c r="BJ93" s="464"/>
      <c r="BK93" s="464"/>
      <c r="BL93" s="464"/>
      <c r="BM93" s="464"/>
    </row>
    <row r="94">
      <c r="A94" s="398"/>
      <c r="B94" s="464"/>
      <c r="C94" s="464"/>
      <c r="D94" s="464"/>
      <c r="E94" s="464"/>
      <c r="F94" s="464"/>
      <c r="G94" s="464"/>
      <c r="H94" s="464"/>
      <c r="I94" s="464"/>
      <c r="J94" s="464"/>
      <c r="K94" s="464"/>
      <c r="L94" s="464"/>
      <c r="M94" s="462" t="s">
        <v>1461</v>
      </c>
      <c r="N94" s="521">
        <v>0.6103452</v>
      </c>
      <c r="O94" s="521">
        <v>0.4346579</v>
      </c>
      <c r="P94" s="464">
        <f t="shared" si="112"/>
        <v>0</v>
      </c>
      <c r="Q94" s="464"/>
      <c r="R94" s="521"/>
      <c r="S94" s="521"/>
      <c r="T94" s="521">
        <v>0.0</v>
      </c>
      <c r="U94" s="464"/>
      <c r="V94" s="464"/>
      <c r="W94" s="464"/>
      <c r="X94" s="464"/>
      <c r="Y94" s="464"/>
      <c r="Z94" s="464"/>
      <c r="AA94" s="464"/>
      <c r="AB94" s="464"/>
      <c r="AC94" s="464"/>
      <c r="AD94" s="464"/>
      <c r="AE94" s="464"/>
      <c r="AF94" s="464"/>
      <c r="AG94" s="464"/>
      <c r="AH94" s="464"/>
      <c r="AI94" s="464"/>
      <c r="AJ94" s="464"/>
      <c r="AK94" s="464"/>
      <c r="AL94" s="464"/>
      <c r="AM94" s="464"/>
      <c r="AN94" s="464"/>
      <c r="AO94" s="464"/>
      <c r="AP94" s="464"/>
      <c r="AQ94" s="464"/>
      <c r="AR94" s="464"/>
      <c r="AS94" s="464"/>
      <c r="AT94" s="464"/>
      <c r="AU94" s="464"/>
      <c r="AV94" s="464"/>
      <c r="AW94" s="464"/>
      <c r="AX94" s="464"/>
      <c r="AY94" s="464"/>
      <c r="AZ94" s="464"/>
      <c r="BA94" s="464"/>
      <c r="BB94" s="464"/>
      <c r="BC94" s="464"/>
      <c r="BD94" s="464"/>
      <c r="BE94" s="464"/>
      <c r="BF94" s="464"/>
      <c r="BG94" s="464"/>
      <c r="BH94" s="464"/>
      <c r="BI94" s="464"/>
      <c r="BJ94" s="464"/>
      <c r="BK94" s="464"/>
      <c r="BL94" s="464"/>
      <c r="BM94" s="464"/>
    </row>
    <row r="95">
      <c r="A95" s="398"/>
      <c r="B95" s="464"/>
      <c r="C95" s="464"/>
      <c r="D95" s="464"/>
      <c r="E95" s="464"/>
      <c r="F95" s="464"/>
      <c r="G95" s="464"/>
      <c r="H95" s="464"/>
      <c r="I95" s="464"/>
      <c r="J95" s="464"/>
      <c r="K95" s="464"/>
      <c r="L95" s="464"/>
      <c r="M95" s="521"/>
      <c r="N95" s="521"/>
      <c r="O95" s="521"/>
      <c r="P95" s="521"/>
      <c r="Q95" s="521"/>
      <c r="R95" s="521"/>
      <c r="S95" s="521"/>
      <c r="T95" s="521"/>
      <c r="U95" s="521"/>
      <c r="V95" s="521"/>
      <c r="W95" s="521"/>
      <c r="X95" s="521">
        <v>0.02564102564102564</v>
      </c>
      <c r="Y95" s="521">
        <v>0.01282051282051282</v>
      </c>
      <c r="Z95" s="521">
        <v>0.0</v>
      </c>
      <c r="AA95" s="521"/>
      <c r="AB95" s="464"/>
      <c r="AC95" s="521">
        <v>0.057692307692307696</v>
      </c>
      <c r="AD95" s="521">
        <v>0.14743589743589744</v>
      </c>
      <c r="AE95" s="521">
        <v>0.1282051282051282</v>
      </c>
      <c r="AF95" s="521">
        <v>0.038461538461538464</v>
      </c>
      <c r="AG95" s="521">
        <v>0.0</v>
      </c>
      <c r="AH95" s="521"/>
      <c r="AI95" s="464"/>
      <c r="AJ95" s="464"/>
      <c r="AK95" s="521">
        <v>0.019230769230769232</v>
      </c>
      <c r="AL95" s="521">
        <v>0.10897435897435898</v>
      </c>
      <c r="AM95" s="521">
        <v>0.00641025641025641</v>
      </c>
      <c r="AN95" s="521">
        <v>0.00641025641025641</v>
      </c>
      <c r="AO95" s="521"/>
      <c r="AP95" s="464"/>
      <c r="AQ95" s="464"/>
      <c r="AR95" s="464"/>
      <c r="AS95" s="521">
        <v>0.08974358974358974</v>
      </c>
      <c r="AT95" s="521">
        <v>0.01282051282051282</v>
      </c>
      <c r="AU95" s="521">
        <v>0.0</v>
      </c>
      <c r="AV95" s="521"/>
      <c r="AW95" s="464"/>
      <c r="AX95" s="464"/>
      <c r="AY95" s="464"/>
      <c r="AZ95" s="464"/>
      <c r="BA95" s="521">
        <v>0.04487179487179487</v>
      </c>
      <c r="BB95" s="521">
        <v>0.00641025641025641</v>
      </c>
      <c r="BC95" s="521"/>
      <c r="BD95" s="464"/>
      <c r="BE95" s="464"/>
      <c r="BF95" s="464"/>
      <c r="BG95" s="464"/>
      <c r="BH95" s="464"/>
      <c r="BI95" s="521">
        <v>0.0</v>
      </c>
      <c r="BJ95" s="521"/>
      <c r="BK95" s="521"/>
      <c r="BL95" s="521"/>
      <c r="BM95" s="521"/>
    </row>
    <row r="96">
      <c r="A96" s="466" t="s">
        <v>1591</v>
      </c>
      <c r="B96" s="464"/>
      <c r="C96" s="464"/>
      <c r="D96" s="464"/>
      <c r="E96" s="464"/>
      <c r="F96" s="464"/>
      <c r="G96" s="464"/>
      <c r="H96" s="464"/>
      <c r="I96" s="466"/>
      <c r="J96" s="464"/>
      <c r="K96" s="464"/>
      <c r="L96" s="464"/>
      <c r="M96" s="464"/>
      <c r="N96" s="464"/>
      <c r="O96" s="464"/>
      <c r="P96" s="464"/>
      <c r="Q96" s="464"/>
      <c r="R96" s="464"/>
      <c r="S96" s="464"/>
      <c r="T96" s="464"/>
      <c r="U96" s="464"/>
      <c r="V96" s="464"/>
      <c r="W96" s="464"/>
      <c r="X96" s="464"/>
      <c r="Y96" s="464"/>
      <c r="Z96" s="464"/>
      <c r="AA96" s="464"/>
      <c r="AB96" s="464"/>
      <c r="AC96" s="464"/>
      <c r="AD96" s="464"/>
      <c r="AE96" s="464"/>
      <c r="AF96" s="464"/>
      <c r="AG96" s="464"/>
      <c r="AH96" s="464"/>
      <c r="AI96" s="464"/>
      <c r="AJ96" s="464"/>
      <c r="AK96" s="464"/>
      <c r="AL96" s="464"/>
      <c r="AM96" s="464"/>
      <c r="AN96" s="464"/>
      <c r="AO96" s="464"/>
      <c r="AP96" s="464"/>
      <c r="AQ96" s="464"/>
      <c r="AR96" s="464"/>
      <c r="AS96" s="464"/>
      <c r="AT96" s="464"/>
      <c r="AU96" s="464"/>
      <c r="AV96" s="464"/>
      <c r="AW96" s="464"/>
      <c r="AX96" s="464"/>
      <c r="AY96" s="464"/>
      <c r="AZ96" s="464"/>
      <c r="BA96" s="464"/>
      <c r="BB96" s="464"/>
      <c r="BC96" s="464"/>
      <c r="BD96" s="464"/>
      <c r="BE96" s="464"/>
      <c r="BF96" s="464"/>
      <c r="BG96" s="464"/>
      <c r="BH96" s="464"/>
      <c r="BI96" s="464"/>
      <c r="BJ96" s="464"/>
      <c r="BK96" s="464"/>
      <c r="BL96" s="464"/>
      <c r="BM96" s="464"/>
    </row>
    <row r="97">
      <c r="A97" s="466" t="s">
        <v>1562</v>
      </c>
      <c r="B97" s="467">
        <f t="shared" ref="B97:BM97" si="157">sum(B2:B11)</f>
        <v>4</v>
      </c>
      <c r="C97" s="467">
        <f t="shared" si="157"/>
        <v>1</v>
      </c>
      <c r="D97" s="467">
        <f t="shared" si="157"/>
        <v>28</v>
      </c>
      <c r="E97" s="467">
        <f t="shared" si="157"/>
        <v>26</v>
      </c>
      <c r="F97" s="467">
        <f t="shared" si="157"/>
        <v>28</v>
      </c>
      <c r="G97" s="467">
        <f t="shared" si="157"/>
        <v>139</v>
      </c>
      <c r="H97" s="467">
        <f t="shared" si="157"/>
        <v>27</v>
      </c>
      <c r="I97" s="467">
        <f t="shared" si="157"/>
        <v>5</v>
      </c>
      <c r="J97" s="467">
        <f t="shared" si="157"/>
        <v>1</v>
      </c>
      <c r="K97" s="467">
        <f t="shared" si="157"/>
        <v>4</v>
      </c>
      <c r="L97" s="467">
        <f t="shared" si="157"/>
        <v>1</v>
      </c>
      <c r="M97" s="467">
        <f t="shared" si="157"/>
        <v>0</v>
      </c>
      <c r="N97" s="467">
        <f t="shared" si="157"/>
        <v>4</v>
      </c>
      <c r="O97" s="467">
        <f t="shared" si="157"/>
        <v>0</v>
      </c>
      <c r="P97" s="467">
        <f t="shared" si="157"/>
        <v>0</v>
      </c>
      <c r="Q97" s="467">
        <f t="shared" si="157"/>
        <v>1</v>
      </c>
      <c r="R97" s="467">
        <f t="shared" si="157"/>
        <v>6</v>
      </c>
      <c r="S97" s="467">
        <f t="shared" si="157"/>
        <v>2</v>
      </c>
      <c r="T97" s="467">
        <f t="shared" si="157"/>
        <v>1</v>
      </c>
      <c r="U97" s="467">
        <f t="shared" si="157"/>
        <v>2</v>
      </c>
      <c r="V97" s="467">
        <f t="shared" si="157"/>
        <v>2</v>
      </c>
      <c r="W97" s="467">
        <f t="shared" si="157"/>
        <v>0</v>
      </c>
      <c r="X97" s="467">
        <f t="shared" si="157"/>
        <v>4</v>
      </c>
      <c r="Y97" s="467">
        <f t="shared" si="157"/>
        <v>6</v>
      </c>
      <c r="Z97" s="467">
        <f t="shared" si="157"/>
        <v>9</v>
      </c>
      <c r="AA97" s="467">
        <f t="shared" si="157"/>
        <v>12</v>
      </c>
      <c r="AB97" s="467">
        <f t="shared" si="157"/>
        <v>14</v>
      </c>
      <c r="AC97" s="467">
        <f t="shared" si="157"/>
        <v>5</v>
      </c>
      <c r="AD97" s="467">
        <f t="shared" si="157"/>
        <v>0</v>
      </c>
      <c r="AE97" s="467">
        <f t="shared" si="157"/>
        <v>1</v>
      </c>
      <c r="AF97" s="467">
        <f t="shared" si="157"/>
        <v>2</v>
      </c>
      <c r="AG97" s="467">
        <f t="shared" si="157"/>
        <v>9</v>
      </c>
      <c r="AH97" s="467">
        <f t="shared" si="157"/>
        <v>2</v>
      </c>
      <c r="AI97" s="467">
        <f t="shared" si="157"/>
        <v>17</v>
      </c>
      <c r="AJ97" s="467">
        <f t="shared" si="157"/>
        <v>1</v>
      </c>
      <c r="AK97" s="467">
        <f t="shared" si="157"/>
        <v>1</v>
      </c>
      <c r="AL97" s="467">
        <f t="shared" si="157"/>
        <v>0</v>
      </c>
      <c r="AM97" s="467">
        <f t="shared" si="157"/>
        <v>1</v>
      </c>
      <c r="AN97" s="467">
        <f t="shared" si="157"/>
        <v>12</v>
      </c>
      <c r="AO97" s="467">
        <f t="shared" si="157"/>
        <v>2</v>
      </c>
      <c r="AP97" s="467">
        <f t="shared" si="157"/>
        <v>9</v>
      </c>
      <c r="AQ97" s="467">
        <f t="shared" si="157"/>
        <v>2</v>
      </c>
      <c r="AR97" s="467">
        <f t="shared" si="157"/>
        <v>0</v>
      </c>
      <c r="AS97" s="467">
        <f t="shared" si="157"/>
        <v>4</v>
      </c>
      <c r="AT97" s="467">
        <f t="shared" si="157"/>
        <v>2</v>
      </c>
      <c r="AU97" s="467">
        <f t="shared" si="157"/>
        <v>14</v>
      </c>
      <c r="AV97" s="467">
        <f t="shared" si="157"/>
        <v>17</v>
      </c>
      <c r="AW97" s="467">
        <f t="shared" si="157"/>
        <v>9</v>
      </c>
      <c r="AX97" s="467">
        <f t="shared" si="157"/>
        <v>7</v>
      </c>
      <c r="AY97" s="467">
        <f t="shared" si="157"/>
        <v>1</v>
      </c>
      <c r="AZ97" s="467">
        <f t="shared" si="157"/>
        <v>0</v>
      </c>
      <c r="BA97" s="467">
        <f t="shared" si="157"/>
        <v>2</v>
      </c>
      <c r="BB97" s="467">
        <f t="shared" si="157"/>
        <v>5</v>
      </c>
      <c r="BC97" s="467">
        <f t="shared" si="157"/>
        <v>1</v>
      </c>
      <c r="BD97" s="467">
        <f t="shared" si="157"/>
        <v>2</v>
      </c>
      <c r="BE97" s="467">
        <f t="shared" si="157"/>
        <v>7</v>
      </c>
      <c r="BF97" s="467">
        <f t="shared" si="157"/>
        <v>0</v>
      </c>
      <c r="BG97" s="467">
        <f t="shared" si="157"/>
        <v>0</v>
      </c>
      <c r="BH97" s="467">
        <f t="shared" si="157"/>
        <v>0</v>
      </c>
      <c r="BI97" s="467">
        <f t="shared" si="157"/>
        <v>0</v>
      </c>
      <c r="BJ97" s="467">
        <f t="shared" si="157"/>
        <v>1</v>
      </c>
      <c r="BK97" s="467">
        <f t="shared" si="157"/>
        <v>0</v>
      </c>
      <c r="BL97" s="467">
        <f t="shared" si="157"/>
        <v>1</v>
      </c>
      <c r="BM97" s="467">
        <f t="shared" si="157"/>
        <v>0</v>
      </c>
    </row>
    <row r="98">
      <c r="A98" s="466" t="s">
        <v>1563</v>
      </c>
      <c r="B98" s="464">
        <f t="shared" ref="B98:I98" si="158">B97/sum($B$97:$I$97)</f>
        <v>0.01550387597</v>
      </c>
      <c r="C98" s="464">
        <f t="shared" si="158"/>
        <v>0.003875968992</v>
      </c>
      <c r="D98" s="464">
        <f t="shared" si="158"/>
        <v>0.1085271318</v>
      </c>
      <c r="E98" s="464">
        <f t="shared" si="158"/>
        <v>0.1007751938</v>
      </c>
      <c r="F98" s="464">
        <f t="shared" si="158"/>
        <v>0.1085271318</v>
      </c>
      <c r="G98" s="464">
        <f t="shared" si="158"/>
        <v>0.5387596899</v>
      </c>
      <c r="H98" s="464">
        <f t="shared" si="158"/>
        <v>0.1046511628</v>
      </c>
      <c r="I98" s="464">
        <f t="shared" si="158"/>
        <v>0.01937984496</v>
      </c>
      <c r="J98" s="464">
        <f t="shared" ref="J98:P98" si="159">J97/sum($J$97:$P$97)</f>
        <v>0.1</v>
      </c>
      <c r="K98" s="464">
        <f t="shared" si="159"/>
        <v>0.4</v>
      </c>
      <c r="L98" s="464">
        <f t="shared" si="159"/>
        <v>0.1</v>
      </c>
      <c r="M98" s="464">
        <f t="shared" si="159"/>
        <v>0</v>
      </c>
      <c r="N98" s="464">
        <f t="shared" si="159"/>
        <v>0.4</v>
      </c>
      <c r="O98" s="464">
        <f t="shared" si="159"/>
        <v>0</v>
      </c>
      <c r="P98" s="464">
        <f t="shared" si="159"/>
        <v>0</v>
      </c>
      <c r="Q98" s="464">
        <f t="shared" ref="Q98:W98" si="160">Q97/sum($Q$97:$W$97)</f>
        <v>0.07142857143</v>
      </c>
      <c r="R98" s="464">
        <f t="shared" si="160"/>
        <v>0.4285714286</v>
      </c>
      <c r="S98" s="464">
        <f t="shared" si="160"/>
        <v>0.1428571429</v>
      </c>
      <c r="T98" s="464">
        <f t="shared" si="160"/>
        <v>0.07142857143</v>
      </c>
      <c r="U98" s="464">
        <f t="shared" si="160"/>
        <v>0.1428571429</v>
      </c>
      <c r="V98" s="464">
        <f t="shared" si="160"/>
        <v>0.1428571429</v>
      </c>
      <c r="W98" s="464">
        <f t="shared" si="160"/>
        <v>0</v>
      </c>
      <c r="X98" s="464">
        <f t="shared" ref="X98:AD98" si="161">X97/sum($X$97:$AD$97)</f>
        <v>0.08</v>
      </c>
      <c r="Y98" s="464">
        <f t="shared" si="161"/>
        <v>0.12</v>
      </c>
      <c r="Z98" s="464">
        <f t="shared" si="161"/>
        <v>0.18</v>
      </c>
      <c r="AA98" s="464">
        <f t="shared" si="161"/>
        <v>0.24</v>
      </c>
      <c r="AB98" s="464">
        <f t="shared" si="161"/>
        <v>0.28</v>
      </c>
      <c r="AC98" s="464">
        <f t="shared" si="161"/>
        <v>0.1</v>
      </c>
      <c r="AD98" s="464">
        <f t="shared" si="161"/>
        <v>0</v>
      </c>
      <c r="AE98" s="464">
        <f t="shared" ref="AE98:AK98" si="162">AE97/sum($AE$97:$AK$97)</f>
        <v>0.0303030303</v>
      </c>
      <c r="AF98" s="464">
        <f t="shared" si="162"/>
        <v>0.06060606061</v>
      </c>
      <c r="AG98" s="464">
        <f t="shared" si="162"/>
        <v>0.2727272727</v>
      </c>
      <c r="AH98" s="464">
        <f t="shared" si="162"/>
        <v>0.06060606061</v>
      </c>
      <c r="AI98" s="464">
        <f t="shared" si="162"/>
        <v>0.5151515152</v>
      </c>
      <c r="AJ98" s="464">
        <f t="shared" si="162"/>
        <v>0.0303030303</v>
      </c>
      <c r="AK98" s="464">
        <f t="shared" si="162"/>
        <v>0.0303030303</v>
      </c>
      <c r="AL98" s="464">
        <f t="shared" ref="AL98:AR98" si="163">AL97/sum($AL$97:$AR$97)</f>
        <v>0</v>
      </c>
      <c r="AM98" s="464">
        <f t="shared" si="163"/>
        <v>0.03846153846</v>
      </c>
      <c r="AN98" s="464">
        <f t="shared" si="163"/>
        <v>0.4615384615</v>
      </c>
      <c r="AO98" s="464">
        <f t="shared" si="163"/>
        <v>0.07692307692</v>
      </c>
      <c r="AP98" s="464">
        <f t="shared" si="163"/>
        <v>0.3461538462</v>
      </c>
      <c r="AQ98" s="464">
        <f t="shared" si="163"/>
        <v>0.07692307692</v>
      </c>
      <c r="AR98" s="464">
        <f t="shared" si="163"/>
        <v>0</v>
      </c>
      <c r="AS98" s="464">
        <f t="shared" ref="AS98:AY98" si="164">AS97/sum($AS$97:$AY$97)</f>
        <v>0.07407407407</v>
      </c>
      <c r="AT98" s="464">
        <f t="shared" si="164"/>
        <v>0.03703703704</v>
      </c>
      <c r="AU98" s="464">
        <f t="shared" si="164"/>
        <v>0.2592592593</v>
      </c>
      <c r="AV98" s="464">
        <f t="shared" si="164"/>
        <v>0.3148148148</v>
      </c>
      <c r="AW98" s="464">
        <f t="shared" si="164"/>
        <v>0.1666666667</v>
      </c>
      <c r="AX98" s="464">
        <f t="shared" si="164"/>
        <v>0.1296296296</v>
      </c>
      <c r="AY98" s="464">
        <f t="shared" si="164"/>
        <v>0.01851851852</v>
      </c>
      <c r="AZ98" s="464">
        <f t="shared" ref="AZ98:BF98" si="165">AZ97/sum($AZ$97:$BF$97)</f>
        <v>0</v>
      </c>
      <c r="BA98" s="464">
        <f t="shared" si="165"/>
        <v>0.1176470588</v>
      </c>
      <c r="BB98" s="464">
        <f t="shared" si="165"/>
        <v>0.2941176471</v>
      </c>
      <c r="BC98" s="464">
        <f t="shared" si="165"/>
        <v>0.05882352941</v>
      </c>
      <c r="BD98" s="464">
        <f t="shared" si="165"/>
        <v>0.1176470588</v>
      </c>
      <c r="BE98" s="464">
        <f t="shared" si="165"/>
        <v>0.4117647059</v>
      </c>
      <c r="BF98" s="464">
        <f t="shared" si="165"/>
        <v>0</v>
      </c>
      <c r="BG98" s="464">
        <f t="shared" ref="BG98:BM98" si="166">BG97/sum($BG$97:$BM$97)</f>
        <v>0</v>
      </c>
      <c r="BH98" s="464">
        <f t="shared" si="166"/>
        <v>0</v>
      </c>
      <c r="BI98" s="464">
        <f t="shared" si="166"/>
        <v>0</v>
      </c>
      <c r="BJ98" s="464">
        <f t="shared" si="166"/>
        <v>0.5</v>
      </c>
      <c r="BK98" s="464">
        <f t="shared" si="166"/>
        <v>0</v>
      </c>
      <c r="BL98" s="464">
        <f t="shared" si="166"/>
        <v>0.5</v>
      </c>
      <c r="BM98" s="464">
        <f t="shared" si="166"/>
        <v>0</v>
      </c>
    </row>
    <row r="99">
      <c r="A99" s="466" t="s">
        <v>1485</v>
      </c>
      <c r="B99" s="464"/>
      <c r="C99" s="464"/>
      <c r="D99" s="464"/>
      <c r="E99" s="464"/>
      <c r="F99" s="464"/>
      <c r="G99" s="464"/>
      <c r="H99" s="536"/>
      <c r="I99" s="466"/>
      <c r="J99" s="464">
        <f t="shared" ref="J99:P99" si="167">C128</f>
        <v>0.2952755906</v>
      </c>
      <c r="K99" s="464">
        <f t="shared" si="167"/>
        <v>1.535433071</v>
      </c>
      <c r="L99" s="464">
        <f t="shared" si="167"/>
        <v>1.161417323</v>
      </c>
      <c r="M99" s="464">
        <f t="shared" si="167"/>
        <v>1.062992126</v>
      </c>
      <c r="N99" s="464">
        <f t="shared" si="167"/>
        <v>3.799212598</v>
      </c>
      <c r="O99" s="464">
        <f t="shared" si="167"/>
        <v>0.8661417323</v>
      </c>
      <c r="P99" s="464">
        <f t="shared" si="167"/>
        <v>0.1377952756</v>
      </c>
      <c r="Q99" s="464">
        <f>B129</f>
        <v>0.3835616438</v>
      </c>
      <c r="R99" s="464">
        <f t="shared" ref="R99:W99" si="168">D129</f>
        <v>2.136986301</v>
      </c>
      <c r="S99" s="464">
        <f t="shared" si="168"/>
        <v>1.616438356</v>
      </c>
      <c r="T99" s="464">
        <f t="shared" si="168"/>
        <v>1.479452055</v>
      </c>
      <c r="U99" s="464">
        <f t="shared" si="168"/>
        <v>5.287671233</v>
      </c>
      <c r="V99" s="464">
        <f t="shared" si="168"/>
        <v>1.205479452</v>
      </c>
      <c r="W99" s="464">
        <f t="shared" si="168"/>
        <v>0.1917808219</v>
      </c>
      <c r="X99" s="464">
        <f t="shared" ref="X99:Y99" si="169">B130</f>
        <v>1.446280992</v>
      </c>
      <c r="Y99" s="464">
        <f t="shared" si="169"/>
        <v>1.549586777</v>
      </c>
      <c r="Z99" s="464">
        <f t="shared" ref="Z99:AD99" si="170">E130</f>
        <v>6.095041322</v>
      </c>
      <c r="AA99" s="464">
        <f t="shared" si="170"/>
        <v>5.578512397</v>
      </c>
      <c r="AB99" s="464">
        <f t="shared" si="170"/>
        <v>19.93801653</v>
      </c>
      <c r="AC99" s="464">
        <f t="shared" si="170"/>
        <v>4.545454545</v>
      </c>
      <c r="AD99" s="464">
        <f t="shared" si="170"/>
        <v>0.7231404959</v>
      </c>
      <c r="AE99" s="464">
        <f t="shared" ref="AE99:AG99" si="171">B131</f>
        <v>0.950617284</v>
      </c>
      <c r="AF99" s="464">
        <f t="shared" si="171"/>
        <v>1.018518519</v>
      </c>
      <c r="AG99" s="464">
        <f t="shared" si="171"/>
        <v>5.296296296</v>
      </c>
      <c r="AH99" s="464">
        <f t="shared" ref="AH99:AK99" si="172">F131</f>
        <v>3.666666667</v>
      </c>
      <c r="AI99" s="464">
        <f t="shared" si="172"/>
        <v>13.10493827</v>
      </c>
      <c r="AJ99" s="464">
        <f t="shared" si="172"/>
        <v>2.987654321</v>
      </c>
      <c r="AK99" s="464">
        <f t="shared" si="172"/>
        <v>0.475308642</v>
      </c>
      <c r="AL99" s="464">
        <f t="shared" ref="AL99:AO99" si="173">B132</f>
        <v>0.7520661157</v>
      </c>
      <c r="AM99" s="464">
        <f t="shared" si="173"/>
        <v>0.805785124</v>
      </c>
      <c r="AN99" s="464">
        <f t="shared" si="173"/>
        <v>4.190082645</v>
      </c>
      <c r="AO99" s="464">
        <f t="shared" si="173"/>
        <v>3.169421488</v>
      </c>
      <c r="AP99" s="464">
        <f t="shared" ref="AP99:AR99" si="174">G132</f>
        <v>10.3677686</v>
      </c>
      <c r="AQ99" s="464">
        <f t="shared" si="174"/>
        <v>2.363636364</v>
      </c>
      <c r="AR99" s="464">
        <f t="shared" si="174"/>
        <v>0.3760330579</v>
      </c>
      <c r="AS99" s="464">
        <f t="shared" ref="AS99:AW99" si="175">B133</f>
        <v>2.026809651</v>
      </c>
      <c r="AT99" s="464">
        <f t="shared" si="175"/>
        <v>2.171581769</v>
      </c>
      <c r="AU99" s="464">
        <f t="shared" si="175"/>
        <v>11.2922252</v>
      </c>
      <c r="AV99" s="464">
        <f t="shared" si="175"/>
        <v>8.54155496</v>
      </c>
      <c r="AW99" s="464">
        <f t="shared" si="175"/>
        <v>7.81769437</v>
      </c>
      <c r="AX99" s="464">
        <f t="shared" ref="AX99:AY99" si="176">H133</f>
        <v>6.36997319</v>
      </c>
      <c r="AY99" s="464">
        <f t="shared" si="176"/>
        <v>1.013404826</v>
      </c>
      <c r="AZ99" s="464">
        <f t="shared" ref="AZ99:BE99" si="177">B134</f>
        <v>0.4907216495</v>
      </c>
      <c r="BA99" s="464">
        <f t="shared" si="177"/>
        <v>0.5257731959</v>
      </c>
      <c r="BB99" s="464">
        <f t="shared" si="177"/>
        <v>2.734020619</v>
      </c>
      <c r="BC99" s="464">
        <f t="shared" si="177"/>
        <v>2.068041237</v>
      </c>
      <c r="BD99" s="464">
        <f t="shared" si="177"/>
        <v>1.892783505</v>
      </c>
      <c r="BE99" s="464">
        <f t="shared" si="177"/>
        <v>6.764948454</v>
      </c>
      <c r="BF99" s="464">
        <f>I134</f>
        <v>0.2453608247</v>
      </c>
      <c r="BG99" s="464">
        <f t="shared" ref="BG99:BM99" si="178">B135</f>
        <v>0.05522682446</v>
      </c>
      <c r="BH99" s="464">
        <f t="shared" si="178"/>
        <v>0.05917159763</v>
      </c>
      <c r="BI99" s="464">
        <f t="shared" si="178"/>
        <v>0.3076923077</v>
      </c>
      <c r="BJ99" s="464">
        <f t="shared" si="178"/>
        <v>0.2327416174</v>
      </c>
      <c r="BK99" s="464">
        <f t="shared" si="178"/>
        <v>0.2130177515</v>
      </c>
      <c r="BL99" s="464">
        <f t="shared" si="178"/>
        <v>0.7613412229</v>
      </c>
      <c r="BM99" s="464">
        <f t="shared" si="178"/>
        <v>0.1735700197</v>
      </c>
    </row>
    <row r="100">
      <c r="A100" s="466" t="s">
        <v>1564</v>
      </c>
      <c r="B100" s="464"/>
      <c r="C100" s="464"/>
      <c r="D100" s="464"/>
      <c r="E100" s="464"/>
      <c r="F100" s="464"/>
      <c r="G100" s="464"/>
      <c r="H100" s="464"/>
      <c r="I100" s="466"/>
      <c r="J100" s="464">
        <f t="shared" ref="J100:P100" si="179">J99/sum($J$99:$P$99)</f>
        <v>0.03333333333</v>
      </c>
      <c r="K100" s="464">
        <f t="shared" si="179"/>
        <v>0.1733333333</v>
      </c>
      <c r="L100" s="464">
        <f t="shared" si="179"/>
        <v>0.1311111111</v>
      </c>
      <c r="M100" s="464">
        <f t="shared" si="179"/>
        <v>0.12</v>
      </c>
      <c r="N100" s="464">
        <f t="shared" si="179"/>
        <v>0.4288888889</v>
      </c>
      <c r="O100" s="464">
        <f t="shared" si="179"/>
        <v>0.09777777778</v>
      </c>
      <c r="P100" s="464">
        <f t="shared" si="179"/>
        <v>0.01555555556</v>
      </c>
      <c r="Q100" s="464">
        <f t="shared" ref="Q100:W100" si="180">Q99/sum($Q$99:$W$99)</f>
        <v>0.03118040089</v>
      </c>
      <c r="R100" s="464">
        <f t="shared" si="180"/>
        <v>0.1737193764</v>
      </c>
      <c r="S100" s="464">
        <f t="shared" si="180"/>
        <v>0.131403118</v>
      </c>
      <c r="T100" s="464">
        <f t="shared" si="180"/>
        <v>0.1202672606</v>
      </c>
      <c r="U100" s="464">
        <f t="shared" si="180"/>
        <v>0.429844098</v>
      </c>
      <c r="V100" s="464">
        <f t="shared" si="180"/>
        <v>0.09799554566</v>
      </c>
      <c r="W100" s="464">
        <f t="shared" si="180"/>
        <v>0.01559020045</v>
      </c>
      <c r="X100" s="464">
        <f t="shared" ref="X100:AD100" si="181">X99/sum($X$99:$AD$99)</f>
        <v>0.03626943005</v>
      </c>
      <c r="Y100" s="464">
        <f t="shared" si="181"/>
        <v>0.03886010363</v>
      </c>
      <c r="Z100" s="464">
        <f t="shared" si="181"/>
        <v>0.1528497409</v>
      </c>
      <c r="AA100" s="464">
        <f t="shared" si="181"/>
        <v>0.1398963731</v>
      </c>
      <c r="AB100" s="464">
        <f t="shared" si="181"/>
        <v>0.5</v>
      </c>
      <c r="AC100" s="464">
        <f t="shared" si="181"/>
        <v>0.1139896373</v>
      </c>
      <c r="AD100" s="464">
        <f t="shared" si="181"/>
        <v>0.01813471503</v>
      </c>
      <c r="AE100" s="464">
        <f t="shared" ref="AE100:AK100" si="182">AE99/sum($AE$99:$AK$99)</f>
        <v>0.03456790123</v>
      </c>
      <c r="AF100" s="464">
        <f t="shared" si="182"/>
        <v>0.03703703704</v>
      </c>
      <c r="AG100" s="464">
        <f t="shared" si="182"/>
        <v>0.1925925926</v>
      </c>
      <c r="AH100" s="464">
        <f t="shared" si="182"/>
        <v>0.1333333333</v>
      </c>
      <c r="AI100" s="464">
        <f t="shared" si="182"/>
        <v>0.4765432099</v>
      </c>
      <c r="AJ100" s="464">
        <f t="shared" si="182"/>
        <v>0.1086419753</v>
      </c>
      <c r="AK100" s="464">
        <f t="shared" si="182"/>
        <v>0.01728395062</v>
      </c>
      <c r="AL100" s="464">
        <f t="shared" ref="AL100:AR100" si="183">AL99/sum($AL$99:$AR$99)</f>
        <v>0.03414634146</v>
      </c>
      <c r="AM100" s="464">
        <f t="shared" si="183"/>
        <v>0.03658536585</v>
      </c>
      <c r="AN100" s="464">
        <f t="shared" si="183"/>
        <v>0.1902439024</v>
      </c>
      <c r="AO100" s="464">
        <f t="shared" si="183"/>
        <v>0.143902439</v>
      </c>
      <c r="AP100" s="464">
        <f t="shared" si="183"/>
        <v>0.4707317073</v>
      </c>
      <c r="AQ100" s="464">
        <f t="shared" si="183"/>
        <v>0.1073170732</v>
      </c>
      <c r="AR100" s="464">
        <f t="shared" si="183"/>
        <v>0.01707317073</v>
      </c>
      <c r="AS100" s="464">
        <f t="shared" ref="AS100:AY100" si="184">AS99/sum($AS$99:$AY$99)</f>
        <v>0.05166051661</v>
      </c>
      <c r="AT100" s="464">
        <f t="shared" si="184"/>
        <v>0.05535055351</v>
      </c>
      <c r="AU100" s="464">
        <f t="shared" si="184"/>
        <v>0.2878228782</v>
      </c>
      <c r="AV100" s="464">
        <f t="shared" si="184"/>
        <v>0.2177121771</v>
      </c>
      <c r="AW100" s="464">
        <f t="shared" si="184"/>
        <v>0.1992619926</v>
      </c>
      <c r="AX100" s="464">
        <f t="shared" si="184"/>
        <v>0.1623616236</v>
      </c>
      <c r="AY100" s="464">
        <f t="shared" si="184"/>
        <v>0.0258302583</v>
      </c>
      <c r="AZ100" s="464">
        <f t="shared" ref="AZ100:BF100" si="185">AZ99/sum($AZ$99:$BF$99)</f>
        <v>0.03333333333</v>
      </c>
      <c r="BA100" s="464">
        <f t="shared" si="185"/>
        <v>0.03571428571</v>
      </c>
      <c r="BB100" s="464">
        <f t="shared" si="185"/>
        <v>0.1857142857</v>
      </c>
      <c r="BC100" s="464">
        <f t="shared" si="185"/>
        <v>0.1404761905</v>
      </c>
      <c r="BD100" s="464">
        <f t="shared" si="185"/>
        <v>0.1285714286</v>
      </c>
      <c r="BE100" s="464">
        <f t="shared" si="185"/>
        <v>0.4595238095</v>
      </c>
      <c r="BF100" s="464">
        <f t="shared" si="185"/>
        <v>0.01666666667</v>
      </c>
      <c r="BG100" s="464">
        <f t="shared" ref="BG100:BM100" si="186">BG99/sum($BG$99:$BM$99)</f>
        <v>0.0306345733</v>
      </c>
      <c r="BH100" s="464">
        <f t="shared" si="186"/>
        <v>0.03282275711</v>
      </c>
      <c r="BI100" s="464">
        <f t="shared" si="186"/>
        <v>0.170678337</v>
      </c>
      <c r="BJ100" s="464">
        <f t="shared" si="186"/>
        <v>0.1291028446</v>
      </c>
      <c r="BK100" s="464">
        <f t="shared" si="186"/>
        <v>0.1181619256</v>
      </c>
      <c r="BL100" s="464">
        <f t="shared" si="186"/>
        <v>0.4223194748</v>
      </c>
      <c r="BM100" s="464">
        <f t="shared" si="186"/>
        <v>0.09628008753</v>
      </c>
    </row>
    <row r="101">
      <c r="A101" s="466" t="s">
        <v>1565</v>
      </c>
      <c r="B101" s="464"/>
      <c r="C101" s="464"/>
      <c r="D101" s="464"/>
      <c r="E101" s="464"/>
      <c r="F101" s="464"/>
      <c r="G101" s="464"/>
      <c r="H101" s="464"/>
      <c r="I101" s="466"/>
      <c r="J101" s="464">
        <f t="shared" ref="J101:P101" si="187">J97/sum($J$97:$P$97,$R$97:$W$97,$Z$97:$AD$97,$AH$97:$AK$97,$AP$97:$AR$97,$AX$97:$AY$97,$BF$97)</f>
        <v>0.009708737864</v>
      </c>
      <c r="K101" s="464">
        <f t="shared" si="187"/>
        <v>0.03883495146</v>
      </c>
      <c r="L101" s="464">
        <f t="shared" si="187"/>
        <v>0.009708737864</v>
      </c>
      <c r="M101" s="464">
        <f t="shared" si="187"/>
        <v>0</v>
      </c>
      <c r="N101" s="464">
        <f t="shared" si="187"/>
        <v>0.03883495146</v>
      </c>
      <c r="O101" s="464">
        <f t="shared" si="187"/>
        <v>0</v>
      </c>
      <c r="P101" s="464">
        <f t="shared" si="187"/>
        <v>0</v>
      </c>
      <c r="Q101" s="464"/>
      <c r="R101" s="464">
        <f t="shared" ref="R101:W101" si="188">R97/sum($J$97:$P$97,$R$97:$W$97,$Z$97:$AD$97,$AH$97:$AK$97,$AP$97:$AR$97,$AX$97:$AY$97,$BF$97)</f>
        <v>0.05825242718</v>
      </c>
      <c r="S101" s="464">
        <f t="shared" si="188"/>
        <v>0.01941747573</v>
      </c>
      <c r="T101" s="464">
        <f t="shared" si="188"/>
        <v>0.009708737864</v>
      </c>
      <c r="U101" s="464">
        <f t="shared" si="188"/>
        <v>0.01941747573</v>
      </c>
      <c r="V101" s="464">
        <f t="shared" si="188"/>
        <v>0.01941747573</v>
      </c>
      <c r="W101" s="464">
        <f t="shared" si="188"/>
        <v>0</v>
      </c>
      <c r="X101" s="464"/>
      <c r="Y101" s="464"/>
      <c r="Z101" s="464">
        <f t="shared" ref="Z101:AD101" si="189">Z97/sum($J$97:$P$97,$R$97:$W$97,$Z$97:$AD$97,$AH$97:$AK$97,$AP$97:$AR$97,$AX$97:$AY$97,$BF$97)</f>
        <v>0.08737864078</v>
      </c>
      <c r="AA101" s="464">
        <f t="shared" si="189"/>
        <v>0.1165048544</v>
      </c>
      <c r="AB101" s="464">
        <f t="shared" si="189"/>
        <v>0.1359223301</v>
      </c>
      <c r="AC101" s="464">
        <f t="shared" si="189"/>
        <v>0.04854368932</v>
      </c>
      <c r="AD101" s="464">
        <f t="shared" si="189"/>
        <v>0</v>
      </c>
      <c r="AE101" s="464"/>
      <c r="AF101" s="464"/>
      <c r="AG101" s="464"/>
      <c r="AH101" s="464">
        <f t="shared" ref="AH101:AK101" si="190">AH97/sum($J$97:$P$97,$R$97:$W$97,$Z$97:$AD$97,$AH$97:$AK$97,$AP$97:$AR$97,$AX$97:$AY$97,$BF$97)</f>
        <v>0.01941747573</v>
      </c>
      <c r="AI101" s="464">
        <f t="shared" si="190"/>
        <v>0.1650485437</v>
      </c>
      <c r="AJ101" s="464">
        <f t="shared" si="190"/>
        <v>0.009708737864</v>
      </c>
      <c r="AK101" s="464">
        <f t="shared" si="190"/>
        <v>0.009708737864</v>
      </c>
      <c r="AL101" s="464"/>
      <c r="AM101" s="464"/>
      <c r="AN101" s="464"/>
      <c r="AO101" s="464"/>
      <c r="AP101" s="464">
        <f t="shared" ref="AP101:AR101" si="191">AP97/sum($J$97:$P$97,$R$97:$W$97,$Z$97:$AD$97,$AH$97:$AK$97,$AP$97:$AR$97,$AX$97:$AY$97,$BF$97)</f>
        <v>0.08737864078</v>
      </c>
      <c r="AQ101" s="464">
        <f t="shared" si="191"/>
        <v>0.01941747573</v>
      </c>
      <c r="AR101" s="464">
        <f t="shared" si="191"/>
        <v>0</v>
      </c>
      <c r="AS101" s="464"/>
      <c r="AT101" s="464"/>
      <c r="AU101" s="464"/>
      <c r="AV101" s="464"/>
      <c r="AW101" s="464"/>
      <c r="AX101" s="464">
        <f t="shared" ref="AX101:AY101" si="192">AX97/sum($J$97:$P$97,$R$97:$W$97,$Z$97:$AD$97,$AH$97:$AK$97,$AP$97:$AR$97,$AX$97:$AY$97,$BF$97)</f>
        <v>0.06796116505</v>
      </c>
      <c r="AY101" s="464">
        <f t="shared" si="192"/>
        <v>0.009708737864</v>
      </c>
      <c r="AZ101" s="464"/>
      <c r="BA101" s="464"/>
      <c r="BB101" s="464"/>
      <c r="BC101" s="464"/>
      <c r="BD101" s="464"/>
      <c r="BE101" s="464"/>
      <c r="BF101" s="464">
        <f>BF97/sum($J$97:$P$97,$R$97:$W$97,$Z$97:$AD$97,$AH$97:$AK$97,$AP$97:$AR$97,$AX$97:$AY$97,$BF$97)</f>
        <v>0</v>
      </c>
      <c r="BG101" s="464"/>
      <c r="BH101" s="464"/>
      <c r="BI101" s="464"/>
      <c r="BJ101" s="464"/>
      <c r="BK101" s="464"/>
      <c r="BL101" s="464"/>
      <c r="BM101" s="464"/>
    </row>
    <row r="102">
      <c r="A102" s="466" t="s">
        <v>1566</v>
      </c>
      <c r="B102" s="464"/>
      <c r="C102" s="464"/>
      <c r="D102" s="464"/>
      <c r="E102" s="464"/>
      <c r="F102" s="464"/>
      <c r="G102" s="464"/>
      <c r="H102" s="464"/>
      <c r="I102" s="466"/>
      <c r="J102" s="464">
        <f t="shared" ref="J102:P102" si="193">J99/sum($J$99:$P$99,$R$99:$W$99,$Z$99:$AD$99,$AH$99:$AK$99,$AP$99:$AR$99,$AX$99:$AY$99,$BF$99)</f>
        <v>0.002993862051</v>
      </c>
      <c r="K102" s="464">
        <f t="shared" si="193"/>
        <v>0.01556808267</v>
      </c>
      <c r="L102" s="464">
        <f t="shared" si="193"/>
        <v>0.0117758574</v>
      </c>
      <c r="M102" s="464">
        <f t="shared" si="193"/>
        <v>0.01077790338</v>
      </c>
      <c r="N102" s="464">
        <f t="shared" si="193"/>
        <v>0.03852102506</v>
      </c>
      <c r="O102" s="464">
        <f t="shared" si="193"/>
        <v>0.00878199535</v>
      </c>
      <c r="P102" s="464">
        <f t="shared" si="193"/>
        <v>0.001397135624</v>
      </c>
      <c r="Q102" s="464"/>
      <c r="R102" s="464">
        <f t="shared" ref="R102:W102" si="194">R99/sum($J$99:$P$99,$R$99:$W$99,$Z$99:$AD$99,$AH$99:$AK$99,$AP$99:$AR$99,$AX$99:$AY$99,$BF$99)</f>
        <v>0.02166735889</v>
      </c>
      <c r="S102" s="464">
        <f t="shared" si="194"/>
        <v>0.01638941249</v>
      </c>
      <c r="T102" s="464">
        <f t="shared" si="194"/>
        <v>0.01500047923</v>
      </c>
      <c r="U102" s="464">
        <f t="shared" si="194"/>
        <v>0.05361282392</v>
      </c>
      <c r="V102" s="464">
        <f t="shared" si="194"/>
        <v>0.01222261271</v>
      </c>
      <c r="W102" s="464">
        <f t="shared" si="194"/>
        <v>0.001944506567</v>
      </c>
      <c r="X102" s="464"/>
      <c r="Y102" s="464"/>
      <c r="Z102" s="464">
        <f t="shared" ref="Z102:AD102" si="195">Z99/sum($J$99:$P$99,$R$99:$W$99,$Z$99:$AD$99,$AH$99:$AK$99,$AP$99:$AR$99,$AX$99:$AY$99,$BF$99)</f>
        <v>0.06179892107</v>
      </c>
      <c r="AA102" s="464">
        <f t="shared" si="195"/>
        <v>0.05656172437</v>
      </c>
      <c r="AB102" s="464">
        <f t="shared" si="195"/>
        <v>0.2021557927</v>
      </c>
      <c r="AC102" s="464">
        <f t="shared" si="195"/>
        <v>0.04608733097</v>
      </c>
      <c r="AD102" s="464">
        <f t="shared" si="195"/>
        <v>0.007332075381</v>
      </c>
      <c r="AE102" s="464"/>
      <c r="AF102" s="464"/>
      <c r="AG102" s="464"/>
      <c r="AH102" s="464">
        <f t="shared" ref="AH102:AK102" si="196">AH99/sum($J$99:$P$99,$R$99:$W$99,$Z$99:$AD$99,$AH$99:$AK$99,$AP$99:$AR$99,$AX$99:$AY$99,$BF$99)</f>
        <v>0.03717711365</v>
      </c>
      <c r="AI102" s="464">
        <f t="shared" si="196"/>
        <v>0.132873758</v>
      </c>
      <c r="AJ102" s="464">
        <f t="shared" si="196"/>
        <v>0.03029246297</v>
      </c>
      <c r="AK102" s="464">
        <f t="shared" si="196"/>
        <v>0.004819255473</v>
      </c>
      <c r="AL102" s="464"/>
      <c r="AM102" s="464"/>
      <c r="AN102" s="464"/>
      <c r="AO102" s="464"/>
      <c r="AP102" s="464">
        <f t="shared" ref="AP102:AR102" si="197">AP99/sum($J$99:$P$99,$R$99:$W$99,$Z$99:$AD$99,$AH$99:$AK$99,$AP$99:$AR$99,$AX$99:$AY$99,$BF$99)</f>
        <v>0.1051210122</v>
      </c>
      <c r="AQ102" s="464">
        <f t="shared" si="197"/>
        <v>0.0239654121</v>
      </c>
      <c r="AR102" s="464">
        <f t="shared" si="197"/>
        <v>0.003812679198</v>
      </c>
      <c r="AS102" s="464"/>
      <c r="AT102" s="464"/>
      <c r="AU102" s="464"/>
      <c r="AV102" s="464"/>
      <c r="AW102" s="464"/>
      <c r="AX102" s="464">
        <f t="shared" ref="AX102:AY102" si="198">AX99/sum($J$99:$P$99,$R$99:$W$99,$Z$99:$AD$99,$AH$99:$AK$99,$AP$99:$AR$99,$AX$99:$AY$99,$BF$99)</f>
        <v>0.06458651379</v>
      </c>
      <c r="AY102" s="464">
        <f t="shared" si="198"/>
        <v>0.01027512719</v>
      </c>
      <c r="AZ102" s="464"/>
      <c r="BA102" s="464"/>
      <c r="BB102" s="464"/>
      <c r="BC102" s="464"/>
      <c r="BD102" s="464"/>
      <c r="BE102" s="464"/>
      <c r="BF102" s="464">
        <f>BF99/sum($J$99:$P$99,$R$99:$W$99,$Z$99:$AD$99,$AH$99:$AK$99,$AP$99:$AR$99,$AX$99:$AY$99,$BF$99)</f>
        <v>0.002487765618</v>
      </c>
      <c r="BG102" s="464"/>
      <c r="BH102" s="464"/>
      <c r="BI102" s="464"/>
      <c r="BJ102" s="464"/>
      <c r="BK102" s="464"/>
      <c r="BL102" s="464"/>
      <c r="BM102" s="464"/>
    </row>
    <row r="103">
      <c r="A103" s="466" t="s">
        <v>1488</v>
      </c>
      <c r="B103" s="464"/>
      <c r="C103" s="464"/>
      <c r="D103" s="464"/>
      <c r="E103" s="464"/>
      <c r="F103" s="464"/>
      <c r="G103" s="464"/>
      <c r="H103" s="464"/>
      <c r="I103" s="466"/>
      <c r="J103" s="507">
        <v>5.821601</v>
      </c>
      <c r="K103" s="464"/>
      <c r="L103" s="464"/>
      <c r="M103" s="464"/>
      <c r="N103" s="464"/>
      <c r="O103" s="464"/>
      <c r="P103" s="464"/>
      <c r="Q103" s="507">
        <v>7.139288</v>
      </c>
      <c r="R103" s="464"/>
      <c r="S103" s="464"/>
      <c r="T103" s="464"/>
      <c r="U103" s="464"/>
      <c r="V103" s="464"/>
      <c r="W103" s="464"/>
      <c r="X103" s="508">
        <v>17.02052</v>
      </c>
      <c r="Y103" s="464"/>
      <c r="Z103" s="464"/>
      <c r="AA103" s="464"/>
      <c r="AB103" s="464"/>
      <c r="AC103" s="464"/>
      <c r="AD103" s="464"/>
      <c r="AE103" s="507">
        <v>5.434579</v>
      </c>
      <c r="AF103" s="464"/>
      <c r="AG103" s="464"/>
      <c r="AH103" s="464"/>
      <c r="AI103" s="464"/>
      <c r="AJ103" s="464"/>
      <c r="AK103" s="464"/>
      <c r="AL103" s="507">
        <v>10.51817</v>
      </c>
      <c r="AM103" s="464"/>
      <c r="AN103" s="464"/>
      <c r="AO103" s="464"/>
      <c r="AP103" s="464"/>
      <c r="AQ103" s="464"/>
      <c r="AR103" s="464"/>
      <c r="AS103" s="507">
        <v>3.68848</v>
      </c>
      <c r="AT103" s="464"/>
      <c r="AU103" s="464"/>
      <c r="AV103" s="464"/>
      <c r="AW103" s="464"/>
      <c r="AX103" s="464"/>
      <c r="AY103" s="464"/>
      <c r="AZ103" s="507">
        <v>4.707246</v>
      </c>
      <c r="BA103" s="464"/>
      <c r="BB103" s="464"/>
      <c r="BC103" s="464"/>
      <c r="BD103" s="464"/>
      <c r="BE103" s="464"/>
      <c r="BF103" s="464"/>
      <c r="BG103" s="507">
        <v>1.345901</v>
      </c>
      <c r="BH103" s="464"/>
      <c r="BI103" s="464"/>
      <c r="BJ103" s="464"/>
      <c r="BK103" s="464"/>
      <c r="BL103" s="464"/>
      <c r="BM103" s="464"/>
    </row>
    <row r="104">
      <c r="A104" s="466" t="s">
        <v>1489</v>
      </c>
      <c r="B104" s="464"/>
      <c r="C104" s="464"/>
      <c r="D104" s="464"/>
      <c r="E104" s="464"/>
      <c r="F104" s="464"/>
      <c r="G104" s="464"/>
      <c r="H104" s="464"/>
      <c r="I104" s="466"/>
      <c r="J104" s="507">
        <v>0.4434685</v>
      </c>
      <c r="K104" s="464"/>
      <c r="L104" s="464"/>
      <c r="M104" s="464"/>
      <c r="N104" s="464"/>
      <c r="O104" s="464"/>
      <c r="P104" s="464"/>
      <c r="Q104" s="507">
        <v>0.3081579</v>
      </c>
      <c r="R104" s="464"/>
      <c r="S104" s="464"/>
      <c r="T104" s="464"/>
      <c r="U104" s="464"/>
      <c r="V104" s="464"/>
      <c r="W104" s="464"/>
      <c r="X104" s="508">
        <v>0.009208112</v>
      </c>
      <c r="Y104" s="464"/>
      <c r="Z104" s="464"/>
      <c r="AA104" s="464"/>
      <c r="AB104" s="464"/>
      <c r="AC104" s="464"/>
      <c r="AD104" s="464"/>
      <c r="AE104" s="507">
        <v>0.4893988</v>
      </c>
      <c r="AF104" s="464"/>
      <c r="AG104" s="464"/>
      <c r="AH104" s="464"/>
      <c r="AI104" s="464"/>
      <c r="AJ104" s="464"/>
      <c r="AK104" s="464"/>
      <c r="AL104" s="507">
        <v>0.1044592</v>
      </c>
      <c r="AM104" s="464"/>
      <c r="AN104" s="464"/>
      <c r="AO104" s="464"/>
      <c r="AP104" s="464"/>
      <c r="AQ104" s="464"/>
      <c r="AR104" s="464"/>
      <c r="AS104" s="507">
        <v>0.7187476</v>
      </c>
      <c r="AT104" s="464"/>
      <c r="AU104" s="464"/>
      <c r="AV104" s="464"/>
      <c r="AW104" s="464"/>
      <c r="AX104" s="464"/>
      <c r="AY104" s="464"/>
      <c r="AZ104" s="507">
        <v>0.581871</v>
      </c>
      <c r="BA104" s="464"/>
      <c r="BB104" s="464"/>
      <c r="BC104" s="464"/>
      <c r="BD104" s="464"/>
      <c r="BE104" s="464"/>
      <c r="BF104" s="464"/>
      <c r="BG104" s="507">
        <v>0.9690664</v>
      </c>
      <c r="BH104" s="464"/>
      <c r="BI104" s="464"/>
      <c r="BJ104" s="464"/>
      <c r="BK104" s="464"/>
      <c r="BL104" s="464"/>
      <c r="BM104" s="464"/>
    </row>
    <row r="105">
      <c r="A105" s="466" t="s">
        <v>1490</v>
      </c>
      <c r="B105" s="464"/>
      <c r="C105" s="464"/>
      <c r="D105" s="464"/>
      <c r="E105" s="464"/>
      <c r="F105" s="464"/>
      <c r="G105" s="464"/>
      <c r="H105" s="536"/>
      <c r="I105" s="466"/>
      <c r="J105" s="507">
        <v>0.68098895</v>
      </c>
      <c r="K105" s="507">
        <v>2.12626748</v>
      </c>
      <c r="L105" s="507">
        <v>0.06838662</v>
      </c>
      <c r="M105" s="507">
        <v>1.91123222</v>
      </c>
      <c r="N105" s="507">
        <v>0.02562878</v>
      </c>
      <c r="O105" s="507">
        <v>1.53837089</v>
      </c>
      <c r="P105" s="507">
        <v>0.23439842</v>
      </c>
      <c r="Q105" s="507">
        <v>0.4455057</v>
      </c>
      <c r="R105" s="508">
        <v>3.964574</v>
      </c>
      <c r="S105" s="507">
        <v>0.0126215</v>
      </c>
      <c r="T105" s="507">
        <v>0.2913669</v>
      </c>
      <c r="U105" s="508">
        <v>4.3203388</v>
      </c>
      <c r="V105" s="507">
        <v>0.2275983</v>
      </c>
      <c r="W105" s="507">
        <v>0.3534149</v>
      </c>
      <c r="X105" s="507">
        <v>1.92168383</v>
      </c>
      <c r="Y105" s="508">
        <v>5.39170176</v>
      </c>
      <c r="Z105" s="507">
        <v>0.25419892</v>
      </c>
      <c r="AA105" s="507">
        <v>3.31778848</v>
      </c>
      <c r="AB105" s="508">
        <v>9.36434581</v>
      </c>
      <c r="AC105" s="507">
        <v>0.09400148</v>
      </c>
      <c r="AD105" s="507">
        <v>1.71046835</v>
      </c>
      <c r="AE105" s="507">
        <v>0.01688758</v>
      </c>
      <c r="AF105" s="507">
        <v>0.39055039</v>
      </c>
      <c r="AG105" s="507">
        <v>1.12137945</v>
      </c>
      <c r="AH105" s="507">
        <v>1.65947714</v>
      </c>
      <c r="AI105" s="507">
        <v>0.17738548</v>
      </c>
      <c r="AJ105" s="507">
        <v>2.55617946</v>
      </c>
      <c r="AK105" s="507">
        <v>0.24268097</v>
      </c>
      <c r="AL105" s="507">
        <v>1.583580917</v>
      </c>
      <c r="AM105" s="507">
        <v>0.002239485</v>
      </c>
      <c r="AN105" s="508">
        <v>8.630143114</v>
      </c>
      <c r="AO105" s="507">
        <v>0.973338574</v>
      </c>
      <c r="AP105" s="507">
        <v>1.449367044</v>
      </c>
      <c r="AQ105" s="507">
        <v>0.241193497</v>
      </c>
      <c r="AR105" s="507">
        <v>0.78491352</v>
      </c>
      <c r="AS105" s="507">
        <v>0.4697853</v>
      </c>
      <c r="AT105" s="507">
        <v>0.3728831</v>
      </c>
      <c r="AU105" s="507">
        <v>0.2099114</v>
      </c>
      <c r="AV105" s="507">
        <v>2.6132662</v>
      </c>
      <c r="AW105" s="507">
        <v>0.3594071</v>
      </c>
      <c r="AX105" s="507">
        <v>0.4315935</v>
      </c>
      <c r="AY105" s="507">
        <v>0.1215471</v>
      </c>
      <c r="AZ105" s="507">
        <v>0.9462964</v>
      </c>
      <c r="BA105" s="507">
        <v>1.7278917</v>
      </c>
      <c r="BB105" s="507">
        <v>0.9597164</v>
      </c>
      <c r="BC105" s="507">
        <v>0.9548537</v>
      </c>
      <c r="BD105" s="507">
        <v>0.0152414</v>
      </c>
      <c r="BE105" s="507">
        <v>0.1290466</v>
      </c>
      <c r="BF105" s="507">
        <v>0.4691383</v>
      </c>
      <c r="BG105" s="507">
        <v>0.05499688</v>
      </c>
      <c r="BH105" s="507">
        <v>0.05899149</v>
      </c>
      <c r="BI105" s="507">
        <v>0.33080406</v>
      </c>
      <c r="BJ105" s="507">
        <v>0.70623528</v>
      </c>
      <c r="BK105" s="507">
        <v>0.22227191</v>
      </c>
      <c r="BL105" s="507">
        <v>0.02159417</v>
      </c>
      <c r="BM105" s="507">
        <v>0.17894585</v>
      </c>
    </row>
    <row r="106">
      <c r="A106" s="466" t="s">
        <v>1491</v>
      </c>
      <c r="B106" s="464"/>
      <c r="C106" s="464"/>
      <c r="D106" s="464"/>
      <c r="E106" s="464"/>
      <c r="F106" s="464"/>
      <c r="G106" s="464"/>
      <c r="H106" s="464"/>
      <c r="I106" s="466"/>
      <c r="J106" s="507">
        <f t="shared" ref="J106:BM106" si="199">if(J97&gt;J99,J105*1,J105*-1)</f>
        <v>0.68098895</v>
      </c>
      <c r="K106" s="507">
        <f t="shared" si="199"/>
        <v>2.12626748</v>
      </c>
      <c r="L106" s="507">
        <f t="shared" si="199"/>
        <v>-0.06838662</v>
      </c>
      <c r="M106" s="507">
        <f t="shared" si="199"/>
        <v>-1.91123222</v>
      </c>
      <c r="N106" s="507">
        <f t="shared" si="199"/>
        <v>0.02562878</v>
      </c>
      <c r="O106" s="507">
        <f t="shared" si="199"/>
        <v>-1.53837089</v>
      </c>
      <c r="P106" s="507">
        <f t="shared" si="199"/>
        <v>-0.23439842</v>
      </c>
      <c r="Q106" s="507">
        <f t="shared" si="199"/>
        <v>0.4455057</v>
      </c>
      <c r="R106" s="508">
        <f t="shared" si="199"/>
        <v>3.964574</v>
      </c>
      <c r="S106" s="507">
        <f t="shared" si="199"/>
        <v>0.0126215</v>
      </c>
      <c r="T106" s="507">
        <f t="shared" si="199"/>
        <v>-0.2913669</v>
      </c>
      <c r="U106" s="508">
        <f t="shared" si="199"/>
        <v>-4.3203388</v>
      </c>
      <c r="V106" s="507">
        <f t="shared" si="199"/>
        <v>0.2275983</v>
      </c>
      <c r="W106" s="507">
        <f t="shared" si="199"/>
        <v>-0.3534149</v>
      </c>
      <c r="X106" s="507">
        <f t="shared" si="199"/>
        <v>1.92168383</v>
      </c>
      <c r="Y106" s="508">
        <f t="shared" si="199"/>
        <v>5.39170176</v>
      </c>
      <c r="Z106" s="507">
        <f t="shared" si="199"/>
        <v>0.25419892</v>
      </c>
      <c r="AA106" s="507">
        <f t="shared" si="199"/>
        <v>3.31778848</v>
      </c>
      <c r="AB106" s="508">
        <f t="shared" si="199"/>
        <v>-9.36434581</v>
      </c>
      <c r="AC106" s="507">
        <f t="shared" si="199"/>
        <v>0.09400148</v>
      </c>
      <c r="AD106" s="507">
        <f t="shared" si="199"/>
        <v>-1.71046835</v>
      </c>
      <c r="AE106" s="507">
        <f t="shared" si="199"/>
        <v>0.01688758</v>
      </c>
      <c r="AF106" s="507">
        <f t="shared" si="199"/>
        <v>0.39055039</v>
      </c>
      <c r="AG106" s="507">
        <f t="shared" si="199"/>
        <v>1.12137945</v>
      </c>
      <c r="AH106" s="507">
        <f t="shared" si="199"/>
        <v>-1.65947714</v>
      </c>
      <c r="AI106" s="507">
        <f t="shared" si="199"/>
        <v>0.17738548</v>
      </c>
      <c r="AJ106" s="507">
        <f t="shared" si="199"/>
        <v>-2.55617946</v>
      </c>
      <c r="AK106" s="507">
        <f t="shared" si="199"/>
        <v>0.24268097</v>
      </c>
      <c r="AL106" s="507">
        <f t="shared" si="199"/>
        <v>-1.583580917</v>
      </c>
      <c r="AM106" s="507">
        <f t="shared" si="199"/>
        <v>0.002239485</v>
      </c>
      <c r="AN106" s="508">
        <f t="shared" si="199"/>
        <v>8.630143114</v>
      </c>
      <c r="AO106" s="507">
        <f t="shared" si="199"/>
        <v>-0.973338574</v>
      </c>
      <c r="AP106" s="507">
        <f t="shared" si="199"/>
        <v>-1.449367044</v>
      </c>
      <c r="AQ106" s="507">
        <f t="shared" si="199"/>
        <v>-0.241193497</v>
      </c>
      <c r="AR106" s="507">
        <f t="shared" si="199"/>
        <v>-0.78491352</v>
      </c>
      <c r="AS106" s="507">
        <f t="shared" si="199"/>
        <v>0.4697853</v>
      </c>
      <c r="AT106" s="507">
        <f t="shared" si="199"/>
        <v>-0.3728831</v>
      </c>
      <c r="AU106" s="507">
        <f t="shared" si="199"/>
        <v>0.2099114</v>
      </c>
      <c r="AV106" s="507">
        <f t="shared" si="199"/>
        <v>2.6132662</v>
      </c>
      <c r="AW106" s="507">
        <f t="shared" si="199"/>
        <v>0.3594071</v>
      </c>
      <c r="AX106" s="507">
        <f t="shared" si="199"/>
        <v>0.4315935</v>
      </c>
      <c r="AY106" s="507">
        <f t="shared" si="199"/>
        <v>-0.1215471</v>
      </c>
      <c r="AZ106" s="507">
        <f t="shared" si="199"/>
        <v>-0.9462964</v>
      </c>
      <c r="BA106" s="507">
        <f t="shared" si="199"/>
        <v>1.7278917</v>
      </c>
      <c r="BB106" s="507">
        <f t="shared" si="199"/>
        <v>0.9597164</v>
      </c>
      <c r="BC106" s="507">
        <f t="shared" si="199"/>
        <v>-0.9548537</v>
      </c>
      <c r="BD106" s="507">
        <f t="shared" si="199"/>
        <v>0.0152414</v>
      </c>
      <c r="BE106" s="507">
        <f t="shared" si="199"/>
        <v>0.1290466</v>
      </c>
      <c r="BF106" s="507">
        <f t="shared" si="199"/>
        <v>-0.4691383</v>
      </c>
      <c r="BG106" s="507">
        <f t="shared" si="199"/>
        <v>-0.05499688</v>
      </c>
      <c r="BH106" s="507">
        <f t="shared" si="199"/>
        <v>-0.05899149</v>
      </c>
      <c r="BI106" s="507">
        <f t="shared" si="199"/>
        <v>-0.33080406</v>
      </c>
      <c r="BJ106" s="507">
        <f t="shared" si="199"/>
        <v>0.70623528</v>
      </c>
      <c r="BK106" s="507">
        <f t="shared" si="199"/>
        <v>-0.22227191</v>
      </c>
      <c r="BL106" s="507">
        <f t="shared" si="199"/>
        <v>0.02159417</v>
      </c>
      <c r="BM106" s="507">
        <f t="shared" si="199"/>
        <v>-0.17894585</v>
      </c>
    </row>
    <row r="107">
      <c r="A107" s="466" t="s">
        <v>1492</v>
      </c>
      <c r="B107" s="464"/>
      <c r="C107" s="464"/>
      <c r="D107" s="464"/>
      <c r="E107" s="464"/>
      <c r="F107" s="464"/>
      <c r="G107" s="464"/>
      <c r="H107" s="464"/>
      <c r="I107" s="466"/>
      <c r="J107" s="507">
        <v>0.4092464</v>
      </c>
      <c r="K107" s="507">
        <v>0.144793</v>
      </c>
      <c r="L107" s="507">
        <v>0.7937005</v>
      </c>
      <c r="M107" s="507">
        <v>0.1668264</v>
      </c>
      <c r="N107" s="507">
        <v>0.8728102</v>
      </c>
      <c r="O107" s="507">
        <v>0.2148605</v>
      </c>
      <c r="P107" s="507">
        <v>0.6282815</v>
      </c>
      <c r="Q107" s="507">
        <v>0.50447698</v>
      </c>
      <c r="R107" s="508">
        <v>0.04646728</v>
      </c>
      <c r="S107" s="507">
        <v>0.91054951</v>
      </c>
      <c r="T107" s="507">
        <v>0.58934592</v>
      </c>
      <c r="U107" s="508">
        <v>0.03765942</v>
      </c>
      <c r="V107" s="507">
        <v>0.6333104</v>
      </c>
      <c r="W107" s="507">
        <v>0.55218637</v>
      </c>
      <c r="X107" s="507">
        <v>0.165671155</v>
      </c>
      <c r="Y107" s="508">
        <v>0.02023273</v>
      </c>
      <c r="Z107" s="507">
        <v>0.614133881</v>
      </c>
      <c r="AA107" s="507">
        <v>0.068533962</v>
      </c>
      <c r="AB107" s="508">
        <v>0.002212469</v>
      </c>
      <c r="AC107" s="507">
        <v>0.759150432</v>
      </c>
      <c r="AD107" s="507">
        <v>0.190924615</v>
      </c>
      <c r="AE107" s="507">
        <v>0.8966042</v>
      </c>
      <c r="AF107" s="507">
        <v>0.5320102</v>
      </c>
      <c r="AG107" s="507">
        <v>0.2896216</v>
      </c>
      <c r="AH107" s="507">
        <v>0.1976739</v>
      </c>
      <c r="AI107" s="507">
        <v>0.6736298</v>
      </c>
      <c r="AJ107" s="507">
        <v>0.1098638</v>
      </c>
      <c r="AK107" s="507">
        <v>0.6222764</v>
      </c>
      <c r="AL107" s="507">
        <v>0.208245644</v>
      </c>
      <c r="AM107" s="507">
        <v>0.962255642</v>
      </c>
      <c r="AN107" s="508">
        <v>0.003306456</v>
      </c>
      <c r="AO107" s="507">
        <v>0.323848957</v>
      </c>
      <c r="AP107" s="507">
        <v>0.228629543</v>
      </c>
      <c r="AQ107" s="507">
        <v>0.623345434</v>
      </c>
      <c r="AR107" s="507">
        <v>0.37564261</v>
      </c>
      <c r="AS107" s="507">
        <v>0.493086</v>
      </c>
      <c r="AT107" s="507">
        <v>0.5414369</v>
      </c>
      <c r="AU107" s="507">
        <v>0.6468369</v>
      </c>
      <c r="AV107" s="507">
        <v>0.1059733</v>
      </c>
      <c r="AW107" s="507">
        <v>0.5488357</v>
      </c>
      <c r="AX107" s="507">
        <v>0.5112081</v>
      </c>
      <c r="AY107" s="507">
        <v>0.7273625</v>
      </c>
      <c r="AZ107" s="507">
        <v>0.3306638</v>
      </c>
      <c r="BA107" s="507">
        <v>0.1886804</v>
      </c>
      <c r="BB107" s="507">
        <v>0.3272583</v>
      </c>
      <c r="BC107" s="507">
        <v>0.3284869</v>
      </c>
      <c r="BD107" s="507">
        <v>0.901746</v>
      </c>
      <c r="BE107" s="507">
        <v>0.7194226</v>
      </c>
      <c r="BF107" s="507">
        <v>0.4933839</v>
      </c>
      <c r="BG107" s="507">
        <v>0.8145859</v>
      </c>
      <c r="BH107" s="507">
        <v>0.8080971</v>
      </c>
      <c r="BI107" s="507">
        <v>0.565186</v>
      </c>
      <c r="BJ107" s="507">
        <v>0.4006964</v>
      </c>
      <c r="BK107" s="507">
        <v>0.6373143</v>
      </c>
      <c r="BL107" s="507">
        <v>0.8831718</v>
      </c>
      <c r="BM107" s="507">
        <v>0.6722807</v>
      </c>
    </row>
    <row r="108">
      <c r="A108" s="466" t="s">
        <v>1567</v>
      </c>
      <c r="B108" s="464"/>
      <c r="C108" s="464"/>
      <c r="D108" s="464"/>
      <c r="E108" s="464"/>
      <c r="F108" s="464"/>
      <c r="G108" s="464"/>
      <c r="H108" s="464"/>
      <c r="I108" s="466"/>
      <c r="J108" s="506">
        <f>chitest(J97:P97,J99:P99)</f>
        <v>0.2579440459</v>
      </c>
      <c r="K108" s="464"/>
      <c r="L108" s="464"/>
      <c r="M108" s="464"/>
      <c r="N108" s="464"/>
      <c r="O108" s="464"/>
      <c r="P108" s="464"/>
      <c r="Q108" s="514">
        <f>chitest(Q97:W97,Q99:W99)</f>
        <v>0.08900189957</v>
      </c>
      <c r="R108" s="464"/>
      <c r="S108" s="464"/>
      <c r="T108" s="464"/>
      <c r="U108" s="464"/>
      <c r="V108" s="464"/>
      <c r="W108" s="464"/>
      <c r="X108" s="505">
        <f>chitest(X97:AD97,X99:AD99)</f>
        <v>0.00007227752465</v>
      </c>
      <c r="Y108" s="464"/>
      <c r="Z108" s="464"/>
      <c r="AA108" s="464"/>
      <c r="AB108" s="464"/>
      <c r="AC108" s="464"/>
      <c r="AD108" s="464"/>
      <c r="AE108" s="506">
        <f>chitest(AE97:AK97,AE99:AK99)</f>
        <v>0.2892435738</v>
      </c>
      <c r="AF108" s="464"/>
      <c r="AG108" s="464"/>
      <c r="AH108" s="464"/>
      <c r="AI108" s="464"/>
      <c r="AJ108" s="464"/>
      <c r="AK108" s="464"/>
      <c r="AL108" s="505">
        <f>chitest(AL97:AR97,AL99:AR99)</f>
        <v>0.01176193571</v>
      </c>
      <c r="AM108" s="464"/>
      <c r="AN108" s="464"/>
      <c r="AO108" s="464"/>
      <c r="AP108" s="464"/>
      <c r="AQ108" s="464"/>
      <c r="AR108" s="464"/>
      <c r="AS108" s="514">
        <f>chitest(AS97:AY97,AS99:AY99)</f>
        <v>0.08235110869</v>
      </c>
      <c r="AT108" s="464"/>
      <c r="AU108" s="464"/>
      <c r="AV108" s="464"/>
      <c r="AW108" s="464"/>
      <c r="AX108" s="464"/>
      <c r="AY108" s="464"/>
      <c r="AZ108" s="506">
        <f>chitest(AZ97:BF97,AZ99:BF99)</f>
        <v>0.2928173047</v>
      </c>
      <c r="BA108" s="464"/>
      <c r="BB108" s="464"/>
      <c r="BC108" s="464"/>
      <c r="BD108" s="464"/>
      <c r="BE108" s="464"/>
      <c r="BF108" s="464"/>
      <c r="BG108" s="506">
        <f>chitest(BG97:BM97,BG99:BM99)</f>
        <v>0.7555271199</v>
      </c>
      <c r="BH108" s="464"/>
      <c r="BI108" s="464"/>
      <c r="BJ108" s="464"/>
      <c r="BK108" s="464"/>
      <c r="BL108" s="464"/>
      <c r="BM108" s="464"/>
    </row>
    <row r="109">
      <c r="A109" s="466" t="s">
        <v>1568</v>
      </c>
      <c r="B109" s="464"/>
      <c r="C109" s="464"/>
      <c r="D109" s="464"/>
      <c r="E109" s="464"/>
      <c r="F109" s="464"/>
      <c r="G109" s="464"/>
      <c r="H109" s="464"/>
      <c r="I109" s="466"/>
      <c r="J109" s="506">
        <f t="shared" ref="J109:BM109" si="200">chitest(J97,J99)</f>
        <v>0.194666572</v>
      </c>
      <c r="K109" s="505">
        <f t="shared" si="200"/>
        <v>0.04670606196</v>
      </c>
      <c r="L109" s="506">
        <f t="shared" si="200"/>
        <v>0.8809376001</v>
      </c>
      <c r="M109" s="506">
        <f t="shared" si="200"/>
        <v>0.3025337412</v>
      </c>
      <c r="N109" s="506">
        <f t="shared" si="200"/>
        <v>0.9179531002</v>
      </c>
      <c r="O109" s="506">
        <f t="shared" si="200"/>
        <v>0.3520256594</v>
      </c>
      <c r="P109" s="506">
        <f t="shared" si="200"/>
        <v>0.710482719</v>
      </c>
      <c r="Q109" s="506">
        <f t="shared" si="200"/>
        <v>0.3195702492</v>
      </c>
      <c r="R109" s="505">
        <f t="shared" si="200"/>
        <v>0.008228111314</v>
      </c>
      <c r="S109" s="506">
        <f t="shared" si="200"/>
        <v>0.7628912083</v>
      </c>
      <c r="T109" s="506">
        <f t="shared" si="200"/>
        <v>0.6934480491</v>
      </c>
      <c r="U109" s="506">
        <f t="shared" si="200"/>
        <v>0.1527925139</v>
      </c>
      <c r="V109" s="506">
        <f t="shared" si="200"/>
        <v>0.4692840533</v>
      </c>
      <c r="W109" s="506">
        <f t="shared" si="200"/>
        <v>0.6614385696</v>
      </c>
      <c r="X109" s="506">
        <f t="shared" si="200"/>
        <v>0.03371422479</v>
      </c>
      <c r="Y109" s="505">
        <f t="shared" si="200"/>
        <v>0.0003500478771</v>
      </c>
      <c r="Z109" s="506">
        <f t="shared" si="200"/>
        <v>0.2393305449</v>
      </c>
      <c r="AA109" s="505">
        <f t="shared" si="200"/>
        <v>0.006552022037</v>
      </c>
      <c r="AB109" s="506">
        <f t="shared" si="200"/>
        <v>0.1835699498</v>
      </c>
      <c r="AC109" s="506">
        <f t="shared" si="200"/>
        <v>0.8311704095</v>
      </c>
      <c r="AD109" s="506">
        <f t="shared" si="200"/>
        <v>0.3951156977</v>
      </c>
      <c r="AE109" s="506">
        <f t="shared" si="200"/>
        <v>0.9596051009</v>
      </c>
      <c r="AF109" s="506">
        <f t="shared" si="200"/>
        <v>0.3307929182</v>
      </c>
      <c r="AG109" s="506">
        <f t="shared" si="200"/>
        <v>0.1075401599</v>
      </c>
      <c r="AH109" s="506">
        <f t="shared" si="200"/>
        <v>0.3840882495</v>
      </c>
      <c r="AI109" s="506">
        <f t="shared" si="200"/>
        <v>0.2819443387</v>
      </c>
      <c r="AJ109" s="506">
        <f t="shared" si="200"/>
        <v>0.2501680362</v>
      </c>
      <c r="AK109" s="506">
        <f t="shared" si="200"/>
        <v>0.4466242041</v>
      </c>
      <c r="AL109" s="506">
        <f t="shared" si="200"/>
        <v>0.3858228737</v>
      </c>
      <c r="AM109" s="506">
        <f t="shared" si="200"/>
        <v>0.8287087366</v>
      </c>
      <c r="AN109" s="505">
        <f t="shared" si="200"/>
        <v>0.0001359863685</v>
      </c>
      <c r="AO109" s="506">
        <f t="shared" si="200"/>
        <v>0.5112629116</v>
      </c>
      <c r="AP109" s="506">
        <f t="shared" si="200"/>
        <v>0.6709928375</v>
      </c>
      <c r="AQ109" s="506">
        <f t="shared" si="200"/>
        <v>0.8130253426</v>
      </c>
      <c r="AR109" s="506">
        <f t="shared" si="200"/>
        <v>0.5397339605</v>
      </c>
      <c r="AS109" s="506">
        <f t="shared" si="200"/>
        <v>0.1657476145</v>
      </c>
      <c r="AT109" s="506">
        <f t="shared" si="200"/>
        <v>0.907307904</v>
      </c>
      <c r="AU109" s="506">
        <f t="shared" si="200"/>
        <v>0.4203629786</v>
      </c>
      <c r="AV109" s="505">
        <f t="shared" si="200"/>
        <v>0.003801782181</v>
      </c>
      <c r="AW109" s="506">
        <f t="shared" si="200"/>
        <v>0.6724018072</v>
      </c>
      <c r="AX109" s="506">
        <f t="shared" si="200"/>
        <v>0.8028764074</v>
      </c>
      <c r="AY109" s="506">
        <f t="shared" si="200"/>
        <v>0.9893757834</v>
      </c>
      <c r="AZ109" s="506">
        <f t="shared" si="200"/>
        <v>0.4836055697</v>
      </c>
      <c r="BA109" s="505">
        <f t="shared" si="200"/>
        <v>0.0420394222</v>
      </c>
      <c r="BB109" s="506">
        <f t="shared" si="200"/>
        <v>0.1705544808</v>
      </c>
      <c r="BC109" s="506">
        <f t="shared" si="200"/>
        <v>0.4576685077</v>
      </c>
      <c r="BD109" s="506">
        <f t="shared" si="200"/>
        <v>0.9378828137</v>
      </c>
      <c r="BE109" s="506">
        <f t="shared" si="200"/>
        <v>0.9279921069</v>
      </c>
      <c r="BF109" s="506">
        <f t="shared" si="200"/>
        <v>0.6203607747</v>
      </c>
      <c r="BG109" s="506">
        <f t="shared" si="200"/>
        <v>0.8142057204</v>
      </c>
      <c r="BH109" s="506">
        <f t="shared" si="200"/>
        <v>0.8078100872</v>
      </c>
      <c r="BI109" s="506">
        <f t="shared" si="200"/>
        <v>0.579099742</v>
      </c>
      <c r="BJ109" s="506">
        <f t="shared" si="200"/>
        <v>0.1117461132</v>
      </c>
      <c r="BK109" s="506">
        <f t="shared" si="200"/>
        <v>0.6444123338</v>
      </c>
      <c r="BL109" s="506">
        <f t="shared" si="200"/>
        <v>0.7844541737</v>
      </c>
      <c r="BM109" s="506">
        <f t="shared" si="200"/>
        <v>0.6769583138</v>
      </c>
    </row>
    <row r="110">
      <c r="A110" s="466" t="s">
        <v>1569</v>
      </c>
      <c r="B110" s="464"/>
      <c r="C110" s="464"/>
      <c r="D110" s="464"/>
      <c r="E110" s="464"/>
      <c r="F110" s="464"/>
      <c r="G110" s="464"/>
      <c r="H110" s="464"/>
      <c r="I110" s="466"/>
      <c r="J110" s="464">
        <f>sum(J97:P97)/sum($J$97:$BM$97)</f>
        <v>0.04854368932</v>
      </c>
      <c r="K110" s="464"/>
      <c r="L110" s="464"/>
      <c r="M110" s="464"/>
      <c r="N110" s="464"/>
      <c r="O110" s="464"/>
      <c r="P110" s="464"/>
      <c r="Q110" s="464">
        <f>sum(Q97:W97)/sum($J$97:$BM$97)</f>
        <v>0.06796116505</v>
      </c>
      <c r="R110" s="464"/>
      <c r="S110" s="464"/>
      <c r="T110" s="464"/>
      <c r="U110" s="464"/>
      <c r="V110" s="464"/>
      <c r="W110" s="464"/>
      <c r="X110" s="464">
        <f>sum(X97:AD97)/sum($J$97:$BM$97)</f>
        <v>0.2427184466</v>
      </c>
      <c r="Y110" s="464"/>
      <c r="Z110" s="464"/>
      <c r="AA110" s="464"/>
      <c r="AB110" s="464"/>
      <c r="AC110" s="464"/>
      <c r="AD110" s="464"/>
      <c r="AE110" s="464">
        <f>sum(AE97:AK97)/sum($J$97:$BM$97)</f>
        <v>0.1601941748</v>
      </c>
      <c r="AF110" s="464"/>
      <c r="AG110" s="464"/>
      <c r="AH110" s="464"/>
      <c r="AI110" s="464"/>
      <c r="AJ110" s="464"/>
      <c r="AK110" s="464"/>
      <c r="AL110" s="464">
        <f>sum(AL97:AR97)/sum($J$97:$BM$97)</f>
        <v>0.1262135922</v>
      </c>
      <c r="AM110" s="464"/>
      <c r="AN110" s="464"/>
      <c r="AO110" s="464"/>
      <c r="AP110" s="464"/>
      <c r="AQ110" s="464"/>
      <c r="AR110" s="464"/>
      <c r="AS110" s="464">
        <f>sum(AS97:AY97)/sum($J$97:$BM$97)</f>
        <v>0.2621359223</v>
      </c>
      <c r="AT110" s="464"/>
      <c r="AU110" s="464"/>
      <c r="AV110" s="464"/>
      <c r="AW110" s="464"/>
      <c r="AX110" s="464"/>
      <c r="AY110" s="464"/>
      <c r="AZ110" s="464">
        <f>sum(AZ97:BF97)/sum($J$97:$BM$97)</f>
        <v>0.08252427184</v>
      </c>
      <c r="BA110" s="464"/>
      <c r="BB110" s="464"/>
      <c r="BC110" s="464"/>
      <c r="BD110" s="464"/>
      <c r="BE110" s="464"/>
      <c r="BF110" s="464"/>
      <c r="BG110" s="464">
        <f>sum(BG97:BM97)/sum($J$97:$BM$97)</f>
        <v>0.009708737864</v>
      </c>
      <c r="BH110" s="464"/>
      <c r="BI110" s="464"/>
      <c r="BJ110" s="464"/>
      <c r="BK110" s="464"/>
      <c r="BL110" s="464"/>
      <c r="BM110" s="464"/>
    </row>
    <row r="111">
      <c r="A111" s="466" t="s">
        <v>1570</v>
      </c>
      <c r="B111" s="464"/>
      <c r="C111" s="464"/>
      <c r="D111" s="464"/>
      <c r="E111" s="464"/>
      <c r="F111" s="464"/>
      <c r="G111" s="464"/>
      <c r="H111" s="536"/>
      <c r="I111" s="466"/>
      <c r="J111" s="520">
        <v>0.093576375</v>
      </c>
      <c r="K111" s="520">
        <v>0.132754072</v>
      </c>
      <c r="L111" s="520">
        <v>0.119046481</v>
      </c>
      <c r="M111" s="520">
        <v>0.094485948</v>
      </c>
      <c r="N111" s="520">
        <v>0.113842067</v>
      </c>
      <c r="O111" s="464"/>
      <c r="P111" s="464"/>
      <c r="Q111" s="464">
        <f>J111</f>
        <v>0.093576375</v>
      </c>
      <c r="R111" s="520">
        <v>0.127417845</v>
      </c>
      <c r="S111" s="520">
        <v>0.119800592</v>
      </c>
      <c r="T111" s="520">
        <v>0.069170507</v>
      </c>
      <c r="U111" s="520">
        <v>0.117149808</v>
      </c>
      <c r="V111" s="464"/>
      <c r="W111" s="464"/>
      <c r="X111" s="464">
        <f>K111</f>
        <v>0.132754072</v>
      </c>
      <c r="Y111" s="464">
        <f>R111</f>
        <v>0.127417845</v>
      </c>
      <c r="Z111" s="520">
        <v>0.139073207</v>
      </c>
      <c r="AA111" s="520">
        <v>0.127087183</v>
      </c>
      <c r="AB111" s="520">
        <v>0.132499419</v>
      </c>
      <c r="AC111" s="464"/>
      <c r="AD111" s="464"/>
      <c r="AE111" s="464">
        <f>L111</f>
        <v>0.119046481</v>
      </c>
      <c r="AF111" s="464">
        <f>S111</f>
        <v>0.119800592</v>
      </c>
      <c r="AG111" s="464">
        <f>Z111</f>
        <v>0.139073207</v>
      </c>
      <c r="AH111" s="520">
        <v>0.120082535</v>
      </c>
      <c r="AI111" s="520">
        <v>0.11648931</v>
      </c>
      <c r="AJ111" s="464"/>
      <c r="AK111" s="464"/>
      <c r="AL111" s="464">
        <f>M111</f>
        <v>0.094485948</v>
      </c>
      <c r="AM111" s="464">
        <f>T111</f>
        <v>0.069170507</v>
      </c>
      <c r="AN111" s="464">
        <f>AA111</f>
        <v>0.127087183</v>
      </c>
      <c r="AO111" s="464">
        <f>AH111</f>
        <v>0.120082535</v>
      </c>
      <c r="AP111" s="520">
        <v>0.119967925</v>
      </c>
      <c r="AQ111" s="464"/>
      <c r="AR111" s="464"/>
      <c r="AS111" s="464">
        <f>N111</f>
        <v>0.113842067</v>
      </c>
      <c r="AT111" s="464">
        <f>U111</f>
        <v>0.117149808</v>
      </c>
      <c r="AU111" s="464">
        <f>AB111</f>
        <v>0.132499419</v>
      </c>
      <c r="AV111" s="464">
        <f>AI111</f>
        <v>0.11648931</v>
      </c>
      <c r="AW111" s="464">
        <f>AP111</f>
        <v>0.119967925</v>
      </c>
      <c r="AX111" s="464"/>
      <c r="AY111" s="464"/>
      <c r="AZ111" s="464"/>
      <c r="BA111" s="464"/>
      <c r="BB111" s="464"/>
      <c r="BC111" s="464"/>
      <c r="BD111" s="464"/>
      <c r="BE111" s="464"/>
      <c r="BF111" s="464"/>
      <c r="BG111" s="464"/>
      <c r="BH111" s="464"/>
      <c r="BI111" s="464"/>
      <c r="BJ111" s="464"/>
      <c r="BK111" s="464"/>
      <c r="BL111" s="464"/>
      <c r="BM111" s="464"/>
    </row>
    <row r="112">
      <c r="A112" s="466" t="s">
        <v>1571</v>
      </c>
      <c r="B112" s="464"/>
      <c r="C112" s="464"/>
      <c r="D112" s="464"/>
      <c r="E112" s="464"/>
      <c r="F112" s="464"/>
      <c r="G112" s="464"/>
      <c r="H112" s="464"/>
      <c r="I112" s="466"/>
      <c r="J112" s="464">
        <f t="shared" ref="J112:P112" si="201">C144</f>
        <v>4</v>
      </c>
      <c r="K112" s="464">
        <f t="shared" si="201"/>
        <v>0.1428571429</v>
      </c>
      <c r="L112" s="464">
        <f t="shared" si="201"/>
        <v>0.1538461538</v>
      </c>
      <c r="M112" s="464">
        <f t="shared" si="201"/>
        <v>0.1428571429</v>
      </c>
      <c r="N112" s="464">
        <f t="shared" si="201"/>
        <v>0.02877697842</v>
      </c>
      <c r="O112" s="464">
        <f t="shared" si="201"/>
        <v>0.1481481481</v>
      </c>
      <c r="P112" s="464">
        <f t="shared" si="201"/>
        <v>0.8</v>
      </c>
      <c r="Q112" s="464">
        <f>B145</f>
        <v>0.25</v>
      </c>
      <c r="R112" s="464">
        <f t="shared" ref="R112:W112" si="202">D145</f>
        <v>0.03571428571</v>
      </c>
      <c r="S112" s="464">
        <f t="shared" si="202"/>
        <v>0.03846153846</v>
      </c>
      <c r="T112" s="464">
        <f t="shared" si="202"/>
        <v>0.03571428571</v>
      </c>
      <c r="U112" s="464">
        <f t="shared" si="202"/>
        <v>0.007194244604</v>
      </c>
      <c r="V112" s="464">
        <f t="shared" si="202"/>
        <v>0.03703703704</v>
      </c>
      <c r="W112" s="464">
        <f t="shared" si="202"/>
        <v>0.2</v>
      </c>
      <c r="X112" s="464">
        <f t="shared" ref="X112:Y112" si="203">B146</f>
        <v>7</v>
      </c>
      <c r="Y112" s="464">
        <f t="shared" si="203"/>
        <v>28</v>
      </c>
      <c r="Z112" s="464">
        <f t="shared" ref="Z112:AD112" si="204">E146</f>
        <v>1.076923077</v>
      </c>
      <c r="AA112" s="464">
        <f t="shared" si="204"/>
        <v>1</v>
      </c>
      <c r="AB112" s="464">
        <f t="shared" si="204"/>
        <v>0.2014388489</v>
      </c>
      <c r="AC112" s="464">
        <f t="shared" si="204"/>
        <v>1.037037037</v>
      </c>
      <c r="AD112" s="464">
        <f t="shared" si="204"/>
        <v>5.6</v>
      </c>
      <c r="AE112" s="464">
        <f t="shared" ref="AE112:AG112" si="205">B147</f>
        <v>6.5</v>
      </c>
      <c r="AF112" s="464">
        <f t="shared" si="205"/>
        <v>26</v>
      </c>
      <c r="AG112" s="464">
        <f t="shared" si="205"/>
        <v>0.9285714286</v>
      </c>
      <c r="AH112" s="464">
        <f t="shared" ref="AH112:AK112" si="206">F147</f>
        <v>0.9285714286</v>
      </c>
      <c r="AI112" s="464">
        <f t="shared" si="206"/>
        <v>0.1870503597</v>
      </c>
      <c r="AJ112" s="464">
        <f t="shared" si="206"/>
        <v>0.962962963</v>
      </c>
      <c r="AK112" s="464">
        <f t="shared" si="206"/>
        <v>5.2</v>
      </c>
      <c r="AL112" s="464">
        <f t="shared" ref="AL112:AO112" si="207">B148</f>
        <v>7</v>
      </c>
      <c r="AM112" s="464">
        <f t="shared" si="207"/>
        <v>28</v>
      </c>
      <c r="AN112" s="464">
        <f t="shared" si="207"/>
        <v>1</v>
      </c>
      <c r="AO112" s="464">
        <f t="shared" si="207"/>
        <v>1.076923077</v>
      </c>
      <c r="AP112" s="464">
        <f t="shared" ref="AP112:AR112" si="208">G148</f>
        <v>0.2014388489</v>
      </c>
      <c r="AQ112" s="464">
        <f t="shared" si="208"/>
        <v>1.037037037</v>
      </c>
      <c r="AR112" s="464">
        <f t="shared" si="208"/>
        <v>5.6</v>
      </c>
      <c r="AS112" s="464">
        <f t="shared" ref="AS112:AW112" si="209">B149</f>
        <v>34.75</v>
      </c>
      <c r="AT112" s="464">
        <f t="shared" si="209"/>
        <v>139</v>
      </c>
      <c r="AU112" s="464">
        <f t="shared" si="209"/>
        <v>4.964285714</v>
      </c>
      <c r="AV112" s="464">
        <f t="shared" si="209"/>
        <v>5.346153846</v>
      </c>
      <c r="AW112" s="464">
        <f t="shared" si="209"/>
        <v>4.964285714</v>
      </c>
      <c r="AX112" s="464">
        <f t="shared" ref="AX112:AY112" si="210">H149</f>
        <v>5.148148148</v>
      </c>
      <c r="AY112" s="464">
        <f t="shared" si="210"/>
        <v>27.8</v>
      </c>
      <c r="AZ112" s="464">
        <f t="shared" ref="AZ112:BE112" si="211">B150</f>
        <v>6.75</v>
      </c>
      <c r="BA112" s="464">
        <f t="shared" si="211"/>
        <v>27</v>
      </c>
      <c r="BB112" s="464">
        <f t="shared" si="211"/>
        <v>0.9642857143</v>
      </c>
      <c r="BC112" s="464">
        <f t="shared" si="211"/>
        <v>1.038461538</v>
      </c>
      <c r="BD112" s="464">
        <f t="shared" si="211"/>
        <v>0.9642857143</v>
      </c>
      <c r="BE112" s="464">
        <f t="shared" si="211"/>
        <v>0.1942446043</v>
      </c>
      <c r="BF112" s="464">
        <f>I150</f>
        <v>5.4</v>
      </c>
      <c r="BG112" s="470">
        <f t="shared" ref="BG112:BM112" si="212">B151</f>
        <v>1.25</v>
      </c>
      <c r="BH112" s="470">
        <f t="shared" si="212"/>
        <v>5</v>
      </c>
      <c r="BI112" s="470">
        <f t="shared" si="212"/>
        <v>0.1785714286</v>
      </c>
      <c r="BJ112" s="470">
        <f t="shared" si="212"/>
        <v>0.1923076923</v>
      </c>
      <c r="BK112" s="470">
        <f t="shared" si="212"/>
        <v>0.1785714286</v>
      </c>
      <c r="BL112" s="470">
        <f t="shared" si="212"/>
        <v>0.03597122302</v>
      </c>
      <c r="BM112" s="470">
        <f t="shared" si="212"/>
        <v>0.1851851852</v>
      </c>
    </row>
    <row r="113">
      <c r="A113" s="466" t="s">
        <v>1572</v>
      </c>
      <c r="B113" s="464"/>
      <c r="C113" s="517"/>
      <c r="D113" s="470" t="s">
        <v>1575</v>
      </c>
      <c r="E113" s="464"/>
      <c r="F113" s="464"/>
      <c r="G113" s="464"/>
      <c r="H113" s="464"/>
      <c r="I113" s="466"/>
      <c r="J113" s="537">
        <f t="shared" ref="J113:BM113" si="213">abs(ln(J112))</f>
        <v>1.386294361</v>
      </c>
      <c r="K113" s="537">
        <f t="shared" si="213"/>
        <v>1.945910149</v>
      </c>
      <c r="L113" s="537">
        <f t="shared" si="213"/>
        <v>1.871802177</v>
      </c>
      <c r="M113" s="537">
        <f t="shared" si="213"/>
        <v>1.945910149</v>
      </c>
      <c r="N113" s="537">
        <f t="shared" si="213"/>
        <v>3.548179572</v>
      </c>
      <c r="O113" s="537">
        <f t="shared" si="213"/>
        <v>1.909542505</v>
      </c>
      <c r="P113" s="537">
        <f t="shared" si="213"/>
        <v>0.2231435513</v>
      </c>
      <c r="Q113" s="537">
        <f t="shared" si="213"/>
        <v>1.386294361</v>
      </c>
      <c r="R113" s="537">
        <f t="shared" si="213"/>
        <v>3.33220451</v>
      </c>
      <c r="S113" s="537">
        <f t="shared" si="213"/>
        <v>3.258096538</v>
      </c>
      <c r="T113" s="537">
        <f t="shared" si="213"/>
        <v>3.33220451</v>
      </c>
      <c r="U113" s="537">
        <f t="shared" si="213"/>
        <v>4.934473933</v>
      </c>
      <c r="V113" s="537">
        <f t="shared" si="213"/>
        <v>3.295836866</v>
      </c>
      <c r="W113" s="537">
        <f t="shared" si="213"/>
        <v>1.609437912</v>
      </c>
      <c r="X113" s="537">
        <f t="shared" si="213"/>
        <v>1.945910149</v>
      </c>
      <c r="Y113" s="537">
        <f t="shared" si="213"/>
        <v>3.33220451</v>
      </c>
      <c r="Z113" s="537">
        <f t="shared" si="213"/>
        <v>0.07410797215</v>
      </c>
      <c r="AA113" s="537">
        <f t="shared" si="213"/>
        <v>0</v>
      </c>
      <c r="AB113" s="537">
        <f t="shared" si="213"/>
        <v>1.602269423</v>
      </c>
      <c r="AC113" s="537">
        <f t="shared" si="213"/>
        <v>0.03636764417</v>
      </c>
      <c r="AD113" s="537">
        <f t="shared" si="213"/>
        <v>1.722766598</v>
      </c>
      <c r="AE113" s="537">
        <f t="shared" si="213"/>
        <v>1.871802177</v>
      </c>
      <c r="AF113" s="537">
        <f t="shared" si="213"/>
        <v>3.258096538</v>
      </c>
      <c r="AG113" s="537">
        <f t="shared" si="213"/>
        <v>0.07410797215</v>
      </c>
      <c r="AH113" s="537">
        <f t="shared" si="213"/>
        <v>0.07410797215</v>
      </c>
      <c r="AI113" s="537">
        <f t="shared" si="213"/>
        <v>1.676377395</v>
      </c>
      <c r="AJ113" s="537">
        <f t="shared" si="213"/>
        <v>0.03774032798</v>
      </c>
      <c r="AK113" s="537">
        <f t="shared" si="213"/>
        <v>1.648658626</v>
      </c>
      <c r="AL113" s="537">
        <f t="shared" si="213"/>
        <v>1.945910149</v>
      </c>
      <c r="AM113" s="537">
        <f t="shared" si="213"/>
        <v>3.33220451</v>
      </c>
      <c r="AN113" s="537">
        <f t="shared" si="213"/>
        <v>0</v>
      </c>
      <c r="AO113" s="537">
        <f t="shared" si="213"/>
        <v>0.07410797215</v>
      </c>
      <c r="AP113" s="537">
        <f t="shared" si="213"/>
        <v>1.602269423</v>
      </c>
      <c r="AQ113" s="537">
        <f t="shared" si="213"/>
        <v>0.03636764417</v>
      </c>
      <c r="AR113" s="537">
        <f t="shared" si="213"/>
        <v>1.722766598</v>
      </c>
      <c r="AS113" s="537">
        <f t="shared" si="213"/>
        <v>3.548179572</v>
      </c>
      <c r="AT113" s="537">
        <f t="shared" si="213"/>
        <v>4.934473933</v>
      </c>
      <c r="AU113" s="537">
        <f t="shared" si="213"/>
        <v>1.602269423</v>
      </c>
      <c r="AV113" s="537">
        <f t="shared" si="213"/>
        <v>1.676377395</v>
      </c>
      <c r="AW113" s="537">
        <f t="shared" si="213"/>
        <v>1.602269423</v>
      </c>
      <c r="AX113" s="537">
        <f t="shared" si="213"/>
        <v>1.638637067</v>
      </c>
      <c r="AY113" s="537">
        <f t="shared" si="213"/>
        <v>3.325036021</v>
      </c>
      <c r="AZ113" s="537">
        <f t="shared" si="213"/>
        <v>1.909542505</v>
      </c>
      <c r="BA113" s="537">
        <f t="shared" si="213"/>
        <v>3.295836866</v>
      </c>
      <c r="BB113" s="537">
        <f t="shared" si="213"/>
        <v>0.03636764417</v>
      </c>
      <c r="BC113" s="537">
        <f t="shared" si="213"/>
        <v>0.03774032798</v>
      </c>
      <c r="BD113" s="537">
        <f t="shared" si="213"/>
        <v>0.03636764417</v>
      </c>
      <c r="BE113" s="537">
        <f t="shared" si="213"/>
        <v>1.638637067</v>
      </c>
      <c r="BF113" s="537">
        <f t="shared" si="213"/>
        <v>1.686398954</v>
      </c>
      <c r="BG113" s="537">
        <f t="shared" si="213"/>
        <v>0.2231435513</v>
      </c>
      <c r="BH113" s="537">
        <f t="shared" si="213"/>
        <v>1.609437912</v>
      </c>
      <c r="BI113" s="537">
        <f t="shared" si="213"/>
        <v>1.722766598</v>
      </c>
      <c r="BJ113" s="537">
        <f t="shared" si="213"/>
        <v>1.648658626</v>
      </c>
      <c r="BK113" s="537">
        <f t="shared" si="213"/>
        <v>1.722766598</v>
      </c>
      <c r="BL113" s="537">
        <f t="shared" si="213"/>
        <v>3.325036021</v>
      </c>
      <c r="BM113" s="537">
        <f t="shared" si="213"/>
        <v>1.686398954</v>
      </c>
    </row>
    <row r="114">
      <c r="A114" s="466" t="s">
        <v>1573</v>
      </c>
      <c r="B114" s="464"/>
      <c r="C114" s="518"/>
      <c r="D114" s="470" t="s">
        <v>1577</v>
      </c>
      <c r="E114" s="464"/>
      <c r="F114" s="464"/>
      <c r="G114" s="464"/>
      <c r="H114" s="464"/>
      <c r="I114" s="466"/>
      <c r="J114" s="464">
        <f t="shared" ref="J114:P114" si="214">C154</f>
        <v>0.8571428571</v>
      </c>
      <c r="K114" s="464">
        <f t="shared" si="214"/>
        <v>0.1153846154</v>
      </c>
      <c r="L114" s="464">
        <f t="shared" si="214"/>
        <v>0.1363636364</v>
      </c>
      <c r="M114" s="464">
        <f t="shared" si="214"/>
        <v>0.1290322581</v>
      </c>
      <c r="N114" s="464">
        <f t="shared" si="214"/>
        <v>0.03149606299</v>
      </c>
      <c r="O114" s="464">
        <f t="shared" si="214"/>
        <v>0.2666666667</v>
      </c>
      <c r="P114" s="464">
        <f t="shared" si="214"/>
        <v>1.5</v>
      </c>
      <c r="Q114" s="464">
        <f>B155</f>
        <v>1.166666667</v>
      </c>
      <c r="R114" s="464">
        <f t="shared" ref="R114:W114" si="215">D155</f>
        <v>0.1346153846</v>
      </c>
      <c r="S114" s="464">
        <f t="shared" si="215"/>
        <v>0.1590909091</v>
      </c>
      <c r="T114" s="464">
        <f t="shared" si="215"/>
        <v>0.1505376344</v>
      </c>
      <c r="U114" s="464">
        <f t="shared" si="215"/>
        <v>0.03674540682</v>
      </c>
      <c r="V114" s="464">
        <f t="shared" si="215"/>
        <v>0.3111111111</v>
      </c>
      <c r="W114" s="464">
        <f t="shared" si="215"/>
        <v>1.75</v>
      </c>
      <c r="X114" s="464">
        <f t="shared" ref="X114:Y114" si="216">B156</f>
        <v>8.666666667</v>
      </c>
      <c r="Y114" s="464">
        <f t="shared" si="216"/>
        <v>7.428571429</v>
      </c>
      <c r="Z114" s="464">
        <f t="shared" ref="Z114:AD114" si="217">E156</f>
        <v>1.181818182</v>
      </c>
      <c r="AA114" s="464">
        <f t="shared" si="217"/>
        <v>1.11827957</v>
      </c>
      <c r="AB114" s="464">
        <f t="shared" si="217"/>
        <v>0.2729658793</v>
      </c>
      <c r="AC114" s="464">
        <f t="shared" si="217"/>
        <v>2.311111111</v>
      </c>
      <c r="AD114" s="464">
        <f t="shared" si="217"/>
        <v>13</v>
      </c>
      <c r="AE114" s="464">
        <f t="shared" ref="AE114:AG114" si="218">B157</f>
        <v>7.333333333</v>
      </c>
      <c r="AF114" s="464">
        <f t="shared" si="218"/>
        <v>6.285714286</v>
      </c>
      <c r="AG114" s="464">
        <f t="shared" si="218"/>
        <v>0.8461538462</v>
      </c>
      <c r="AH114" s="464">
        <f t="shared" ref="AH114:AK114" si="219">F157</f>
        <v>0.9462365591</v>
      </c>
      <c r="AI114" s="464">
        <f t="shared" si="219"/>
        <v>0.2309711286</v>
      </c>
      <c r="AJ114" s="464">
        <f t="shared" si="219"/>
        <v>1.955555556</v>
      </c>
      <c r="AK114" s="464">
        <f t="shared" si="219"/>
        <v>11</v>
      </c>
      <c r="AL114" s="464">
        <f t="shared" ref="AL114:AO114" si="220">B158</f>
        <v>7.75</v>
      </c>
      <c r="AM114" s="464">
        <f t="shared" si="220"/>
        <v>6.642857143</v>
      </c>
      <c r="AN114" s="464">
        <f t="shared" si="220"/>
        <v>0.8942307692</v>
      </c>
      <c r="AO114" s="464">
        <f t="shared" si="220"/>
        <v>1.056818182</v>
      </c>
      <c r="AP114" s="464">
        <f t="shared" ref="AP114:AR114" si="221">G158</f>
        <v>0.2440944882</v>
      </c>
      <c r="AQ114" s="464">
        <f t="shared" si="221"/>
        <v>2.066666667</v>
      </c>
      <c r="AR114" s="464">
        <f t="shared" si="221"/>
        <v>11.625</v>
      </c>
      <c r="AS114" s="464">
        <f t="shared" ref="AS114:AW114" si="222">B159</f>
        <v>31.75</v>
      </c>
      <c r="AT114" s="464">
        <f t="shared" si="222"/>
        <v>27.21428571</v>
      </c>
      <c r="AU114" s="464">
        <f t="shared" si="222"/>
        <v>3.663461538</v>
      </c>
      <c r="AV114" s="464">
        <f t="shared" si="222"/>
        <v>4.329545455</v>
      </c>
      <c r="AW114" s="464">
        <f t="shared" si="222"/>
        <v>4.096774194</v>
      </c>
      <c r="AX114" s="464">
        <f t="shared" ref="AX114:AY114" si="223">H159</f>
        <v>8.466666667</v>
      </c>
      <c r="AY114" s="464">
        <f t="shared" si="223"/>
        <v>47.625</v>
      </c>
      <c r="AZ114" s="464">
        <f t="shared" ref="AZ114:BE114" si="224">B160</f>
        <v>3.75</v>
      </c>
      <c r="BA114" s="464">
        <f t="shared" si="224"/>
        <v>3.214285714</v>
      </c>
      <c r="BB114" s="464">
        <f t="shared" si="224"/>
        <v>0.4326923077</v>
      </c>
      <c r="BC114" s="464">
        <f t="shared" si="224"/>
        <v>0.5113636364</v>
      </c>
      <c r="BD114" s="464">
        <f t="shared" si="224"/>
        <v>0.4838709677</v>
      </c>
      <c r="BE114" s="464">
        <f t="shared" si="224"/>
        <v>0.1181102362</v>
      </c>
      <c r="BF114" s="464">
        <f>I160</f>
        <v>5.625</v>
      </c>
      <c r="BG114" s="464">
        <f t="shared" ref="BG114:BM114" si="225">B161</f>
        <v>0.6666666667</v>
      </c>
      <c r="BH114" s="464">
        <f t="shared" si="225"/>
        <v>0.5714285714</v>
      </c>
      <c r="BI114" s="464">
        <f t="shared" si="225"/>
        <v>0.07692307692</v>
      </c>
      <c r="BJ114" s="464">
        <f t="shared" si="225"/>
        <v>0.09090909091</v>
      </c>
      <c r="BK114" s="464">
        <f t="shared" si="225"/>
        <v>0.08602150538</v>
      </c>
      <c r="BL114" s="464">
        <f t="shared" si="225"/>
        <v>0.02099737533</v>
      </c>
      <c r="BM114" s="464">
        <f t="shared" si="225"/>
        <v>0.1777777778</v>
      </c>
    </row>
    <row r="115">
      <c r="A115" s="466" t="s">
        <v>1574</v>
      </c>
      <c r="B115" s="464"/>
      <c r="C115" s="524"/>
      <c r="D115" s="470" t="s">
        <v>1579</v>
      </c>
      <c r="E115" s="464"/>
      <c r="F115" s="464"/>
      <c r="G115" s="464"/>
      <c r="H115" s="464"/>
      <c r="I115" s="466"/>
      <c r="J115" s="537">
        <f t="shared" ref="J115:BM115" si="226">abs(ln(J114))</f>
        <v>0.1541506798</v>
      </c>
      <c r="K115" s="537">
        <f t="shared" si="226"/>
        <v>2.159484249</v>
      </c>
      <c r="L115" s="537">
        <f t="shared" si="226"/>
        <v>1.992430165</v>
      </c>
      <c r="M115" s="537">
        <f t="shared" si="226"/>
        <v>2.047692843</v>
      </c>
      <c r="N115" s="537">
        <f t="shared" si="226"/>
        <v>3.457892725</v>
      </c>
      <c r="O115" s="537">
        <f t="shared" si="226"/>
        <v>1.32175584</v>
      </c>
      <c r="P115" s="537">
        <f t="shared" si="226"/>
        <v>0.4054651081</v>
      </c>
      <c r="Q115" s="537">
        <f t="shared" si="226"/>
        <v>0.1541506798</v>
      </c>
      <c r="R115" s="537">
        <f t="shared" si="226"/>
        <v>2.00533357</v>
      </c>
      <c r="S115" s="537">
        <f t="shared" si="226"/>
        <v>1.838279485</v>
      </c>
      <c r="T115" s="537">
        <f t="shared" si="226"/>
        <v>1.893542164</v>
      </c>
      <c r="U115" s="537">
        <f t="shared" si="226"/>
        <v>3.303742046</v>
      </c>
      <c r="V115" s="537">
        <f t="shared" si="226"/>
        <v>1.16760516</v>
      </c>
      <c r="W115" s="537">
        <f t="shared" si="226"/>
        <v>0.5596157879</v>
      </c>
      <c r="X115" s="537">
        <f t="shared" si="226"/>
        <v>2.159484249</v>
      </c>
      <c r="Y115" s="537">
        <f t="shared" si="226"/>
        <v>2.00533357</v>
      </c>
      <c r="Z115" s="537">
        <f t="shared" si="226"/>
        <v>0.1670540847</v>
      </c>
      <c r="AA115" s="537">
        <f t="shared" si="226"/>
        <v>0.111791406</v>
      </c>
      <c r="AB115" s="537">
        <f t="shared" si="226"/>
        <v>1.298408476</v>
      </c>
      <c r="AC115" s="537">
        <f t="shared" si="226"/>
        <v>0.8377284094</v>
      </c>
      <c r="AD115" s="537">
        <f t="shared" si="226"/>
        <v>2.564949357</v>
      </c>
      <c r="AE115" s="537">
        <f t="shared" si="226"/>
        <v>1.992430165</v>
      </c>
      <c r="AF115" s="537">
        <f t="shared" si="226"/>
        <v>1.838279485</v>
      </c>
      <c r="AG115" s="537">
        <f t="shared" si="226"/>
        <v>0.1670540847</v>
      </c>
      <c r="AH115" s="537">
        <f t="shared" si="226"/>
        <v>0.05526267868</v>
      </c>
      <c r="AI115" s="537">
        <f t="shared" si="226"/>
        <v>1.465462561</v>
      </c>
      <c r="AJ115" s="537">
        <f t="shared" si="226"/>
        <v>0.6706743247</v>
      </c>
      <c r="AK115" s="537">
        <f t="shared" si="226"/>
        <v>2.397895273</v>
      </c>
      <c r="AL115" s="537">
        <f t="shared" si="226"/>
        <v>2.047692843</v>
      </c>
      <c r="AM115" s="537">
        <f t="shared" si="226"/>
        <v>1.893542164</v>
      </c>
      <c r="AN115" s="537">
        <f t="shared" si="226"/>
        <v>0.111791406</v>
      </c>
      <c r="AO115" s="537">
        <f t="shared" si="226"/>
        <v>0.05526267868</v>
      </c>
      <c r="AP115" s="537">
        <f t="shared" si="226"/>
        <v>1.410199882</v>
      </c>
      <c r="AQ115" s="537">
        <f t="shared" si="226"/>
        <v>0.7259370034</v>
      </c>
      <c r="AR115" s="537">
        <f t="shared" si="226"/>
        <v>2.453157951</v>
      </c>
      <c r="AS115" s="537">
        <f t="shared" si="226"/>
        <v>3.457892725</v>
      </c>
      <c r="AT115" s="537">
        <f t="shared" si="226"/>
        <v>3.303742046</v>
      </c>
      <c r="AU115" s="537">
        <f t="shared" si="226"/>
        <v>1.298408476</v>
      </c>
      <c r="AV115" s="537">
        <f t="shared" si="226"/>
        <v>1.465462561</v>
      </c>
      <c r="AW115" s="537">
        <f t="shared" si="226"/>
        <v>1.410199882</v>
      </c>
      <c r="AX115" s="537">
        <f t="shared" si="226"/>
        <v>2.136136885</v>
      </c>
      <c r="AY115" s="537">
        <f t="shared" si="226"/>
        <v>3.863357833</v>
      </c>
      <c r="AZ115" s="537">
        <f t="shared" si="226"/>
        <v>1.32175584</v>
      </c>
      <c r="BA115" s="537">
        <f t="shared" si="226"/>
        <v>1.16760516</v>
      </c>
      <c r="BB115" s="537">
        <f t="shared" si="226"/>
        <v>0.8377284094</v>
      </c>
      <c r="BC115" s="537">
        <f t="shared" si="226"/>
        <v>0.6706743247</v>
      </c>
      <c r="BD115" s="537">
        <f t="shared" si="226"/>
        <v>0.7259370034</v>
      </c>
      <c r="BE115" s="537">
        <f t="shared" si="226"/>
        <v>2.136136885</v>
      </c>
      <c r="BF115" s="537">
        <f t="shared" si="226"/>
        <v>1.727220948</v>
      </c>
      <c r="BG115" s="537">
        <f t="shared" si="226"/>
        <v>0.4054651081</v>
      </c>
      <c r="BH115" s="537">
        <f t="shared" si="226"/>
        <v>0.5596157879</v>
      </c>
      <c r="BI115" s="537">
        <f t="shared" si="226"/>
        <v>2.564949357</v>
      </c>
      <c r="BJ115" s="537">
        <f t="shared" si="226"/>
        <v>2.397895273</v>
      </c>
      <c r="BK115" s="537">
        <f t="shared" si="226"/>
        <v>2.453157951</v>
      </c>
      <c r="BL115" s="537">
        <f t="shared" si="226"/>
        <v>3.863357833</v>
      </c>
      <c r="BM115" s="537">
        <f t="shared" si="226"/>
        <v>1.727220948</v>
      </c>
    </row>
    <row r="116">
      <c r="A116" s="464"/>
      <c r="B116" s="464"/>
      <c r="C116" s="464"/>
      <c r="D116" s="464"/>
      <c r="E116" s="464"/>
      <c r="F116" s="464"/>
      <c r="G116" s="464"/>
      <c r="H116" s="464"/>
      <c r="I116" s="466"/>
      <c r="J116" s="464"/>
      <c r="K116" s="464"/>
      <c r="L116" s="464"/>
      <c r="M116" s="464"/>
      <c r="N116" s="464"/>
      <c r="O116" s="464"/>
      <c r="P116" s="464"/>
      <c r="Q116" s="464"/>
      <c r="R116" s="464"/>
      <c r="S116" s="464"/>
      <c r="T116" s="464"/>
      <c r="U116" s="464"/>
      <c r="V116" s="464"/>
      <c r="W116" s="464"/>
      <c r="X116" s="464"/>
      <c r="Y116" s="464"/>
      <c r="Z116" s="464"/>
      <c r="AA116" s="464"/>
      <c r="AB116" s="464"/>
      <c r="AC116" s="464"/>
      <c r="AD116" s="464"/>
      <c r="AE116" s="464"/>
      <c r="AF116" s="464"/>
      <c r="AG116" s="464"/>
      <c r="AH116" s="464"/>
      <c r="AI116" s="464"/>
      <c r="AJ116" s="464"/>
      <c r="AK116" s="464"/>
      <c r="AL116" s="464"/>
      <c r="AM116" s="464"/>
      <c r="AN116" s="464"/>
      <c r="AO116" s="464"/>
      <c r="AP116" s="464"/>
      <c r="AQ116" s="464"/>
      <c r="AR116" s="464"/>
      <c r="AS116" s="464"/>
      <c r="AT116" s="464"/>
      <c r="AU116" s="464"/>
      <c r="AV116" s="464"/>
      <c r="AW116" s="464"/>
      <c r="AX116" s="464"/>
      <c r="AY116" s="464"/>
      <c r="AZ116" s="464"/>
      <c r="BA116" s="464"/>
      <c r="BB116" s="464"/>
      <c r="BC116" s="464"/>
      <c r="BD116" s="464"/>
      <c r="BE116" s="464"/>
      <c r="BF116" s="464"/>
      <c r="BG116" s="464"/>
      <c r="BH116" s="464"/>
      <c r="BI116" s="464"/>
      <c r="BJ116" s="464"/>
      <c r="BK116" s="464"/>
      <c r="BL116" s="464"/>
      <c r="BM116" s="464"/>
    </row>
    <row r="117">
      <c r="A117" s="464"/>
      <c r="B117" s="345" t="s">
        <v>389</v>
      </c>
      <c r="C117" s="346" t="s">
        <v>420</v>
      </c>
      <c r="D117" s="347" t="s">
        <v>358</v>
      </c>
      <c r="E117" s="348" t="s">
        <v>363</v>
      </c>
      <c r="F117" s="349" t="s">
        <v>413</v>
      </c>
      <c r="G117" s="350" t="s">
        <v>357</v>
      </c>
      <c r="H117" s="351" t="s">
        <v>380</v>
      </c>
      <c r="I117" s="352" t="s">
        <v>387</v>
      </c>
      <c r="J117" s="466" t="s">
        <v>1580</v>
      </c>
      <c r="K117" s="466" t="s">
        <v>1581</v>
      </c>
      <c r="L117" s="464"/>
      <c r="M117" s="464"/>
      <c r="N117" s="466" t="s">
        <v>1490</v>
      </c>
      <c r="O117" s="466" t="s">
        <v>1492</v>
      </c>
      <c r="P117" s="466" t="s">
        <v>1583</v>
      </c>
      <c r="Q117" s="466" t="s">
        <v>1570</v>
      </c>
      <c r="R117" s="466" t="s">
        <v>1572</v>
      </c>
      <c r="S117" s="466" t="s">
        <v>1574</v>
      </c>
      <c r="T117" s="466" t="s">
        <v>1565</v>
      </c>
      <c r="U117" s="464"/>
      <c r="V117" s="464"/>
      <c r="W117" s="464"/>
      <c r="X117" s="464"/>
      <c r="Y117" s="464"/>
      <c r="Z117" s="464"/>
      <c r="AA117" s="464"/>
      <c r="AB117" s="464"/>
      <c r="AC117" s="464"/>
      <c r="AD117" s="464"/>
      <c r="AE117" s="464"/>
      <c r="AF117" s="464"/>
      <c r="AG117" s="464"/>
      <c r="AH117" s="464"/>
      <c r="AI117" s="464"/>
      <c r="AJ117" s="464"/>
      <c r="AK117" s="464"/>
      <c r="AL117" s="464"/>
      <c r="AM117" s="464"/>
      <c r="AN117" s="464"/>
      <c r="AO117" s="464"/>
      <c r="AP117" s="464"/>
      <c r="AQ117" s="464"/>
      <c r="AR117" s="464"/>
      <c r="AS117" s="464"/>
      <c r="AT117" s="464"/>
      <c r="AU117" s="464"/>
      <c r="AV117" s="464"/>
      <c r="AW117" s="464"/>
      <c r="AX117" s="464"/>
      <c r="AY117" s="464"/>
      <c r="AZ117" s="464"/>
      <c r="BA117" s="464"/>
      <c r="BB117" s="464"/>
      <c r="BC117" s="464"/>
      <c r="BD117" s="464"/>
      <c r="BE117" s="464"/>
      <c r="BF117" s="464"/>
      <c r="BG117" s="464"/>
      <c r="BH117" s="464"/>
      <c r="BI117" s="464"/>
      <c r="BJ117" s="464"/>
      <c r="BK117" s="464"/>
      <c r="BL117" s="464"/>
      <c r="BM117" s="464"/>
    </row>
    <row r="118">
      <c r="A118" s="345" t="s">
        <v>389</v>
      </c>
      <c r="B118" s="538">
        <f>B97</f>
        <v>4</v>
      </c>
      <c r="C118" s="464">
        <f t="shared" ref="C118:I118" si="227">J97</f>
        <v>1</v>
      </c>
      <c r="D118" s="464">
        <f t="shared" si="227"/>
        <v>4</v>
      </c>
      <c r="E118" s="464">
        <f t="shared" si="227"/>
        <v>1</v>
      </c>
      <c r="F118" s="464">
        <f t="shared" si="227"/>
        <v>0</v>
      </c>
      <c r="G118" s="464">
        <f t="shared" si="227"/>
        <v>4</v>
      </c>
      <c r="H118" s="464">
        <f t="shared" si="227"/>
        <v>0</v>
      </c>
      <c r="I118" s="464">
        <f t="shared" si="227"/>
        <v>0</v>
      </c>
      <c r="J118" s="464">
        <f>J104</f>
        <v>0.4434685</v>
      </c>
      <c r="K118" s="464">
        <f>J110</f>
        <v>0.04854368932</v>
      </c>
      <c r="L118" s="464"/>
      <c r="M118" s="407" t="s">
        <v>1427</v>
      </c>
      <c r="N118" s="539">
        <v>0.91619643</v>
      </c>
      <c r="O118" s="539">
        <v>0.3384757</v>
      </c>
      <c r="P118" s="537">
        <f t="shared" ref="P118:P173" si="229">if(O118&lt;0.1,1,0)</f>
        <v>0</v>
      </c>
      <c r="Q118" s="540">
        <v>0.093576375</v>
      </c>
      <c r="R118" s="537">
        <v>0.0</v>
      </c>
      <c r="S118" s="537">
        <v>0.1541506798272581</v>
      </c>
      <c r="T118" s="537">
        <v>0.009708737864077669</v>
      </c>
      <c r="U118" s="464"/>
      <c r="V118" s="464"/>
      <c r="W118" s="464"/>
      <c r="X118" s="464"/>
      <c r="Y118" s="464"/>
      <c r="Z118" s="464"/>
      <c r="AA118" s="464"/>
      <c r="AB118" s="464"/>
      <c r="AC118" s="464"/>
      <c r="AD118" s="464"/>
      <c r="AE118" s="464"/>
      <c r="AF118" s="464"/>
      <c r="AG118" s="464"/>
      <c r="AH118" s="464"/>
      <c r="AI118" s="464"/>
      <c r="AJ118" s="464"/>
      <c r="AK118" s="464"/>
      <c r="AL118" s="464"/>
      <c r="AM118" s="464"/>
      <c r="AN118" s="464"/>
      <c r="AO118" s="464"/>
      <c r="AP118" s="464"/>
      <c r="AQ118" s="464"/>
      <c r="AR118" s="464"/>
      <c r="AS118" s="464"/>
      <c r="AT118" s="464"/>
      <c r="AU118" s="464"/>
      <c r="AV118" s="464"/>
      <c r="AW118" s="464"/>
      <c r="AX118" s="464"/>
      <c r="AY118" s="464"/>
      <c r="AZ118" s="464"/>
      <c r="BA118" s="464"/>
      <c r="BB118" s="464"/>
      <c r="BC118" s="464"/>
      <c r="BD118" s="464"/>
      <c r="BE118" s="464"/>
      <c r="BF118" s="464"/>
      <c r="BG118" s="464"/>
      <c r="BH118" s="464"/>
      <c r="BI118" s="464"/>
      <c r="BJ118" s="464"/>
      <c r="BK118" s="464"/>
      <c r="BL118" s="464"/>
      <c r="BM118" s="464"/>
    </row>
    <row r="119">
      <c r="A119" s="346" t="s">
        <v>420</v>
      </c>
      <c r="B119" s="464">
        <f>Q97</f>
        <v>1</v>
      </c>
      <c r="C119" s="538">
        <f>C97</f>
        <v>1</v>
      </c>
      <c r="D119" s="523">
        <f t="shared" ref="D119:I119" si="228">R97</f>
        <v>6</v>
      </c>
      <c r="E119" s="464">
        <f t="shared" si="228"/>
        <v>2</v>
      </c>
      <c r="F119" s="464">
        <f t="shared" si="228"/>
        <v>1</v>
      </c>
      <c r="G119" s="519">
        <f t="shared" si="228"/>
        <v>2</v>
      </c>
      <c r="H119" s="464">
        <f t="shared" si="228"/>
        <v>2</v>
      </c>
      <c r="I119" s="464">
        <f t="shared" si="228"/>
        <v>0</v>
      </c>
      <c r="J119" s="464">
        <f>Q104</f>
        <v>0.3081579</v>
      </c>
      <c r="K119" s="464">
        <f>Q110</f>
        <v>0.06796116505</v>
      </c>
      <c r="L119" s="464"/>
      <c r="M119" s="408" t="s">
        <v>1190</v>
      </c>
      <c r="N119" s="539">
        <v>2.44405854</v>
      </c>
      <c r="O119" s="539">
        <v>0.1179706</v>
      </c>
      <c r="P119" s="537">
        <f t="shared" si="229"/>
        <v>0</v>
      </c>
      <c r="Q119" s="540">
        <v>0.132754072</v>
      </c>
      <c r="R119" s="537">
        <v>1.791759469228055</v>
      </c>
      <c r="S119" s="537">
        <v>2.159484249353372</v>
      </c>
      <c r="T119" s="537">
        <v>0.038834951456310676</v>
      </c>
      <c r="U119" s="464"/>
      <c r="V119" s="464"/>
      <c r="W119" s="464"/>
      <c r="X119" s="464"/>
      <c r="Y119" s="464"/>
      <c r="Z119" s="464"/>
      <c r="AA119" s="464"/>
      <c r="AB119" s="464"/>
      <c r="AC119" s="464"/>
      <c r="AD119" s="464"/>
      <c r="AE119" s="464"/>
      <c r="AF119" s="464"/>
      <c r="AG119" s="464"/>
      <c r="AH119" s="464"/>
      <c r="AI119" s="464"/>
      <c r="AJ119" s="464"/>
      <c r="AK119" s="464"/>
      <c r="AL119" s="464"/>
      <c r="AM119" s="464"/>
      <c r="AN119" s="464"/>
      <c r="AO119" s="464"/>
      <c r="AP119" s="464"/>
      <c r="AQ119" s="464"/>
      <c r="AR119" s="464"/>
      <c r="AS119" s="464"/>
      <c r="AT119" s="464"/>
      <c r="AU119" s="464"/>
      <c r="AV119" s="464"/>
      <c r="AW119" s="464"/>
      <c r="AX119" s="464"/>
      <c r="AY119" s="464"/>
      <c r="AZ119" s="464"/>
      <c r="BA119" s="464"/>
      <c r="BB119" s="464"/>
      <c r="BC119" s="464"/>
      <c r="BD119" s="464"/>
      <c r="BE119" s="464"/>
      <c r="BF119" s="464"/>
      <c r="BG119" s="464"/>
      <c r="BH119" s="464"/>
      <c r="BI119" s="464"/>
      <c r="BJ119" s="464"/>
      <c r="BK119" s="464"/>
      <c r="BL119" s="464"/>
      <c r="BM119" s="464"/>
    </row>
    <row r="120">
      <c r="A120" s="347" t="s">
        <v>358</v>
      </c>
      <c r="B120" s="464">
        <f t="shared" ref="B120:C120" si="230">X97</f>
        <v>4</v>
      </c>
      <c r="C120" s="523">
        <f t="shared" si="230"/>
        <v>6</v>
      </c>
      <c r="D120" s="538">
        <f>D97</f>
        <v>28</v>
      </c>
      <c r="E120" s="464">
        <f t="shared" ref="E120:I120" si="231">Z97</f>
        <v>9</v>
      </c>
      <c r="F120" s="464">
        <f t="shared" si="231"/>
        <v>12</v>
      </c>
      <c r="G120" s="524">
        <f t="shared" si="231"/>
        <v>14</v>
      </c>
      <c r="H120" s="464">
        <f t="shared" si="231"/>
        <v>5</v>
      </c>
      <c r="I120" s="464">
        <f t="shared" si="231"/>
        <v>0</v>
      </c>
      <c r="J120" s="467">
        <f>X104</f>
        <v>0.009208112</v>
      </c>
      <c r="K120" s="464">
        <f>X110</f>
        <v>0.2427184466</v>
      </c>
      <c r="L120" s="464"/>
      <c r="M120" s="409" t="s">
        <v>1214</v>
      </c>
      <c r="N120" s="539">
        <v>0.11200528</v>
      </c>
      <c r="O120" s="539">
        <v>0.7378726</v>
      </c>
      <c r="P120" s="537">
        <f t="shared" si="229"/>
        <v>0</v>
      </c>
      <c r="Q120" s="540">
        <v>0.119046481</v>
      </c>
      <c r="R120" s="537">
        <v>1.6625477377480489</v>
      </c>
      <c r="S120" s="537">
        <v>1.992430164690206</v>
      </c>
      <c r="T120" s="537">
        <v>0.009708737864077669</v>
      </c>
      <c r="U120" s="464"/>
      <c r="V120" s="464"/>
      <c r="W120" s="464"/>
      <c r="X120" s="464"/>
      <c r="Y120" s="464"/>
      <c r="Z120" s="464"/>
      <c r="AA120" s="464"/>
      <c r="AB120" s="464"/>
      <c r="AC120" s="464"/>
      <c r="AD120" s="464"/>
      <c r="AE120" s="464"/>
      <c r="AF120" s="464"/>
      <c r="AG120" s="464"/>
      <c r="AH120" s="464"/>
      <c r="AI120" s="464"/>
      <c r="AJ120" s="464"/>
      <c r="AK120" s="464"/>
      <c r="AL120" s="464"/>
      <c r="AM120" s="464"/>
      <c r="AN120" s="464"/>
      <c r="AO120" s="464"/>
      <c r="AP120" s="464"/>
      <c r="AQ120" s="464"/>
      <c r="AR120" s="464"/>
      <c r="AS120" s="464"/>
      <c r="AT120" s="464"/>
      <c r="AU120" s="464"/>
      <c r="AV120" s="464"/>
      <c r="AW120" s="464"/>
      <c r="AX120" s="464"/>
      <c r="AY120" s="464"/>
      <c r="AZ120" s="464"/>
      <c r="BA120" s="464"/>
      <c r="BB120" s="464"/>
      <c r="BC120" s="464"/>
      <c r="BD120" s="464"/>
      <c r="BE120" s="464"/>
      <c r="BF120" s="464"/>
      <c r="BG120" s="464"/>
      <c r="BH120" s="464"/>
      <c r="BI120" s="464"/>
      <c r="BJ120" s="464"/>
      <c r="BK120" s="464"/>
      <c r="BL120" s="464"/>
      <c r="BM120" s="464"/>
    </row>
    <row r="121">
      <c r="A121" s="348" t="s">
        <v>363</v>
      </c>
      <c r="B121" s="464">
        <f t="shared" ref="B121:D121" si="232">AE97</f>
        <v>1</v>
      </c>
      <c r="C121" s="464">
        <f t="shared" si="232"/>
        <v>2</v>
      </c>
      <c r="D121" s="464">
        <f t="shared" si="232"/>
        <v>9</v>
      </c>
      <c r="E121" s="538">
        <f>E97</f>
        <v>26</v>
      </c>
      <c r="F121" s="464">
        <f t="shared" ref="F121:I121" si="233">AH97</f>
        <v>2</v>
      </c>
      <c r="G121" s="464">
        <f t="shared" si="233"/>
        <v>17</v>
      </c>
      <c r="H121" s="464">
        <f t="shared" si="233"/>
        <v>1</v>
      </c>
      <c r="I121" s="464">
        <f t="shared" si="233"/>
        <v>1</v>
      </c>
      <c r="J121" s="464">
        <f>AE104</f>
        <v>0.4893988</v>
      </c>
      <c r="K121" s="464">
        <f>AE110</f>
        <v>0.1601941748</v>
      </c>
      <c r="L121" s="464"/>
      <c r="M121" s="410" t="s">
        <v>1120</v>
      </c>
      <c r="N121" s="539">
        <v>1.80196782</v>
      </c>
      <c r="O121" s="539">
        <v>0.1794748</v>
      </c>
      <c r="P121" s="537">
        <f t="shared" si="229"/>
        <v>0</v>
      </c>
      <c r="Q121" s="540">
        <v>0.094485948</v>
      </c>
      <c r="R121" s="537">
        <v>1.452252328911688</v>
      </c>
      <c r="S121" s="537">
        <v>2.0476928433652555</v>
      </c>
      <c r="T121" s="537">
        <v>0.0</v>
      </c>
      <c r="U121" s="464"/>
      <c r="V121" s="464"/>
      <c r="W121" s="464"/>
      <c r="X121" s="464"/>
      <c r="Y121" s="464"/>
      <c r="Z121" s="464"/>
      <c r="AA121" s="464"/>
      <c r="AB121" s="464"/>
      <c r="AC121" s="464"/>
      <c r="AD121" s="464"/>
      <c r="AE121" s="464"/>
      <c r="AF121" s="464"/>
      <c r="AG121" s="464"/>
      <c r="AH121" s="464"/>
      <c r="AI121" s="464"/>
      <c r="AJ121" s="464"/>
      <c r="AK121" s="464"/>
      <c r="AL121" s="464"/>
      <c r="AM121" s="464"/>
      <c r="AN121" s="464"/>
      <c r="AO121" s="464"/>
      <c r="AP121" s="464"/>
      <c r="AQ121" s="464"/>
      <c r="AR121" s="464"/>
      <c r="AS121" s="464"/>
      <c r="AT121" s="464"/>
      <c r="AU121" s="464"/>
      <c r="AV121" s="464"/>
      <c r="AW121" s="464"/>
      <c r="AX121" s="464"/>
      <c r="AY121" s="464"/>
      <c r="AZ121" s="464"/>
      <c r="BA121" s="464"/>
      <c r="BB121" s="464"/>
      <c r="BC121" s="464"/>
      <c r="BD121" s="464"/>
      <c r="BE121" s="464"/>
      <c r="BF121" s="464"/>
      <c r="BG121" s="464"/>
      <c r="BH121" s="464"/>
      <c r="BI121" s="464"/>
      <c r="BJ121" s="464"/>
      <c r="BK121" s="464"/>
      <c r="BL121" s="464"/>
      <c r="BM121" s="464"/>
    </row>
    <row r="122">
      <c r="A122" s="349" t="s">
        <v>413</v>
      </c>
      <c r="B122" s="464">
        <f t="shared" ref="B122:E122" si="234">AL97</f>
        <v>0</v>
      </c>
      <c r="C122" s="464">
        <f t="shared" si="234"/>
        <v>1</v>
      </c>
      <c r="D122" s="523">
        <f t="shared" si="234"/>
        <v>12</v>
      </c>
      <c r="E122" s="464">
        <f t="shared" si="234"/>
        <v>2</v>
      </c>
      <c r="F122" s="538">
        <f>F97</f>
        <v>28</v>
      </c>
      <c r="G122" s="464">
        <f t="shared" ref="G122:I122" si="235">AP97</f>
        <v>9</v>
      </c>
      <c r="H122" s="464">
        <f t="shared" si="235"/>
        <v>2</v>
      </c>
      <c r="I122" s="464">
        <f t="shared" si="235"/>
        <v>0</v>
      </c>
      <c r="J122" s="525">
        <f>AL104</f>
        <v>0.1044592</v>
      </c>
      <c r="K122" s="464">
        <f>AL110</f>
        <v>0.1262135922</v>
      </c>
      <c r="L122" s="464"/>
      <c r="M122" s="411" t="s">
        <v>1188</v>
      </c>
      <c r="N122" s="539">
        <v>0.05926948</v>
      </c>
      <c r="O122" s="539">
        <v>0.8076543</v>
      </c>
      <c r="P122" s="537">
        <f t="shared" si="229"/>
        <v>0</v>
      </c>
      <c r="Q122" s="540">
        <v>0.113842067</v>
      </c>
      <c r="R122" s="537">
        <v>2.8115908800430502</v>
      </c>
      <c r="S122" s="537">
        <v>3.457892725338701</v>
      </c>
      <c r="T122" s="537">
        <v>0.038834951456310676</v>
      </c>
      <c r="U122" s="464"/>
      <c r="V122" s="464"/>
      <c r="W122" s="464"/>
      <c r="X122" s="464"/>
      <c r="Y122" s="464"/>
      <c r="Z122" s="464"/>
      <c r="AA122" s="464"/>
      <c r="AB122" s="464"/>
      <c r="AC122" s="464"/>
      <c r="AD122" s="464"/>
      <c r="AE122" s="464"/>
      <c r="AF122" s="464"/>
      <c r="AG122" s="464"/>
      <c r="AH122" s="464"/>
      <c r="AI122" s="464"/>
      <c r="AJ122" s="464"/>
      <c r="AK122" s="464"/>
      <c r="AL122" s="464"/>
      <c r="AM122" s="464"/>
      <c r="AN122" s="464"/>
      <c r="AO122" s="464"/>
      <c r="AP122" s="464"/>
      <c r="AQ122" s="464"/>
      <c r="AR122" s="464"/>
      <c r="AS122" s="464"/>
      <c r="AT122" s="464"/>
      <c r="AU122" s="464"/>
      <c r="AV122" s="464"/>
      <c r="AW122" s="464"/>
      <c r="AX122" s="464"/>
      <c r="AY122" s="464"/>
      <c r="AZ122" s="464"/>
      <c r="BA122" s="464"/>
      <c r="BB122" s="464"/>
      <c r="BC122" s="464"/>
      <c r="BD122" s="464"/>
      <c r="BE122" s="464"/>
      <c r="BF122" s="464"/>
      <c r="BG122" s="464"/>
      <c r="BH122" s="464"/>
      <c r="BI122" s="464"/>
      <c r="BJ122" s="464"/>
      <c r="BK122" s="464"/>
      <c r="BL122" s="464"/>
      <c r="BM122" s="464"/>
    </row>
    <row r="123">
      <c r="A123" s="350" t="s">
        <v>357</v>
      </c>
      <c r="B123" s="464">
        <f t="shared" ref="B123:F123" si="236">AS97</f>
        <v>4</v>
      </c>
      <c r="C123" s="464">
        <f t="shared" si="236"/>
        <v>2</v>
      </c>
      <c r="D123" s="464">
        <f t="shared" si="236"/>
        <v>14</v>
      </c>
      <c r="E123" s="464">
        <f t="shared" si="236"/>
        <v>17</v>
      </c>
      <c r="F123" s="464">
        <f t="shared" si="236"/>
        <v>9</v>
      </c>
      <c r="G123" s="538">
        <f>G97</f>
        <v>139</v>
      </c>
      <c r="H123" s="470">
        <f t="shared" ref="H123:I123" si="237">AX97</f>
        <v>7</v>
      </c>
      <c r="I123" s="470">
        <f t="shared" si="237"/>
        <v>1</v>
      </c>
      <c r="J123" s="464">
        <f>AS104</f>
        <v>0.7187476</v>
      </c>
      <c r="K123" s="464">
        <f>AS110</f>
        <v>0.2621359223</v>
      </c>
      <c r="L123" s="464"/>
      <c r="M123" s="412" t="s">
        <v>1428</v>
      </c>
      <c r="N123" s="539">
        <v>1.51936059</v>
      </c>
      <c r="O123" s="539">
        <v>0.2177163</v>
      </c>
      <c r="P123" s="537">
        <f t="shared" si="229"/>
        <v>0</v>
      </c>
      <c r="Q123" s="537"/>
      <c r="R123" s="537">
        <v>1.2909841813155656</v>
      </c>
      <c r="S123" s="537">
        <v>1.3217558399823195</v>
      </c>
      <c r="T123" s="537">
        <v>0.0</v>
      </c>
      <c r="U123" s="464"/>
      <c r="V123" s="464"/>
      <c r="W123" s="464"/>
      <c r="X123" s="464"/>
      <c r="Y123" s="464"/>
      <c r="Z123" s="464"/>
      <c r="AA123" s="464"/>
      <c r="AB123" s="464"/>
      <c r="AC123" s="464"/>
      <c r="AD123" s="464"/>
      <c r="AE123" s="464"/>
      <c r="AF123" s="464"/>
      <c r="AG123" s="464"/>
      <c r="AH123" s="464"/>
      <c r="AI123" s="464"/>
      <c r="AJ123" s="464"/>
      <c r="AK123" s="464"/>
      <c r="AL123" s="464"/>
      <c r="AM123" s="464"/>
      <c r="AN123" s="464"/>
      <c r="AO123" s="464"/>
      <c r="AP123" s="464"/>
      <c r="AQ123" s="464"/>
      <c r="AR123" s="464"/>
      <c r="AS123" s="464"/>
      <c r="AT123" s="464"/>
      <c r="AU123" s="464"/>
      <c r="AV123" s="464"/>
      <c r="AW123" s="464"/>
      <c r="AX123" s="464"/>
      <c r="AY123" s="464"/>
      <c r="AZ123" s="464"/>
      <c r="BA123" s="464"/>
      <c r="BB123" s="464"/>
      <c r="BC123" s="464"/>
      <c r="BD123" s="464"/>
      <c r="BE123" s="464"/>
      <c r="BF123" s="464"/>
      <c r="BG123" s="464"/>
      <c r="BH123" s="464"/>
      <c r="BI123" s="464"/>
      <c r="BJ123" s="464"/>
      <c r="BK123" s="464"/>
      <c r="BL123" s="464"/>
      <c r="BM123" s="464"/>
    </row>
    <row r="124">
      <c r="A124" s="351" t="s">
        <v>380</v>
      </c>
      <c r="B124" s="464">
        <f t="shared" ref="B124:G124" si="238">AZ97</f>
        <v>0</v>
      </c>
      <c r="C124" s="464">
        <f t="shared" si="238"/>
        <v>2</v>
      </c>
      <c r="D124" s="464">
        <f t="shared" si="238"/>
        <v>5</v>
      </c>
      <c r="E124" s="464">
        <f t="shared" si="238"/>
        <v>1</v>
      </c>
      <c r="F124" s="464">
        <f t="shared" si="238"/>
        <v>2</v>
      </c>
      <c r="G124" s="464">
        <f t="shared" si="238"/>
        <v>7</v>
      </c>
      <c r="H124" s="538">
        <f>H97</f>
        <v>27</v>
      </c>
      <c r="I124" s="470">
        <f>BF97</f>
        <v>0</v>
      </c>
      <c r="J124" s="464">
        <f>AZ104</f>
        <v>0.581871</v>
      </c>
      <c r="K124" s="464">
        <f>AZ110</f>
        <v>0.08252427184</v>
      </c>
      <c r="L124" s="464"/>
      <c r="M124" s="413" t="s">
        <v>1429</v>
      </c>
      <c r="N124" s="539">
        <v>0.25493313</v>
      </c>
      <c r="O124" s="539">
        <v>0.6136227</v>
      </c>
      <c r="P124" s="537">
        <f t="shared" si="229"/>
        <v>0</v>
      </c>
      <c r="Q124" s="537"/>
      <c r="R124" s="537">
        <v>0.4519851237430572</v>
      </c>
      <c r="S124" s="537">
        <v>0.4054651081081645</v>
      </c>
      <c r="T124" s="537">
        <v>0.0</v>
      </c>
      <c r="U124" s="464"/>
      <c r="V124" s="464"/>
      <c r="W124" s="464"/>
      <c r="X124" s="464"/>
      <c r="Y124" s="464"/>
      <c r="Z124" s="464"/>
      <c r="AA124" s="464"/>
      <c r="AB124" s="464"/>
      <c r="AC124" s="464"/>
      <c r="AD124" s="464"/>
      <c r="AE124" s="464"/>
      <c r="AF124" s="464"/>
      <c r="AG124" s="464"/>
      <c r="AH124" s="464"/>
      <c r="AI124" s="464"/>
      <c r="AJ124" s="464"/>
      <c r="AK124" s="464"/>
      <c r="AL124" s="464"/>
      <c r="AM124" s="464"/>
      <c r="AN124" s="464"/>
      <c r="AO124" s="464"/>
      <c r="AP124" s="464"/>
      <c r="AQ124" s="464"/>
      <c r="AR124" s="464"/>
      <c r="AS124" s="464"/>
      <c r="AT124" s="464"/>
      <c r="AU124" s="464"/>
      <c r="AV124" s="464"/>
      <c r="AW124" s="464"/>
      <c r="AX124" s="464"/>
      <c r="AY124" s="464"/>
      <c r="AZ124" s="464"/>
      <c r="BA124" s="464"/>
      <c r="BB124" s="464"/>
      <c r="BC124" s="464"/>
      <c r="BD124" s="464"/>
      <c r="BE124" s="464"/>
      <c r="BF124" s="464"/>
      <c r="BG124" s="464"/>
      <c r="BH124" s="464"/>
      <c r="BI124" s="464"/>
      <c r="BJ124" s="464"/>
      <c r="BK124" s="464"/>
      <c r="BL124" s="464"/>
      <c r="BM124" s="464"/>
    </row>
    <row r="125">
      <c r="A125" s="352" t="s">
        <v>387</v>
      </c>
      <c r="B125" s="464">
        <f t="shared" ref="B125:H125" si="239">BG97</f>
        <v>0</v>
      </c>
      <c r="C125" s="464">
        <f t="shared" si="239"/>
        <v>0</v>
      </c>
      <c r="D125" s="464">
        <f t="shared" si="239"/>
        <v>0</v>
      </c>
      <c r="E125" s="464">
        <f t="shared" si="239"/>
        <v>1</v>
      </c>
      <c r="F125" s="464">
        <f t="shared" si="239"/>
        <v>0</v>
      </c>
      <c r="G125" s="464">
        <f t="shared" si="239"/>
        <v>1</v>
      </c>
      <c r="H125" s="464">
        <f t="shared" si="239"/>
        <v>0</v>
      </c>
      <c r="I125" s="541">
        <f>I97</f>
        <v>5</v>
      </c>
      <c r="J125" s="464">
        <f>BG104</f>
        <v>0.9690664</v>
      </c>
      <c r="K125" s="464">
        <f>BG110</f>
        <v>0.009708737864</v>
      </c>
      <c r="L125" s="464"/>
      <c r="M125" s="414" t="s">
        <v>1430</v>
      </c>
      <c r="N125" s="539">
        <v>0.597877211</v>
      </c>
      <c r="O125" s="539">
        <v>0.43938911</v>
      </c>
      <c r="P125" s="537">
        <f t="shared" si="229"/>
        <v>0</v>
      </c>
      <c r="Q125" s="537">
        <f>Q118</f>
        <v>0.093576375</v>
      </c>
      <c r="R125" s="537">
        <v>0.0</v>
      </c>
      <c r="S125" s="537">
        <v>0.1541506798272582</v>
      </c>
      <c r="T125" s="537">
        <v>0.009708737864077669</v>
      </c>
      <c r="U125" s="464"/>
      <c r="V125" s="464"/>
      <c r="W125" s="464"/>
      <c r="X125" s="464"/>
      <c r="Y125" s="464"/>
      <c r="Z125" s="464"/>
      <c r="AA125" s="464"/>
      <c r="AB125" s="464"/>
      <c r="AC125" s="464"/>
      <c r="AD125" s="464"/>
      <c r="AE125" s="464"/>
      <c r="AF125" s="464"/>
      <c r="AG125" s="464"/>
      <c r="AH125" s="464"/>
      <c r="AI125" s="464"/>
      <c r="AJ125" s="464"/>
      <c r="AK125" s="464"/>
      <c r="AL125" s="464"/>
      <c r="AM125" s="464"/>
      <c r="AN125" s="464"/>
      <c r="AO125" s="464"/>
      <c r="AP125" s="464"/>
      <c r="AQ125" s="464"/>
      <c r="AR125" s="464"/>
      <c r="AS125" s="464"/>
      <c r="AT125" s="464"/>
      <c r="AU125" s="464"/>
      <c r="AV125" s="464"/>
      <c r="AW125" s="464"/>
      <c r="AX125" s="464"/>
      <c r="AY125" s="464"/>
      <c r="AZ125" s="464"/>
      <c r="BA125" s="464"/>
      <c r="BB125" s="464"/>
      <c r="BC125" s="464"/>
      <c r="BD125" s="464"/>
      <c r="BE125" s="464"/>
      <c r="BF125" s="464"/>
      <c r="BG125" s="464"/>
      <c r="BH125" s="464"/>
      <c r="BI125" s="464"/>
      <c r="BJ125" s="464"/>
      <c r="BK125" s="464"/>
      <c r="BL125" s="464"/>
      <c r="BM125" s="464"/>
    </row>
    <row r="126">
      <c r="A126" s="466"/>
      <c r="B126" s="464"/>
      <c r="C126" s="464"/>
      <c r="D126" s="464"/>
      <c r="E126" s="464"/>
      <c r="F126" s="464"/>
      <c r="G126" s="464"/>
      <c r="H126" s="464"/>
      <c r="I126" s="464"/>
      <c r="J126" s="464"/>
      <c r="K126" s="464"/>
      <c r="L126" s="464"/>
      <c r="M126" s="415" t="s">
        <v>1178</v>
      </c>
      <c r="N126" s="473">
        <v>4.533251632</v>
      </c>
      <c r="O126" s="473">
        <v>0.0332424</v>
      </c>
      <c r="P126" s="537">
        <f t="shared" si="229"/>
        <v>1</v>
      </c>
      <c r="Q126" s="540">
        <v>0.127417845</v>
      </c>
      <c r="R126" s="537">
        <v>1.791759469228055</v>
      </c>
      <c r="S126" s="537">
        <v>2.005333569526114</v>
      </c>
      <c r="T126" s="537">
        <v>0.05825242718446602</v>
      </c>
      <c r="U126" s="464"/>
      <c r="V126" s="464"/>
      <c r="W126" s="464"/>
      <c r="X126" s="464"/>
      <c r="Y126" s="464"/>
      <c r="Z126" s="464"/>
      <c r="AA126" s="464"/>
      <c r="AB126" s="464"/>
      <c r="AC126" s="464"/>
      <c r="AD126" s="464"/>
      <c r="AE126" s="464"/>
      <c r="AF126" s="464"/>
      <c r="AG126" s="464"/>
      <c r="AH126" s="464"/>
      <c r="AI126" s="464"/>
      <c r="AJ126" s="464"/>
      <c r="AK126" s="464"/>
      <c r="AL126" s="464"/>
      <c r="AM126" s="464"/>
      <c r="AN126" s="464"/>
      <c r="AO126" s="464"/>
      <c r="AP126" s="464"/>
      <c r="AQ126" s="464"/>
      <c r="AR126" s="464"/>
      <c r="AS126" s="464"/>
      <c r="AT126" s="464"/>
      <c r="AU126" s="464"/>
      <c r="AV126" s="464"/>
      <c r="AW126" s="464"/>
      <c r="AX126" s="464"/>
      <c r="AY126" s="464"/>
      <c r="AZ126" s="464"/>
      <c r="BA126" s="464"/>
      <c r="BB126" s="464"/>
      <c r="BC126" s="464"/>
      <c r="BD126" s="464"/>
      <c r="BE126" s="464"/>
      <c r="BF126" s="464"/>
      <c r="BG126" s="464"/>
      <c r="BH126" s="464"/>
      <c r="BI126" s="464"/>
      <c r="BJ126" s="464"/>
      <c r="BK126" s="464"/>
      <c r="BL126" s="464"/>
      <c r="BM126" s="464"/>
    </row>
    <row r="127">
      <c r="A127" s="464"/>
      <c r="B127" s="345" t="s">
        <v>389</v>
      </c>
      <c r="C127" s="346" t="s">
        <v>420</v>
      </c>
      <c r="D127" s="347" t="s">
        <v>358</v>
      </c>
      <c r="E127" s="348" t="s">
        <v>363</v>
      </c>
      <c r="F127" s="349" t="s">
        <v>413</v>
      </c>
      <c r="G127" s="350" t="s">
        <v>357</v>
      </c>
      <c r="H127" s="351" t="s">
        <v>380</v>
      </c>
      <c r="I127" s="352" t="s">
        <v>387</v>
      </c>
      <c r="J127" s="464"/>
      <c r="K127" s="464"/>
      <c r="L127" s="464"/>
      <c r="M127" s="416" t="s">
        <v>1145</v>
      </c>
      <c r="N127" s="539">
        <v>4.00417E-4</v>
      </c>
      <c r="O127" s="539">
        <v>0.98403506</v>
      </c>
      <c r="P127" s="537">
        <f t="shared" si="229"/>
        <v>0</v>
      </c>
      <c r="Q127" s="540">
        <v>0.119800592</v>
      </c>
      <c r="R127" s="537">
        <v>1.6625477377480489</v>
      </c>
      <c r="S127" s="537">
        <v>1.8382794848629478</v>
      </c>
      <c r="T127" s="537">
        <v>0.019417475728155338</v>
      </c>
      <c r="U127" s="464"/>
      <c r="V127" s="464"/>
      <c r="W127" s="464"/>
      <c r="X127" s="464"/>
      <c r="Y127" s="464"/>
      <c r="Z127" s="464"/>
      <c r="AA127" s="464"/>
      <c r="AB127" s="464"/>
      <c r="AC127" s="464"/>
      <c r="AD127" s="464"/>
      <c r="AE127" s="464"/>
      <c r="AF127" s="464"/>
      <c r="AG127" s="464"/>
      <c r="AH127" s="464"/>
      <c r="AI127" s="464"/>
      <c r="AJ127" s="464"/>
      <c r="AK127" s="464"/>
      <c r="AL127" s="464"/>
      <c r="AM127" s="464"/>
      <c r="AN127" s="464"/>
      <c r="AO127" s="464"/>
      <c r="AP127" s="464"/>
      <c r="AQ127" s="464"/>
      <c r="AR127" s="464"/>
      <c r="AS127" s="464"/>
      <c r="AT127" s="464"/>
      <c r="AU127" s="464"/>
      <c r="AV127" s="464"/>
      <c r="AW127" s="464"/>
      <c r="AX127" s="464"/>
      <c r="AY127" s="464"/>
      <c r="AZ127" s="464"/>
      <c r="BA127" s="464"/>
      <c r="BB127" s="464"/>
      <c r="BC127" s="464"/>
      <c r="BD127" s="464"/>
      <c r="BE127" s="464"/>
      <c r="BF127" s="464"/>
      <c r="BG127" s="464"/>
      <c r="BH127" s="464"/>
      <c r="BI127" s="464"/>
      <c r="BJ127" s="464"/>
      <c r="BK127" s="464"/>
      <c r="BL127" s="464"/>
      <c r="BM127" s="464"/>
    </row>
    <row r="128">
      <c r="A128" s="345" t="s">
        <v>389</v>
      </c>
      <c r="B128" s="464"/>
      <c r="C128" s="506">
        <f t="shared" ref="C128:I128" si="240">(sum(C$118:C$125)/(512-$B$118))*(sum($B$118:$B$125)-$B$118)</f>
        <v>0.2952755906</v>
      </c>
      <c r="D128" s="506">
        <f t="shared" si="240"/>
        <v>1.535433071</v>
      </c>
      <c r="E128" s="506">
        <f t="shared" si="240"/>
        <v>1.161417323</v>
      </c>
      <c r="F128" s="506">
        <f t="shared" si="240"/>
        <v>1.062992126</v>
      </c>
      <c r="G128" s="506">
        <f t="shared" si="240"/>
        <v>3.799212598</v>
      </c>
      <c r="H128" s="506">
        <f t="shared" si="240"/>
        <v>0.8661417323</v>
      </c>
      <c r="I128" s="506">
        <f t="shared" si="240"/>
        <v>0.1377952756</v>
      </c>
      <c r="J128" s="464">
        <f t="shared" ref="J128:J135" si="242">sum(B128:I128)</f>
        <v>8.858267717</v>
      </c>
      <c r="K128" s="464">
        <v>10.0</v>
      </c>
      <c r="L128" s="464"/>
      <c r="M128" s="417" t="s">
        <v>1301</v>
      </c>
      <c r="N128" s="539">
        <v>0.229622474</v>
      </c>
      <c r="O128" s="539">
        <v>0.6318039</v>
      </c>
      <c r="P128" s="537">
        <f t="shared" si="229"/>
        <v>0</v>
      </c>
      <c r="Q128" s="540">
        <v>0.069170507</v>
      </c>
      <c r="R128" s="537">
        <v>1.452252328911688</v>
      </c>
      <c r="S128" s="537">
        <v>1.8935421635379974</v>
      </c>
      <c r="T128" s="537">
        <v>0.009708737864077669</v>
      </c>
      <c r="U128" s="464"/>
      <c r="V128" s="464"/>
      <c r="W128" s="464"/>
      <c r="X128" s="464"/>
      <c r="Y128" s="464"/>
      <c r="Z128" s="464"/>
      <c r="AA128" s="464"/>
      <c r="AB128" s="464"/>
      <c r="AC128" s="464"/>
      <c r="AD128" s="464"/>
      <c r="AE128" s="464"/>
      <c r="AF128" s="464"/>
      <c r="AG128" s="464"/>
      <c r="AH128" s="464"/>
      <c r="AI128" s="464"/>
      <c r="AJ128" s="464"/>
      <c r="AK128" s="464"/>
      <c r="AL128" s="464"/>
      <c r="AM128" s="464"/>
      <c r="AN128" s="464"/>
      <c r="AO128" s="464"/>
      <c r="AP128" s="464"/>
      <c r="AQ128" s="464"/>
      <c r="AR128" s="464"/>
      <c r="AS128" s="464"/>
      <c r="AT128" s="464"/>
      <c r="AU128" s="464"/>
      <c r="AV128" s="464"/>
      <c r="AW128" s="464"/>
      <c r="AX128" s="464"/>
      <c r="AY128" s="464"/>
      <c r="AZ128" s="464"/>
      <c r="BA128" s="464"/>
      <c r="BB128" s="464"/>
      <c r="BC128" s="464"/>
      <c r="BD128" s="464"/>
      <c r="BE128" s="464"/>
      <c r="BF128" s="464"/>
      <c r="BG128" s="464"/>
      <c r="BH128" s="464"/>
      <c r="BI128" s="464"/>
      <c r="BJ128" s="464"/>
      <c r="BK128" s="464"/>
      <c r="BL128" s="464"/>
      <c r="BM128" s="464"/>
    </row>
    <row r="129">
      <c r="A129" s="346" t="s">
        <v>420</v>
      </c>
      <c r="B129" s="506">
        <f>(sum(B$118:B$125)/(512-$C$119))*(sum($C$118:$C$125)-$C$119)</f>
        <v>0.3835616438</v>
      </c>
      <c r="C129" s="464"/>
      <c r="D129" s="506">
        <f t="shared" ref="D129:I129" si="241">(sum(D$118:D$125)/(512-$C$119))*(sum($C$118:$C$125)-$C$119)</f>
        <v>2.136986301</v>
      </c>
      <c r="E129" s="506">
        <f t="shared" si="241"/>
        <v>1.616438356</v>
      </c>
      <c r="F129" s="506">
        <f t="shared" si="241"/>
        <v>1.479452055</v>
      </c>
      <c r="G129" s="506">
        <f t="shared" si="241"/>
        <v>5.287671233</v>
      </c>
      <c r="H129" s="506">
        <f t="shared" si="241"/>
        <v>1.205479452</v>
      </c>
      <c r="I129" s="506">
        <f t="shared" si="241"/>
        <v>0.1917808219</v>
      </c>
      <c r="J129" s="464">
        <f t="shared" si="242"/>
        <v>12.30136986</v>
      </c>
      <c r="K129" s="464">
        <v>15.0</v>
      </c>
      <c r="L129" s="464"/>
      <c r="M129" s="418" t="s">
        <v>1130</v>
      </c>
      <c r="N129" s="473">
        <v>4.701612528</v>
      </c>
      <c r="O129" s="473">
        <v>0.03013433</v>
      </c>
      <c r="P129" s="537">
        <f t="shared" si="229"/>
        <v>1</v>
      </c>
      <c r="Q129" s="540">
        <v>0.117149808</v>
      </c>
      <c r="R129" s="537">
        <v>2.8115908800430502</v>
      </c>
      <c r="S129" s="537">
        <v>3.3037420455114423</v>
      </c>
      <c r="T129" s="537">
        <v>0.019417475728155338</v>
      </c>
      <c r="U129" s="464"/>
      <c r="V129" s="464"/>
      <c r="W129" s="464"/>
      <c r="X129" s="464"/>
      <c r="Y129" s="464"/>
      <c r="Z129" s="464"/>
      <c r="AA129" s="464"/>
      <c r="AB129" s="464"/>
      <c r="AC129" s="464"/>
      <c r="AD129" s="464"/>
      <c r="AE129" s="464"/>
      <c r="AF129" s="464"/>
      <c r="AG129" s="464"/>
      <c r="AH129" s="464"/>
      <c r="AI129" s="464"/>
      <c r="AJ129" s="464"/>
      <c r="AK129" s="464"/>
      <c r="AL129" s="464"/>
      <c r="AM129" s="464"/>
      <c r="AN129" s="464"/>
      <c r="AO129" s="464"/>
      <c r="AP129" s="464"/>
      <c r="AQ129" s="464"/>
      <c r="AR129" s="464"/>
      <c r="AS129" s="464"/>
      <c r="AT129" s="464"/>
      <c r="AU129" s="464"/>
      <c r="AV129" s="464"/>
      <c r="AW129" s="464"/>
      <c r="AX129" s="464"/>
      <c r="AY129" s="464"/>
      <c r="AZ129" s="464"/>
      <c r="BA129" s="464"/>
      <c r="BB129" s="464"/>
      <c r="BC129" s="464"/>
      <c r="BD129" s="464"/>
      <c r="BE129" s="464"/>
      <c r="BF129" s="464"/>
      <c r="BG129" s="464"/>
      <c r="BH129" s="464"/>
      <c r="BI129" s="464"/>
      <c r="BJ129" s="464"/>
      <c r="BK129" s="464"/>
      <c r="BL129" s="464"/>
      <c r="BM129" s="464"/>
    </row>
    <row r="130">
      <c r="A130" s="347" t="s">
        <v>358</v>
      </c>
      <c r="B130" s="506">
        <f t="shared" ref="B130:C130" si="243">(sum(B$118:B$125)/(512-$D$120))*(sum($D$118:$D$125)-$D$120)</f>
        <v>1.446280992</v>
      </c>
      <c r="C130" s="506">
        <f t="shared" si="243"/>
        <v>1.549586777</v>
      </c>
      <c r="D130" s="464"/>
      <c r="E130" s="506">
        <f t="shared" ref="E130:I130" si="244">(sum(E$118:E$125)/(512-$D$120))*(sum($D$118:$D$125)-$D$120)</f>
        <v>6.095041322</v>
      </c>
      <c r="F130" s="506">
        <f t="shared" si="244"/>
        <v>5.578512397</v>
      </c>
      <c r="G130" s="506">
        <f t="shared" si="244"/>
        <v>19.93801653</v>
      </c>
      <c r="H130" s="506">
        <f t="shared" si="244"/>
        <v>4.545454545</v>
      </c>
      <c r="I130" s="506">
        <f t="shared" si="244"/>
        <v>0.7231404959</v>
      </c>
      <c r="J130" s="464">
        <f t="shared" si="242"/>
        <v>39.87603306</v>
      </c>
      <c r="K130" s="464">
        <v>50.0</v>
      </c>
      <c r="L130" s="464"/>
      <c r="M130" s="419" t="s">
        <v>1314</v>
      </c>
      <c r="N130" s="539">
        <v>0.237905982</v>
      </c>
      <c r="O130" s="539">
        <v>0.62572263</v>
      </c>
      <c r="P130" s="537">
        <f t="shared" si="229"/>
        <v>0</v>
      </c>
      <c r="Q130" s="537"/>
      <c r="R130" s="537">
        <v>1.2909841813155656</v>
      </c>
      <c r="S130" s="537">
        <v>1.1676051601550612</v>
      </c>
      <c r="T130" s="537">
        <v>0.019417475728155338</v>
      </c>
      <c r="U130" s="464"/>
      <c r="V130" s="464"/>
      <c r="W130" s="464"/>
      <c r="X130" s="464"/>
      <c r="Y130" s="464"/>
      <c r="Z130" s="464"/>
      <c r="AA130" s="464"/>
      <c r="AB130" s="464"/>
      <c r="AC130" s="464"/>
      <c r="AD130" s="464"/>
      <c r="AE130" s="464"/>
      <c r="AF130" s="464"/>
      <c r="AG130" s="464"/>
      <c r="AH130" s="464"/>
      <c r="AI130" s="464"/>
      <c r="AJ130" s="464"/>
      <c r="AK130" s="464"/>
      <c r="AL130" s="464"/>
      <c r="AM130" s="464"/>
      <c r="AN130" s="464"/>
      <c r="AO130" s="464"/>
      <c r="AP130" s="464"/>
      <c r="AQ130" s="464"/>
      <c r="AR130" s="464"/>
      <c r="AS130" s="464"/>
      <c r="AT130" s="464"/>
      <c r="AU130" s="464"/>
      <c r="AV130" s="464"/>
      <c r="AW130" s="464"/>
      <c r="AX130" s="464"/>
      <c r="AY130" s="464"/>
      <c r="AZ130" s="464"/>
      <c r="BA130" s="464"/>
      <c r="BB130" s="464"/>
      <c r="BC130" s="464"/>
      <c r="BD130" s="464"/>
      <c r="BE130" s="464"/>
      <c r="BF130" s="464"/>
      <c r="BG130" s="464"/>
      <c r="BH130" s="464"/>
      <c r="BI130" s="464"/>
      <c r="BJ130" s="464"/>
      <c r="BK130" s="464"/>
      <c r="BL130" s="464"/>
      <c r="BM130" s="464"/>
    </row>
    <row r="131">
      <c r="A131" s="348" t="s">
        <v>363</v>
      </c>
      <c r="B131" s="506">
        <f t="shared" ref="B131:D131" si="245">(sum(B$118:B$125)/(512-$E$121))*(sum($E$118:$E$125)-$E$121)</f>
        <v>0.950617284</v>
      </c>
      <c r="C131" s="506">
        <f t="shared" si="245"/>
        <v>1.018518519</v>
      </c>
      <c r="D131" s="506">
        <f t="shared" si="245"/>
        <v>5.296296296</v>
      </c>
      <c r="E131" s="464"/>
      <c r="F131" s="506">
        <f t="shared" ref="F131:I131" si="246">(sum(F$118:F$125)/(512-$E$121))*(sum($E$118:$E$125)-$E$121)</f>
        <v>3.666666667</v>
      </c>
      <c r="G131" s="506">
        <f t="shared" si="246"/>
        <v>13.10493827</v>
      </c>
      <c r="H131" s="506">
        <f t="shared" si="246"/>
        <v>2.987654321</v>
      </c>
      <c r="I131" s="506">
        <f t="shared" si="246"/>
        <v>0.475308642</v>
      </c>
      <c r="J131" s="464">
        <f t="shared" si="242"/>
        <v>27.5</v>
      </c>
      <c r="K131" s="464">
        <v>33.0</v>
      </c>
      <c r="L131" s="464"/>
      <c r="M131" s="420" t="s">
        <v>1431</v>
      </c>
      <c r="N131" s="539">
        <v>0.385090584</v>
      </c>
      <c r="O131" s="539">
        <v>0.53489135</v>
      </c>
      <c r="P131" s="537">
        <f t="shared" si="229"/>
        <v>0</v>
      </c>
      <c r="Q131" s="537"/>
      <c r="R131" s="537">
        <v>0.4519851237430572</v>
      </c>
      <c r="S131" s="537">
        <v>0.5596157879354227</v>
      </c>
      <c r="T131" s="537">
        <v>0.0</v>
      </c>
      <c r="U131" s="464"/>
      <c r="V131" s="464"/>
      <c r="W131" s="464"/>
      <c r="X131" s="464"/>
      <c r="Y131" s="464"/>
      <c r="Z131" s="464"/>
      <c r="AA131" s="464"/>
      <c r="AB131" s="464"/>
      <c r="AC131" s="464"/>
      <c r="AD131" s="464"/>
      <c r="AE131" s="464"/>
      <c r="AF131" s="464"/>
      <c r="AG131" s="464"/>
      <c r="AH131" s="464"/>
      <c r="AI131" s="464"/>
      <c r="AJ131" s="464"/>
      <c r="AK131" s="464"/>
      <c r="AL131" s="464"/>
      <c r="AM131" s="464"/>
      <c r="AN131" s="464"/>
      <c r="AO131" s="464"/>
      <c r="AP131" s="464"/>
      <c r="AQ131" s="464"/>
      <c r="AR131" s="464"/>
      <c r="AS131" s="464"/>
      <c r="AT131" s="464"/>
      <c r="AU131" s="464"/>
      <c r="AV131" s="464"/>
      <c r="AW131" s="464"/>
      <c r="AX131" s="464"/>
      <c r="AY131" s="464"/>
      <c r="AZ131" s="464"/>
      <c r="BA131" s="464"/>
      <c r="BB131" s="464"/>
      <c r="BC131" s="464"/>
      <c r="BD131" s="464"/>
      <c r="BE131" s="464"/>
      <c r="BF131" s="464"/>
      <c r="BG131" s="464"/>
      <c r="BH131" s="464"/>
      <c r="BI131" s="464"/>
      <c r="BJ131" s="464"/>
      <c r="BK131" s="464"/>
      <c r="BL131" s="464"/>
      <c r="BM131" s="464"/>
    </row>
    <row r="132">
      <c r="A132" s="349" t="s">
        <v>413</v>
      </c>
      <c r="B132" s="506">
        <f t="shared" ref="B132:E132" si="247">(sum(B$118:B$125)/(512-$F$122))*(sum($F$118:$F$125)-$F$122)</f>
        <v>0.7520661157</v>
      </c>
      <c r="C132" s="506">
        <f t="shared" si="247"/>
        <v>0.805785124</v>
      </c>
      <c r="D132" s="506">
        <f t="shared" si="247"/>
        <v>4.190082645</v>
      </c>
      <c r="E132" s="506">
        <f t="shared" si="247"/>
        <v>3.169421488</v>
      </c>
      <c r="F132" s="464"/>
      <c r="G132" s="506">
        <f t="shared" ref="G132:I132" si="248">(sum(G$118:G$125)/(512-$F$122))*(sum($F$118:$F$125)-$F$122)</f>
        <v>10.3677686</v>
      </c>
      <c r="H132" s="506">
        <f t="shared" si="248"/>
        <v>2.363636364</v>
      </c>
      <c r="I132" s="506">
        <f t="shared" si="248"/>
        <v>0.3760330579</v>
      </c>
      <c r="J132" s="464">
        <f t="shared" si="242"/>
        <v>22.02479339</v>
      </c>
      <c r="K132" s="464">
        <v>26.0</v>
      </c>
      <c r="L132" s="464"/>
      <c r="M132" s="421" t="s">
        <v>1432</v>
      </c>
      <c r="N132" s="539">
        <v>2.64489577</v>
      </c>
      <c r="O132" s="539">
        <v>0.103882971</v>
      </c>
      <c r="P132" s="537">
        <f t="shared" si="229"/>
        <v>0</v>
      </c>
      <c r="Q132" s="537">
        <f>Q119</f>
        <v>0.132754072</v>
      </c>
      <c r="R132" s="537">
        <v>1.791759469228055</v>
      </c>
      <c r="S132" s="537">
        <v>2.159484249353372</v>
      </c>
      <c r="T132" s="537">
        <v>0.038834951456310676</v>
      </c>
      <c r="U132" s="464"/>
      <c r="V132" s="464"/>
      <c r="W132" s="464"/>
      <c r="X132" s="464"/>
      <c r="Y132" s="464"/>
      <c r="Z132" s="464"/>
      <c r="AA132" s="464"/>
      <c r="AB132" s="464"/>
      <c r="AC132" s="464"/>
      <c r="AD132" s="464"/>
      <c r="AE132" s="464"/>
      <c r="AF132" s="464"/>
      <c r="AG132" s="464"/>
      <c r="AH132" s="464"/>
      <c r="AI132" s="464"/>
      <c r="AJ132" s="464"/>
      <c r="AK132" s="464"/>
      <c r="AL132" s="464"/>
      <c r="AM132" s="464"/>
      <c r="AN132" s="464"/>
      <c r="AO132" s="464"/>
      <c r="AP132" s="464"/>
      <c r="AQ132" s="464"/>
      <c r="AR132" s="464"/>
      <c r="AS132" s="464"/>
      <c r="AT132" s="464"/>
      <c r="AU132" s="464"/>
      <c r="AV132" s="464"/>
      <c r="AW132" s="464"/>
      <c r="AX132" s="464"/>
      <c r="AY132" s="464"/>
      <c r="AZ132" s="464"/>
      <c r="BA132" s="464"/>
      <c r="BB132" s="464"/>
      <c r="BC132" s="464"/>
      <c r="BD132" s="464"/>
      <c r="BE132" s="464"/>
      <c r="BF132" s="464"/>
      <c r="BG132" s="464"/>
      <c r="BH132" s="464"/>
      <c r="BI132" s="464"/>
      <c r="BJ132" s="464"/>
      <c r="BK132" s="464"/>
      <c r="BL132" s="464"/>
      <c r="BM132" s="464"/>
    </row>
    <row r="133">
      <c r="A133" s="350" t="s">
        <v>357</v>
      </c>
      <c r="B133" s="506">
        <f t="shared" ref="B133:F133" si="249">(sum(B$118:B$125)/(512-$G$123))*(sum($G$118:$G$125)-$G$123)</f>
        <v>2.026809651</v>
      </c>
      <c r="C133" s="506">
        <f t="shared" si="249"/>
        <v>2.171581769</v>
      </c>
      <c r="D133" s="506">
        <f t="shared" si="249"/>
        <v>11.2922252</v>
      </c>
      <c r="E133" s="506">
        <f t="shared" si="249"/>
        <v>8.54155496</v>
      </c>
      <c r="F133" s="506">
        <f t="shared" si="249"/>
        <v>7.81769437</v>
      </c>
      <c r="G133" s="464"/>
      <c r="H133" s="506">
        <f t="shared" ref="H133:I133" si="250">(sum(H$118:H$125)/(512-$G$123))*(sum($G$118:$G$125)-$G$123)</f>
        <v>6.36997319</v>
      </c>
      <c r="I133" s="506">
        <f t="shared" si="250"/>
        <v>1.013404826</v>
      </c>
      <c r="J133" s="464">
        <f t="shared" si="242"/>
        <v>39.23324397</v>
      </c>
      <c r="K133" s="464">
        <v>55.0</v>
      </c>
      <c r="L133" s="464"/>
      <c r="M133" s="422" t="s">
        <v>1433</v>
      </c>
      <c r="N133" s="473">
        <v>7.27966983</v>
      </c>
      <c r="O133" s="473">
        <v>0.006973935</v>
      </c>
      <c r="P133" s="537">
        <f t="shared" si="229"/>
        <v>1</v>
      </c>
      <c r="Q133" s="537">
        <f>Q126</f>
        <v>0.127417845</v>
      </c>
      <c r="R133" s="537">
        <v>1.791759469228055</v>
      </c>
      <c r="S133" s="537">
        <v>2.005333569526114</v>
      </c>
      <c r="T133" s="537">
        <v>0.05825242718446602</v>
      </c>
      <c r="U133" s="464"/>
      <c r="V133" s="464"/>
      <c r="W133" s="464"/>
      <c r="X133" s="464"/>
      <c r="Y133" s="464"/>
      <c r="Z133" s="464"/>
      <c r="AA133" s="464"/>
      <c r="AB133" s="464"/>
      <c r="AC133" s="464"/>
      <c r="AD133" s="464"/>
      <c r="AE133" s="464"/>
      <c r="AF133" s="464"/>
      <c r="AG133" s="464"/>
      <c r="AH133" s="464"/>
      <c r="AI133" s="464"/>
      <c r="AJ133" s="464"/>
      <c r="AK133" s="464"/>
      <c r="AL133" s="464"/>
      <c r="AM133" s="464"/>
      <c r="AN133" s="464"/>
      <c r="AO133" s="464"/>
      <c r="AP133" s="464"/>
      <c r="AQ133" s="464"/>
      <c r="AR133" s="464"/>
      <c r="AS133" s="464"/>
      <c r="AT133" s="464"/>
      <c r="AU133" s="464"/>
      <c r="AV133" s="464"/>
      <c r="AW133" s="464"/>
      <c r="AX133" s="464"/>
      <c r="AY133" s="464"/>
      <c r="AZ133" s="464"/>
      <c r="BA133" s="464"/>
      <c r="BB133" s="464"/>
      <c r="BC133" s="464"/>
      <c r="BD133" s="464"/>
      <c r="BE133" s="464"/>
      <c r="BF133" s="464"/>
      <c r="BG133" s="464"/>
      <c r="BH133" s="464"/>
      <c r="BI133" s="464"/>
      <c r="BJ133" s="464"/>
      <c r="BK133" s="464"/>
      <c r="BL133" s="464"/>
      <c r="BM133" s="464"/>
    </row>
    <row r="134">
      <c r="A134" s="351" t="s">
        <v>380</v>
      </c>
      <c r="B134" s="506">
        <f t="shared" ref="B134:G134" si="251">(sum(B$118:B$125)/(512-$H$124))*(sum($H$118:$H$125)-$H$124)</f>
        <v>0.4907216495</v>
      </c>
      <c r="C134" s="506">
        <f t="shared" si="251"/>
        <v>0.5257731959</v>
      </c>
      <c r="D134" s="506">
        <f t="shared" si="251"/>
        <v>2.734020619</v>
      </c>
      <c r="E134" s="506">
        <f t="shared" si="251"/>
        <v>2.068041237</v>
      </c>
      <c r="F134" s="506">
        <f t="shared" si="251"/>
        <v>1.892783505</v>
      </c>
      <c r="G134" s="506">
        <f t="shared" si="251"/>
        <v>6.764948454</v>
      </c>
      <c r="H134" s="464"/>
      <c r="I134" s="506">
        <f>(sum(I$118:I$125)/(512-$H$124))*(sum($H$118:$H$125)-$H$124)</f>
        <v>0.2453608247</v>
      </c>
      <c r="J134" s="464">
        <f t="shared" si="242"/>
        <v>14.72164948</v>
      </c>
      <c r="K134" s="464">
        <v>17.0</v>
      </c>
      <c r="L134" s="464"/>
      <c r="M134" s="423" t="s">
        <v>1095</v>
      </c>
      <c r="N134" s="539">
        <v>0.10229349</v>
      </c>
      <c r="O134" s="539">
        <v>0.749094529</v>
      </c>
      <c r="P134" s="537">
        <f t="shared" si="229"/>
        <v>0</v>
      </c>
      <c r="Q134" s="540">
        <v>0.139073207</v>
      </c>
      <c r="R134" s="537">
        <v>0.12921173148000625</v>
      </c>
      <c r="S134" s="537">
        <v>0.16705408466316607</v>
      </c>
      <c r="T134" s="537">
        <v>0.08737864077669903</v>
      </c>
      <c r="U134" s="464"/>
      <c r="V134" s="464"/>
      <c r="W134" s="464"/>
      <c r="X134" s="464"/>
      <c r="Y134" s="464"/>
      <c r="Z134" s="464"/>
      <c r="AA134" s="464"/>
      <c r="AB134" s="464"/>
      <c r="AC134" s="464"/>
      <c r="AD134" s="464"/>
      <c r="AE134" s="464"/>
      <c r="AF134" s="464"/>
      <c r="AG134" s="464"/>
      <c r="AH134" s="464"/>
      <c r="AI134" s="464"/>
      <c r="AJ134" s="464"/>
      <c r="AK134" s="464"/>
      <c r="AL134" s="464"/>
      <c r="AM134" s="464"/>
      <c r="AN134" s="464"/>
      <c r="AO134" s="464"/>
      <c r="AP134" s="464"/>
      <c r="AQ134" s="464"/>
      <c r="AR134" s="464"/>
      <c r="AS134" s="464"/>
      <c r="AT134" s="464"/>
      <c r="AU134" s="464"/>
      <c r="AV134" s="464"/>
      <c r="AW134" s="464"/>
      <c r="AX134" s="464"/>
      <c r="AY134" s="464"/>
      <c r="AZ134" s="464"/>
      <c r="BA134" s="464"/>
      <c r="BB134" s="464"/>
      <c r="BC134" s="464"/>
      <c r="BD134" s="464"/>
      <c r="BE134" s="464"/>
      <c r="BF134" s="464"/>
      <c r="BG134" s="464"/>
      <c r="BH134" s="464"/>
      <c r="BI134" s="464"/>
      <c r="BJ134" s="464"/>
      <c r="BK134" s="464"/>
      <c r="BL134" s="464"/>
      <c r="BM134" s="464"/>
    </row>
    <row r="135">
      <c r="A135" s="352" t="s">
        <v>387</v>
      </c>
      <c r="B135" s="506">
        <f t="shared" ref="B135:H135" si="252">(sum(B$118:B$125)/(512-$I$125))*(sum($I$118:$I$125)-$I$125)</f>
        <v>0.05522682446</v>
      </c>
      <c r="C135" s="506">
        <f t="shared" si="252"/>
        <v>0.05917159763</v>
      </c>
      <c r="D135" s="506">
        <f t="shared" si="252"/>
        <v>0.3076923077</v>
      </c>
      <c r="E135" s="506">
        <f t="shared" si="252"/>
        <v>0.2327416174</v>
      </c>
      <c r="F135" s="506">
        <f t="shared" si="252"/>
        <v>0.2130177515</v>
      </c>
      <c r="G135" s="506">
        <f t="shared" si="252"/>
        <v>0.7613412229</v>
      </c>
      <c r="H135" s="506">
        <f t="shared" si="252"/>
        <v>0.1735700197</v>
      </c>
      <c r="I135" s="464"/>
      <c r="J135" s="464">
        <f t="shared" si="242"/>
        <v>1.802761341</v>
      </c>
      <c r="K135" s="464">
        <v>2.0</v>
      </c>
      <c r="L135" s="464"/>
      <c r="M135" s="424" t="s">
        <v>1103</v>
      </c>
      <c r="N135" s="473">
        <v>3.98678259</v>
      </c>
      <c r="O135" s="473">
        <v>0.045858553</v>
      </c>
      <c r="P135" s="537">
        <f t="shared" si="229"/>
        <v>1</v>
      </c>
      <c r="Q135" s="540">
        <v>0.127087183</v>
      </c>
      <c r="R135" s="537">
        <v>0.339507140316367</v>
      </c>
      <c r="S135" s="537">
        <v>0.11179140598811663</v>
      </c>
      <c r="T135" s="537">
        <v>0.11650485436893204</v>
      </c>
      <c r="U135" s="464"/>
      <c r="V135" s="464"/>
      <c r="W135" s="464"/>
      <c r="X135" s="464"/>
      <c r="Y135" s="464"/>
      <c r="Z135" s="464"/>
      <c r="AA135" s="464"/>
      <c r="AB135" s="464"/>
      <c r="AC135" s="464"/>
      <c r="AD135" s="464"/>
      <c r="AE135" s="464"/>
      <c r="AF135" s="464"/>
      <c r="AG135" s="464"/>
      <c r="AH135" s="464"/>
      <c r="AI135" s="464"/>
      <c r="AJ135" s="464"/>
      <c r="AK135" s="464"/>
      <c r="AL135" s="464"/>
      <c r="AM135" s="464"/>
      <c r="AN135" s="464"/>
      <c r="AO135" s="464"/>
      <c r="AP135" s="464"/>
      <c r="AQ135" s="464"/>
      <c r="AR135" s="464"/>
      <c r="AS135" s="464"/>
      <c r="AT135" s="464"/>
      <c r="AU135" s="464"/>
      <c r="AV135" s="464"/>
      <c r="AW135" s="464"/>
      <c r="AX135" s="464"/>
      <c r="AY135" s="464"/>
      <c r="AZ135" s="464"/>
      <c r="BA135" s="464"/>
      <c r="BB135" s="464"/>
      <c r="BC135" s="464"/>
      <c r="BD135" s="464"/>
      <c r="BE135" s="464"/>
      <c r="BF135" s="464"/>
      <c r="BG135" s="464"/>
      <c r="BH135" s="464"/>
      <c r="BI135" s="464"/>
      <c r="BJ135" s="464"/>
      <c r="BK135" s="464"/>
      <c r="BL135" s="464"/>
      <c r="BM135" s="464"/>
    </row>
    <row r="136">
      <c r="A136" s="464"/>
      <c r="B136" s="464"/>
      <c r="C136" s="464"/>
      <c r="D136" s="464"/>
      <c r="E136" s="464"/>
      <c r="F136" s="464"/>
      <c r="G136" s="464"/>
      <c r="H136" s="464"/>
      <c r="I136" s="466"/>
      <c r="J136" s="464"/>
      <c r="K136" s="464"/>
      <c r="L136" s="464"/>
      <c r="M136" s="425" t="s">
        <v>1090</v>
      </c>
      <c r="N136" s="473">
        <v>10.38986421</v>
      </c>
      <c r="O136" s="473">
        <v>0.001267089</v>
      </c>
      <c r="P136" s="537">
        <f t="shared" si="229"/>
        <v>1</v>
      </c>
      <c r="Q136" s="540">
        <v>0.132499419</v>
      </c>
      <c r="R136" s="537">
        <v>1.0198314108149953</v>
      </c>
      <c r="S136" s="537">
        <v>1.2984084759853285</v>
      </c>
      <c r="T136" s="537">
        <v>0.13592233009708737</v>
      </c>
      <c r="U136" s="464"/>
      <c r="V136" s="464"/>
      <c r="W136" s="464"/>
      <c r="X136" s="464"/>
      <c r="Y136" s="464"/>
      <c r="Z136" s="464"/>
      <c r="AA136" s="464"/>
      <c r="AB136" s="464"/>
      <c r="AC136" s="464"/>
      <c r="AD136" s="464"/>
      <c r="AE136" s="464"/>
      <c r="AF136" s="464"/>
      <c r="AG136" s="464"/>
      <c r="AH136" s="464"/>
      <c r="AI136" s="464"/>
      <c r="AJ136" s="464"/>
      <c r="AK136" s="464"/>
      <c r="AL136" s="464"/>
      <c r="AM136" s="464"/>
      <c r="AN136" s="464"/>
      <c r="AO136" s="464"/>
      <c r="AP136" s="464"/>
      <c r="AQ136" s="464"/>
      <c r="AR136" s="464"/>
      <c r="AS136" s="464"/>
      <c r="AT136" s="464"/>
      <c r="AU136" s="464"/>
      <c r="AV136" s="464"/>
      <c r="AW136" s="464"/>
      <c r="AX136" s="464"/>
      <c r="AY136" s="464"/>
      <c r="AZ136" s="464"/>
      <c r="BA136" s="464"/>
      <c r="BB136" s="464"/>
      <c r="BC136" s="464"/>
      <c r="BD136" s="464"/>
      <c r="BE136" s="464"/>
      <c r="BF136" s="464"/>
      <c r="BG136" s="464"/>
      <c r="BH136" s="464"/>
      <c r="BI136" s="464"/>
      <c r="BJ136" s="464"/>
      <c r="BK136" s="464"/>
      <c r="BL136" s="464"/>
      <c r="BM136" s="464"/>
    </row>
    <row r="137">
      <c r="A137" s="464"/>
      <c r="B137" s="345" t="s">
        <v>389</v>
      </c>
      <c r="C137" s="346" t="s">
        <v>420</v>
      </c>
      <c r="D137" s="347" t="s">
        <v>358</v>
      </c>
      <c r="E137" s="348" t="s">
        <v>363</v>
      </c>
      <c r="F137" s="349" t="s">
        <v>413</v>
      </c>
      <c r="G137" s="350" t="s">
        <v>357</v>
      </c>
      <c r="H137" s="351" t="s">
        <v>380</v>
      </c>
      <c r="I137" s="352" t="s">
        <v>387</v>
      </c>
      <c r="J137" s="466" t="s">
        <v>1497</v>
      </c>
      <c r="K137" s="464"/>
      <c r="L137" s="464"/>
      <c r="M137" s="426" t="s">
        <v>1296</v>
      </c>
      <c r="N137" s="539">
        <v>0.07012436</v>
      </c>
      <c r="O137" s="539">
        <v>0.791155795</v>
      </c>
      <c r="P137" s="537">
        <f t="shared" si="229"/>
        <v>0</v>
      </c>
      <c r="Q137" s="537"/>
      <c r="R137" s="537">
        <v>0.5007752879124894</v>
      </c>
      <c r="S137" s="537">
        <v>0.8377284093710529</v>
      </c>
      <c r="T137" s="537">
        <v>0.04854368932038835</v>
      </c>
      <c r="U137" s="464"/>
      <c r="V137" s="464"/>
      <c r="W137" s="464"/>
      <c r="X137" s="464"/>
      <c r="Y137" s="464"/>
      <c r="Z137" s="464"/>
      <c r="AA137" s="464"/>
      <c r="AB137" s="464"/>
      <c r="AC137" s="464"/>
      <c r="AD137" s="464"/>
      <c r="AE137" s="464"/>
      <c r="AF137" s="464"/>
      <c r="AG137" s="464"/>
      <c r="AH137" s="464"/>
      <c r="AI137" s="464"/>
      <c r="AJ137" s="464"/>
      <c r="AK137" s="464"/>
      <c r="AL137" s="464"/>
      <c r="AM137" s="464"/>
      <c r="AN137" s="464"/>
      <c r="AO137" s="464"/>
      <c r="AP137" s="464"/>
      <c r="AQ137" s="464"/>
      <c r="AR137" s="464"/>
      <c r="AS137" s="464"/>
      <c r="AT137" s="464"/>
      <c r="AU137" s="464"/>
      <c r="AV137" s="464"/>
      <c r="AW137" s="464"/>
      <c r="AX137" s="464"/>
      <c r="AY137" s="464"/>
      <c r="AZ137" s="464"/>
      <c r="BA137" s="464"/>
      <c r="BB137" s="464"/>
      <c r="BC137" s="464"/>
      <c r="BD137" s="464"/>
      <c r="BE137" s="464"/>
      <c r="BF137" s="464"/>
      <c r="BG137" s="464"/>
      <c r="BH137" s="464"/>
      <c r="BI137" s="464"/>
      <c r="BJ137" s="464"/>
      <c r="BK137" s="464"/>
      <c r="BL137" s="464"/>
      <c r="BM137" s="464"/>
    </row>
    <row r="138">
      <c r="A138" s="466" t="s">
        <v>1478</v>
      </c>
      <c r="B138" s="464">
        <f t="shared" ref="B138:I138" si="253">sum(B2:B11)</f>
        <v>4</v>
      </c>
      <c r="C138" s="464">
        <f t="shared" si="253"/>
        <v>1</v>
      </c>
      <c r="D138" s="464">
        <f t="shared" si="253"/>
        <v>28</v>
      </c>
      <c r="E138" s="464">
        <f t="shared" si="253"/>
        <v>26</v>
      </c>
      <c r="F138" s="464">
        <f t="shared" si="253"/>
        <v>28</v>
      </c>
      <c r="G138" s="464">
        <f t="shared" si="253"/>
        <v>139</v>
      </c>
      <c r="H138" s="464">
        <f t="shared" si="253"/>
        <v>27</v>
      </c>
      <c r="I138" s="464">
        <f t="shared" si="253"/>
        <v>5</v>
      </c>
      <c r="J138" s="467">
        <f>CORREL(B138:I138,B140:I140)</f>
        <v>0.9899878271</v>
      </c>
      <c r="K138" s="464"/>
      <c r="L138" s="464"/>
      <c r="M138" s="427" t="s">
        <v>1270</v>
      </c>
      <c r="N138" s="539">
        <v>1.8434998</v>
      </c>
      <c r="O138" s="539">
        <v>0.174541303</v>
      </c>
      <c r="P138" s="537">
        <f t="shared" si="229"/>
        <v>0</v>
      </c>
      <c r="Q138" s="537"/>
      <c r="R138" s="537">
        <v>2.243744592971112</v>
      </c>
      <c r="S138" s="537">
        <v>2.5649493574615367</v>
      </c>
      <c r="T138" s="537">
        <v>0.0</v>
      </c>
      <c r="U138" s="464"/>
      <c r="V138" s="464"/>
      <c r="W138" s="464"/>
      <c r="X138" s="464"/>
      <c r="Y138" s="464"/>
      <c r="Z138" s="464"/>
      <c r="AA138" s="464"/>
      <c r="AB138" s="464"/>
      <c r="AC138" s="464"/>
      <c r="AD138" s="464"/>
      <c r="AE138" s="464"/>
      <c r="AF138" s="464"/>
      <c r="AG138" s="464"/>
      <c r="AH138" s="464"/>
      <c r="AI138" s="464"/>
      <c r="AJ138" s="464"/>
      <c r="AK138" s="464"/>
      <c r="AL138" s="464"/>
      <c r="AM138" s="464"/>
      <c r="AN138" s="464"/>
      <c r="AO138" s="464"/>
      <c r="AP138" s="464"/>
      <c r="AQ138" s="464"/>
      <c r="AR138" s="464"/>
      <c r="AS138" s="464"/>
      <c r="AT138" s="464"/>
      <c r="AU138" s="464"/>
      <c r="AV138" s="464"/>
      <c r="AW138" s="464"/>
      <c r="AX138" s="464"/>
      <c r="AY138" s="464"/>
      <c r="AZ138" s="464"/>
      <c r="BA138" s="464"/>
      <c r="BB138" s="464"/>
      <c r="BC138" s="464"/>
      <c r="BD138" s="464"/>
      <c r="BE138" s="464"/>
      <c r="BF138" s="464"/>
      <c r="BG138" s="464"/>
      <c r="BH138" s="464"/>
      <c r="BI138" s="464"/>
      <c r="BJ138" s="464"/>
      <c r="BK138" s="464"/>
      <c r="BL138" s="464"/>
      <c r="BM138" s="464"/>
    </row>
    <row r="139">
      <c r="A139" s="466" t="s">
        <v>1586</v>
      </c>
      <c r="B139" s="464">
        <f t="shared" ref="B139:I139" si="254">B138/sum($B$138:$I$138)</f>
        <v>0.01550387597</v>
      </c>
      <c r="C139" s="464">
        <f t="shared" si="254"/>
        <v>0.003875968992</v>
      </c>
      <c r="D139" s="464">
        <f t="shared" si="254"/>
        <v>0.1085271318</v>
      </c>
      <c r="E139" s="464">
        <f t="shared" si="254"/>
        <v>0.1007751938</v>
      </c>
      <c r="F139" s="464">
        <f t="shared" si="254"/>
        <v>0.1085271318</v>
      </c>
      <c r="G139" s="464">
        <f t="shared" si="254"/>
        <v>0.5387596899</v>
      </c>
      <c r="H139" s="464">
        <f t="shared" si="254"/>
        <v>0.1046511628</v>
      </c>
      <c r="I139" s="464">
        <f t="shared" si="254"/>
        <v>0.01937984496</v>
      </c>
      <c r="J139" s="464"/>
      <c r="K139" s="464"/>
      <c r="L139" s="464"/>
      <c r="M139" s="428" t="s">
        <v>1434</v>
      </c>
      <c r="N139" s="539">
        <v>2.788256E-5</v>
      </c>
      <c r="O139" s="539">
        <v>0.9957869</v>
      </c>
      <c r="P139" s="537">
        <f t="shared" si="229"/>
        <v>0</v>
      </c>
      <c r="Q139" s="537">
        <f>Q120</f>
        <v>0.119046481</v>
      </c>
      <c r="R139" s="537">
        <v>1.6625477377480489</v>
      </c>
      <c r="S139" s="537">
        <v>1.992430164690206</v>
      </c>
      <c r="T139" s="537">
        <v>0.009708737864077669</v>
      </c>
      <c r="U139" s="464"/>
      <c r="V139" s="464"/>
      <c r="W139" s="464"/>
      <c r="X139" s="464"/>
      <c r="Y139" s="464"/>
      <c r="Z139" s="464"/>
      <c r="AA139" s="464"/>
      <c r="AB139" s="464"/>
      <c r="AC139" s="464"/>
      <c r="AD139" s="464"/>
      <c r="AE139" s="464"/>
      <c r="AF139" s="464"/>
      <c r="AG139" s="464"/>
      <c r="AH139" s="464"/>
      <c r="AI139" s="464"/>
      <c r="AJ139" s="464"/>
      <c r="AK139" s="464"/>
      <c r="AL139" s="464"/>
      <c r="AM139" s="464"/>
      <c r="AN139" s="464"/>
      <c r="AO139" s="464"/>
      <c r="AP139" s="464"/>
      <c r="AQ139" s="464"/>
      <c r="AR139" s="464"/>
      <c r="AS139" s="464"/>
      <c r="AT139" s="464"/>
      <c r="AU139" s="464"/>
      <c r="AV139" s="464"/>
      <c r="AW139" s="464"/>
      <c r="AX139" s="464"/>
      <c r="AY139" s="464"/>
      <c r="AZ139" s="464"/>
      <c r="BA139" s="464"/>
      <c r="BB139" s="464"/>
      <c r="BC139" s="464"/>
      <c r="BD139" s="464"/>
      <c r="BE139" s="464"/>
      <c r="BF139" s="464"/>
      <c r="BG139" s="464"/>
      <c r="BH139" s="464"/>
      <c r="BI139" s="464"/>
      <c r="BJ139" s="464"/>
      <c r="BK139" s="464"/>
      <c r="BL139" s="464"/>
      <c r="BM139" s="464"/>
    </row>
    <row r="140">
      <c r="A140" s="466" t="s">
        <v>1587</v>
      </c>
      <c r="B140" s="464">
        <f>SUM('07-28-09'!AJ14,'11-05-09'!AI24,'01-28-10'!AK75,'03-06-10'!AN63,'05-21-10'!AO74,'07-14-10'!AI66,'09-23-10'!AI71,'11-05-10'!AL69,'03-04-11'!AE61,'07-13-11'!AJ83)</f>
        <v>12</v>
      </c>
      <c r="C140" s="464">
        <f>SUM('07-28-09'!AK14,'11-05-09'!AJ24,'01-28-10'!AL75,'03-06-10'!AO63,'05-21-10'!AP74,'07-14-10'!AJ66,'09-23-10'!AJ71,'11-05-10'!AM69,'03-04-11'!AF61,'07-13-11'!AK83)</f>
        <v>14</v>
      </c>
      <c r="D140" s="464">
        <f>SUM('07-28-09'!AL14,'11-05-09'!AK24,'01-28-10'!AM75,'03-06-10'!AP63,'05-21-10'!AQ74,'07-14-10'!AK66,'09-23-10'!AK71,'11-05-10'!AN69,'03-04-11'!AG61,'07-13-11'!AL83)</f>
        <v>104</v>
      </c>
      <c r="E140" s="464">
        <f>SUM('07-28-09'!AM14,'11-05-09'!AL24,'01-28-10'!AN75,'03-06-10'!AQ63,'05-21-10'!AR74,'07-14-10'!AL66,'09-23-10'!AL71,'11-05-10'!AO69,'03-04-11'!AH61,'07-13-11'!AM83)</f>
        <v>88</v>
      </c>
      <c r="F140" s="464">
        <f>SUM('07-28-09'!AN14,'11-05-09'!AM24,'01-28-10'!AO75,'03-06-10'!AR63,'05-21-10'!AS74,'07-14-10'!AM66,'09-23-10'!AM71,'11-05-10'!AP69,'03-04-11'!AI61,'07-13-11'!AN83)</f>
        <v>93</v>
      </c>
      <c r="G140" s="464">
        <f>SUM('07-28-09'!AO14,'11-05-09'!AN24,'01-28-10'!AP75,'03-06-10'!AS63,'05-21-10'!AT74,'07-14-10'!AN66,'09-23-10'!AN71,'11-05-10'!AQ69,'03-04-11'!AJ61,'07-13-11'!AO83)</f>
        <v>381</v>
      </c>
      <c r="H140" s="464">
        <f>SUM('07-28-09'!AP14,'11-05-09'!AO24,'01-28-10'!AQ75,'03-06-10'!AT63,'05-21-10'!AU74,'07-14-10'!AO66,'09-23-10'!AO71,'11-05-10'!AR69,'03-04-11'!AK61,'07-13-11'!AP83)</f>
        <v>45</v>
      </c>
      <c r="I140" s="464">
        <f>SUM('07-28-09'!AQ14,'11-05-09'!AP24,'01-28-10'!AR75,'03-06-10'!AU63,'05-21-10'!AV74,'07-14-10'!AP66,'09-23-10'!AP71,'11-05-10'!AS69,'03-04-11'!AL61,'07-13-11'!AQ83)</f>
        <v>8</v>
      </c>
      <c r="J140" s="464"/>
      <c r="K140" s="464"/>
      <c r="L140" s="464"/>
      <c r="M140" s="429" t="s">
        <v>1435</v>
      </c>
      <c r="N140" s="539">
        <v>0.7318043</v>
      </c>
      <c r="O140" s="539">
        <v>0.392299</v>
      </c>
      <c r="P140" s="537">
        <f t="shared" si="229"/>
        <v>0</v>
      </c>
      <c r="Q140" s="537">
        <f>Q127</f>
        <v>0.119800592</v>
      </c>
      <c r="R140" s="537">
        <v>1.6625477377480489</v>
      </c>
      <c r="S140" s="537">
        <v>1.838279484862948</v>
      </c>
      <c r="T140" s="537">
        <v>0.019417475728155338</v>
      </c>
      <c r="U140" s="464"/>
      <c r="V140" s="464"/>
      <c r="W140" s="464"/>
      <c r="X140" s="464"/>
      <c r="Y140" s="464"/>
      <c r="Z140" s="464"/>
      <c r="AA140" s="464"/>
      <c r="AB140" s="464"/>
      <c r="AC140" s="464"/>
      <c r="AD140" s="464"/>
      <c r="AE140" s="464"/>
      <c r="AF140" s="464"/>
      <c r="AG140" s="464"/>
      <c r="AH140" s="464"/>
      <c r="AI140" s="464"/>
      <c r="AJ140" s="464"/>
      <c r="AK140" s="464"/>
      <c r="AL140" s="464"/>
      <c r="AM140" s="464"/>
      <c r="AN140" s="464"/>
      <c r="AO140" s="464"/>
      <c r="AP140" s="464"/>
      <c r="AQ140" s="464"/>
      <c r="AR140" s="464"/>
      <c r="AS140" s="464"/>
      <c r="AT140" s="464"/>
      <c r="AU140" s="464"/>
      <c r="AV140" s="464"/>
      <c r="AW140" s="464"/>
      <c r="AX140" s="464"/>
      <c r="AY140" s="464"/>
      <c r="AZ140" s="464"/>
      <c r="BA140" s="464"/>
      <c r="BB140" s="464"/>
      <c r="BC140" s="464"/>
      <c r="BD140" s="464"/>
      <c r="BE140" s="464"/>
      <c r="BF140" s="464"/>
      <c r="BG140" s="464"/>
      <c r="BH140" s="464"/>
      <c r="BI140" s="464"/>
      <c r="BJ140" s="464"/>
      <c r="BK140" s="464"/>
      <c r="BL140" s="464"/>
      <c r="BM140" s="464"/>
    </row>
    <row r="141">
      <c r="A141" s="466" t="s">
        <v>1588</v>
      </c>
      <c r="B141" s="464">
        <f t="shared" ref="B141:I141" si="255">B140/sum($B$140:$I$140)</f>
        <v>0.01610738255</v>
      </c>
      <c r="C141" s="464">
        <f t="shared" si="255"/>
        <v>0.01879194631</v>
      </c>
      <c r="D141" s="464">
        <f t="shared" si="255"/>
        <v>0.1395973154</v>
      </c>
      <c r="E141" s="464">
        <f t="shared" si="255"/>
        <v>0.1181208054</v>
      </c>
      <c r="F141" s="464">
        <f t="shared" si="255"/>
        <v>0.1248322148</v>
      </c>
      <c r="G141" s="464">
        <f t="shared" si="255"/>
        <v>0.511409396</v>
      </c>
      <c r="H141" s="464">
        <f t="shared" si="255"/>
        <v>0.06040268456</v>
      </c>
      <c r="I141" s="464">
        <f t="shared" si="255"/>
        <v>0.01073825503</v>
      </c>
      <c r="J141" s="464"/>
      <c r="K141" s="464"/>
      <c r="L141" s="464"/>
      <c r="M141" s="430" t="s">
        <v>1436</v>
      </c>
      <c r="N141" s="539">
        <v>1.512255</v>
      </c>
      <c r="O141" s="539">
        <v>0.2187954</v>
      </c>
      <c r="P141" s="537">
        <f t="shared" si="229"/>
        <v>0</v>
      </c>
      <c r="Q141" s="537">
        <f>Q134</f>
        <v>0.139073207</v>
      </c>
      <c r="R141" s="537">
        <v>0.1292117314800062</v>
      </c>
      <c r="S141" s="537">
        <v>0.16705408466316607</v>
      </c>
      <c r="T141" s="537">
        <v>0.08737864077669903</v>
      </c>
      <c r="U141" s="464"/>
      <c r="V141" s="464"/>
      <c r="W141" s="464"/>
      <c r="X141" s="464"/>
      <c r="Y141" s="464"/>
      <c r="Z141" s="464"/>
      <c r="AA141" s="464"/>
      <c r="AB141" s="464"/>
      <c r="AC141" s="464"/>
      <c r="AD141" s="464"/>
      <c r="AE141" s="464"/>
      <c r="AF141" s="464"/>
      <c r="AG141" s="464"/>
      <c r="AH141" s="464"/>
      <c r="AI141" s="464"/>
      <c r="AJ141" s="464"/>
      <c r="AK141" s="464"/>
      <c r="AL141" s="464"/>
      <c r="AM141" s="464"/>
      <c r="AN141" s="464"/>
      <c r="AO141" s="464"/>
      <c r="AP141" s="464"/>
      <c r="AQ141" s="464"/>
      <c r="AR141" s="464"/>
      <c r="AS141" s="464"/>
      <c r="AT141" s="464"/>
      <c r="AU141" s="464"/>
      <c r="AV141" s="464"/>
      <c r="AW141" s="464"/>
      <c r="AX141" s="464"/>
      <c r="AY141" s="464"/>
      <c r="AZ141" s="464"/>
      <c r="BA141" s="464"/>
      <c r="BB141" s="464"/>
      <c r="BC141" s="464"/>
      <c r="BD141" s="464"/>
      <c r="BE141" s="464"/>
      <c r="BF141" s="464"/>
      <c r="BG141" s="464"/>
      <c r="BH141" s="464"/>
      <c r="BI141" s="464"/>
      <c r="BJ141" s="464"/>
      <c r="BK141" s="464"/>
      <c r="BL141" s="464"/>
      <c r="BM141" s="464"/>
    </row>
    <row r="142">
      <c r="A142" s="464"/>
      <c r="B142" s="464"/>
      <c r="C142" s="464"/>
      <c r="D142" s="464"/>
      <c r="E142" s="464"/>
      <c r="F142" s="464"/>
      <c r="G142" s="464"/>
      <c r="H142" s="464"/>
      <c r="I142" s="464"/>
      <c r="J142" s="464"/>
      <c r="K142" s="464"/>
      <c r="L142" s="464"/>
      <c r="M142" s="431" t="s">
        <v>1115</v>
      </c>
      <c r="N142" s="539">
        <v>1.485756</v>
      </c>
      <c r="O142" s="539">
        <v>0.2228761</v>
      </c>
      <c r="P142" s="537">
        <f t="shared" si="229"/>
        <v>0</v>
      </c>
      <c r="Q142" s="540">
        <v>0.120082535</v>
      </c>
      <c r="R142" s="537">
        <v>0.21029540883636075</v>
      </c>
      <c r="S142" s="537">
        <v>0.05526267867504953</v>
      </c>
      <c r="T142" s="537">
        <v>0.019417475728155338</v>
      </c>
      <c r="U142" s="464"/>
      <c r="V142" s="464"/>
      <c r="W142" s="464"/>
      <c r="X142" s="464"/>
      <c r="Y142" s="464"/>
      <c r="Z142" s="464"/>
      <c r="AA142" s="464"/>
      <c r="AB142" s="464"/>
      <c r="AC142" s="464"/>
      <c r="AD142" s="464"/>
      <c r="AE142" s="464"/>
      <c r="AF142" s="464"/>
      <c r="AG142" s="464"/>
      <c r="AH142" s="464"/>
      <c r="AI142" s="464"/>
      <c r="AJ142" s="464"/>
      <c r="AK142" s="464"/>
      <c r="AL142" s="464"/>
      <c r="AM142" s="464"/>
      <c r="AN142" s="464"/>
      <c r="AO142" s="464"/>
      <c r="AP142" s="464"/>
      <c r="AQ142" s="464"/>
      <c r="AR142" s="464"/>
      <c r="AS142" s="464"/>
      <c r="AT142" s="464"/>
      <c r="AU142" s="464"/>
      <c r="AV142" s="464"/>
      <c r="AW142" s="464"/>
      <c r="AX142" s="464"/>
      <c r="AY142" s="464"/>
      <c r="AZ142" s="464"/>
      <c r="BA142" s="464"/>
      <c r="BB142" s="464"/>
      <c r="BC142" s="464"/>
      <c r="BD142" s="464"/>
      <c r="BE142" s="464"/>
      <c r="BF142" s="464"/>
      <c r="BG142" s="464"/>
      <c r="BH142" s="464"/>
      <c r="BI142" s="464"/>
      <c r="BJ142" s="464"/>
      <c r="BK142" s="464"/>
      <c r="BL142" s="464"/>
      <c r="BM142" s="464"/>
    </row>
    <row r="143">
      <c r="A143" s="466" t="s">
        <v>1571</v>
      </c>
      <c r="B143" s="345" t="s">
        <v>389</v>
      </c>
      <c r="C143" s="346" t="s">
        <v>420</v>
      </c>
      <c r="D143" s="347" t="s">
        <v>358</v>
      </c>
      <c r="E143" s="348" t="s">
        <v>363</v>
      </c>
      <c r="F143" s="349" t="s">
        <v>413</v>
      </c>
      <c r="G143" s="350" t="s">
        <v>357</v>
      </c>
      <c r="H143" s="351" t="s">
        <v>380</v>
      </c>
      <c r="I143" s="352" t="s">
        <v>387</v>
      </c>
      <c r="J143" s="464"/>
      <c r="K143" s="464"/>
      <c r="L143" s="464"/>
      <c r="M143" s="432" t="s">
        <v>1089</v>
      </c>
      <c r="N143" s="539">
        <v>0.02250145</v>
      </c>
      <c r="O143" s="539">
        <v>0.8807608</v>
      </c>
      <c r="P143" s="537">
        <f t="shared" si="229"/>
        <v>0</v>
      </c>
      <c r="Q143" s="540">
        <v>0.11648931</v>
      </c>
      <c r="R143" s="537">
        <v>1.1490431422950016</v>
      </c>
      <c r="S143" s="537">
        <v>1.4654625606484946</v>
      </c>
      <c r="T143" s="537">
        <v>0.1650485436893204</v>
      </c>
      <c r="U143" s="464"/>
      <c r="V143" s="464"/>
      <c r="W143" s="464"/>
      <c r="X143" s="464"/>
      <c r="Y143" s="464"/>
      <c r="Z143" s="464"/>
      <c r="AA143" s="464"/>
      <c r="AB143" s="464"/>
      <c r="AC143" s="464"/>
      <c r="AD143" s="464"/>
      <c r="AE143" s="464"/>
      <c r="AF143" s="464"/>
      <c r="AG143" s="464"/>
      <c r="AH143" s="464"/>
      <c r="AI143" s="464"/>
      <c r="AJ143" s="464"/>
      <c r="AK143" s="464"/>
      <c r="AL143" s="464"/>
      <c r="AM143" s="464"/>
      <c r="AN143" s="464"/>
      <c r="AO143" s="464"/>
      <c r="AP143" s="464"/>
      <c r="AQ143" s="464"/>
      <c r="AR143" s="464"/>
      <c r="AS143" s="464"/>
      <c r="AT143" s="464"/>
      <c r="AU143" s="464"/>
      <c r="AV143" s="464"/>
      <c r="AW143" s="464"/>
      <c r="AX143" s="464"/>
      <c r="AY143" s="464"/>
      <c r="AZ143" s="464"/>
      <c r="BA143" s="464"/>
      <c r="BB143" s="464"/>
      <c r="BC143" s="464"/>
      <c r="BD143" s="464"/>
      <c r="BE143" s="464"/>
      <c r="BF143" s="464"/>
      <c r="BG143" s="464"/>
      <c r="BH143" s="464"/>
      <c r="BI143" s="464"/>
      <c r="BJ143" s="464"/>
      <c r="BK143" s="464"/>
      <c r="BL143" s="464"/>
      <c r="BM143" s="464"/>
    </row>
    <row r="144">
      <c r="A144" s="345" t="s">
        <v>389</v>
      </c>
      <c r="B144" s="464"/>
      <c r="C144" s="464">
        <f t="shared" ref="C144:I144" si="256">$B$139/C139</f>
        <v>4</v>
      </c>
      <c r="D144" s="464">
        <f t="shared" si="256"/>
        <v>0.1428571429</v>
      </c>
      <c r="E144" s="464">
        <f t="shared" si="256"/>
        <v>0.1538461538</v>
      </c>
      <c r="F144" s="464">
        <f t="shared" si="256"/>
        <v>0.1428571429</v>
      </c>
      <c r="G144" s="464">
        <f t="shared" si="256"/>
        <v>0.02877697842</v>
      </c>
      <c r="H144" s="464">
        <f t="shared" si="256"/>
        <v>0.1481481481</v>
      </c>
      <c r="I144" s="464">
        <f t="shared" si="256"/>
        <v>0.8</v>
      </c>
      <c r="J144" s="464"/>
      <c r="K144" s="464"/>
      <c r="L144" s="464"/>
      <c r="M144" s="433" t="s">
        <v>1182</v>
      </c>
      <c r="N144" s="539">
        <v>2.591727</v>
      </c>
      <c r="O144" s="539">
        <v>0.1074231</v>
      </c>
      <c r="P144" s="537">
        <f t="shared" si="229"/>
        <v>0</v>
      </c>
      <c r="Q144" s="537"/>
      <c r="R144" s="537">
        <v>0.3715635564324832</v>
      </c>
      <c r="S144" s="537">
        <v>0.6706743247078867</v>
      </c>
      <c r="T144" s="537">
        <v>0.009708737864077669</v>
      </c>
      <c r="U144" s="464"/>
      <c r="V144" s="464"/>
      <c r="W144" s="464"/>
      <c r="X144" s="464"/>
      <c r="Y144" s="464"/>
      <c r="Z144" s="464"/>
      <c r="AA144" s="464"/>
      <c r="AB144" s="464"/>
      <c r="AC144" s="464"/>
      <c r="AD144" s="464"/>
      <c r="AE144" s="464"/>
      <c r="AF144" s="464"/>
      <c r="AG144" s="464"/>
      <c r="AH144" s="464"/>
      <c r="AI144" s="464"/>
      <c r="AJ144" s="464"/>
      <c r="AK144" s="464"/>
      <c r="AL144" s="464"/>
      <c r="AM144" s="464"/>
      <c r="AN144" s="464"/>
      <c r="AO144" s="464"/>
      <c r="AP144" s="464"/>
      <c r="AQ144" s="464"/>
      <c r="AR144" s="464"/>
      <c r="AS144" s="464"/>
      <c r="AT144" s="464"/>
      <c r="AU144" s="464"/>
      <c r="AV144" s="464"/>
      <c r="AW144" s="464"/>
      <c r="AX144" s="464"/>
      <c r="AY144" s="464"/>
      <c r="AZ144" s="464"/>
      <c r="BA144" s="464"/>
      <c r="BB144" s="464"/>
      <c r="BC144" s="464"/>
      <c r="BD144" s="464"/>
      <c r="BE144" s="464"/>
      <c r="BF144" s="464"/>
      <c r="BG144" s="464"/>
      <c r="BH144" s="464"/>
      <c r="BI144" s="464"/>
      <c r="BJ144" s="464"/>
      <c r="BK144" s="464"/>
      <c r="BL144" s="464"/>
      <c r="BM144" s="464"/>
    </row>
    <row r="145">
      <c r="A145" s="346" t="s">
        <v>420</v>
      </c>
      <c r="B145" s="464">
        <f>$C$139/B139</f>
        <v>0.25</v>
      </c>
      <c r="C145" s="464"/>
      <c r="D145" s="464">
        <f t="shared" ref="D145:I145" si="257">$C$139/D139</f>
        <v>0.03571428571</v>
      </c>
      <c r="E145" s="464">
        <f t="shared" si="257"/>
        <v>0.03846153846</v>
      </c>
      <c r="F145" s="464">
        <f t="shared" si="257"/>
        <v>0.03571428571</v>
      </c>
      <c r="G145" s="464">
        <f t="shared" si="257"/>
        <v>0.007194244604</v>
      </c>
      <c r="H145" s="464">
        <f t="shared" si="257"/>
        <v>0.03703703704</v>
      </c>
      <c r="I145" s="464">
        <f t="shared" si="257"/>
        <v>0.2</v>
      </c>
      <c r="J145" s="464"/>
      <c r="K145" s="464"/>
      <c r="L145" s="464"/>
      <c r="M145" s="434" t="s">
        <v>1298</v>
      </c>
      <c r="N145" s="539">
        <v>0.1659104</v>
      </c>
      <c r="O145" s="539">
        <v>0.6837723</v>
      </c>
      <c r="P145" s="537">
        <f t="shared" si="229"/>
        <v>0</v>
      </c>
      <c r="Q145" s="537"/>
      <c r="R145" s="537">
        <v>2.114532861491106</v>
      </c>
      <c r="S145" s="537">
        <v>2.3978952727983707</v>
      </c>
      <c r="T145" s="537">
        <v>0.009708737864077669</v>
      </c>
      <c r="U145" s="464"/>
      <c r="V145" s="464"/>
      <c r="W145" s="464"/>
      <c r="X145" s="464"/>
      <c r="Y145" s="464"/>
      <c r="Z145" s="464"/>
      <c r="AA145" s="464"/>
      <c r="AB145" s="464"/>
      <c r="AC145" s="464"/>
      <c r="AD145" s="464"/>
      <c r="AE145" s="464"/>
      <c r="AF145" s="464"/>
      <c r="AG145" s="464"/>
      <c r="AH145" s="464"/>
      <c r="AI145" s="464"/>
      <c r="AJ145" s="464"/>
      <c r="AK145" s="464"/>
      <c r="AL145" s="464"/>
      <c r="AM145" s="464"/>
      <c r="AN145" s="464"/>
      <c r="AO145" s="464"/>
      <c r="AP145" s="464"/>
      <c r="AQ145" s="464"/>
      <c r="AR145" s="464"/>
      <c r="AS145" s="464"/>
      <c r="AT145" s="464"/>
      <c r="AU145" s="464"/>
      <c r="AV145" s="464"/>
      <c r="AW145" s="464"/>
      <c r="AX145" s="464"/>
      <c r="AY145" s="464"/>
      <c r="AZ145" s="464"/>
      <c r="BA145" s="464"/>
      <c r="BB145" s="464"/>
      <c r="BC145" s="464"/>
      <c r="BD145" s="464"/>
      <c r="BE145" s="464"/>
      <c r="BF145" s="464"/>
      <c r="BG145" s="464"/>
      <c r="BH145" s="464"/>
      <c r="BI145" s="464"/>
      <c r="BJ145" s="464"/>
      <c r="BK145" s="464"/>
      <c r="BL145" s="464"/>
      <c r="BM145" s="464"/>
    </row>
    <row r="146">
      <c r="A146" s="347" t="s">
        <v>358</v>
      </c>
      <c r="B146" s="464">
        <f t="shared" ref="B146:C146" si="258">$D$139/B139</f>
        <v>7</v>
      </c>
      <c r="C146" s="464">
        <f t="shared" si="258"/>
        <v>28</v>
      </c>
      <c r="D146" s="464"/>
      <c r="E146" s="464">
        <f t="shared" ref="E146:I146" si="259">$D$139/E139</f>
        <v>1.076923077</v>
      </c>
      <c r="F146" s="464">
        <f t="shared" si="259"/>
        <v>1</v>
      </c>
      <c r="G146" s="464">
        <f t="shared" si="259"/>
        <v>0.2014388489</v>
      </c>
      <c r="H146" s="464">
        <f t="shared" si="259"/>
        <v>1.037037037</v>
      </c>
      <c r="I146" s="464">
        <f t="shared" si="259"/>
        <v>5.6</v>
      </c>
      <c r="J146" s="464"/>
      <c r="K146" s="464"/>
      <c r="L146" s="464"/>
      <c r="M146" s="435" t="s">
        <v>1437</v>
      </c>
      <c r="N146" s="539">
        <v>1.34469365</v>
      </c>
      <c r="O146" s="539">
        <v>0.246207928</v>
      </c>
      <c r="P146" s="537">
        <f t="shared" si="229"/>
        <v>0</v>
      </c>
      <c r="Q146" s="537">
        <f>Q121</f>
        <v>0.094485948</v>
      </c>
      <c r="R146" s="537">
        <v>1.452252328911688</v>
      </c>
      <c r="S146" s="537">
        <v>2.0476928433652555</v>
      </c>
      <c r="T146" s="537">
        <v>0.0</v>
      </c>
      <c r="U146" s="464"/>
      <c r="V146" s="464"/>
      <c r="W146" s="464"/>
      <c r="X146" s="464"/>
      <c r="Y146" s="464"/>
      <c r="Z146" s="464"/>
      <c r="AA146" s="464"/>
      <c r="AB146" s="464"/>
      <c r="AC146" s="464"/>
      <c r="AD146" s="464"/>
      <c r="AE146" s="464"/>
      <c r="AF146" s="464"/>
      <c r="AG146" s="464"/>
      <c r="AH146" s="464"/>
      <c r="AI146" s="464"/>
      <c r="AJ146" s="464"/>
      <c r="AK146" s="464"/>
      <c r="AL146" s="464"/>
      <c r="AM146" s="464"/>
      <c r="AN146" s="464"/>
      <c r="AO146" s="464"/>
      <c r="AP146" s="464"/>
      <c r="AQ146" s="464"/>
      <c r="AR146" s="464"/>
      <c r="AS146" s="464"/>
      <c r="AT146" s="464"/>
      <c r="AU146" s="464"/>
      <c r="AV146" s="464"/>
      <c r="AW146" s="464"/>
      <c r="AX146" s="464"/>
      <c r="AY146" s="464"/>
      <c r="AZ146" s="464"/>
      <c r="BA146" s="464"/>
      <c r="BB146" s="464"/>
      <c r="BC146" s="464"/>
      <c r="BD146" s="464"/>
      <c r="BE146" s="464"/>
      <c r="BF146" s="464"/>
      <c r="BG146" s="464"/>
      <c r="BH146" s="464"/>
      <c r="BI146" s="464"/>
      <c r="BJ146" s="464"/>
      <c r="BK146" s="464"/>
      <c r="BL146" s="464"/>
      <c r="BM146" s="464"/>
    </row>
    <row r="147">
      <c r="A147" s="348" t="s">
        <v>363</v>
      </c>
      <c r="B147" s="464">
        <f t="shared" ref="B147:D147" si="260">$E$139/B139</f>
        <v>6.5</v>
      </c>
      <c r="C147" s="464">
        <f t="shared" si="260"/>
        <v>26</v>
      </c>
      <c r="D147" s="464">
        <f t="shared" si="260"/>
        <v>0.9285714286</v>
      </c>
      <c r="E147" s="464"/>
      <c r="F147" s="464">
        <f t="shared" ref="F147:I147" si="261">$E$139/F139</f>
        <v>0.9285714286</v>
      </c>
      <c r="G147" s="464">
        <f t="shared" si="261"/>
        <v>0.1870503597</v>
      </c>
      <c r="H147" s="464">
        <f t="shared" si="261"/>
        <v>0.962962963</v>
      </c>
      <c r="I147" s="464">
        <f t="shared" si="261"/>
        <v>5.2</v>
      </c>
      <c r="J147" s="464"/>
      <c r="K147" s="464"/>
      <c r="L147" s="464"/>
      <c r="M147" s="436" t="s">
        <v>1438</v>
      </c>
      <c r="N147" s="539">
        <v>0.06161704</v>
      </c>
      <c r="O147" s="539">
        <v>0.803958154</v>
      </c>
      <c r="P147" s="537">
        <f t="shared" si="229"/>
        <v>0</v>
      </c>
      <c r="Q147" s="537">
        <f>Q128</f>
        <v>0.069170507</v>
      </c>
      <c r="R147" s="537">
        <v>1.452252328911688</v>
      </c>
      <c r="S147" s="537">
        <v>1.8935421635379974</v>
      </c>
      <c r="T147" s="537">
        <v>0.009708737864077669</v>
      </c>
      <c r="U147" s="464"/>
      <c r="V147" s="464"/>
      <c r="W147" s="464"/>
      <c r="X147" s="464"/>
      <c r="Y147" s="464"/>
      <c r="Z147" s="464"/>
      <c r="AA147" s="464"/>
      <c r="AB147" s="464"/>
      <c r="AC147" s="464"/>
      <c r="AD147" s="464"/>
      <c r="AE147" s="464"/>
      <c r="AF147" s="464"/>
      <c r="AG147" s="464"/>
      <c r="AH147" s="464"/>
      <c r="AI147" s="464"/>
      <c r="AJ147" s="464"/>
      <c r="AK147" s="464"/>
      <c r="AL147" s="464"/>
      <c r="AM147" s="464"/>
      <c r="AN147" s="464"/>
      <c r="AO147" s="464"/>
      <c r="AP147" s="464"/>
      <c r="AQ147" s="464"/>
      <c r="AR147" s="464"/>
      <c r="AS147" s="464"/>
      <c r="AT147" s="464"/>
      <c r="AU147" s="464"/>
      <c r="AV147" s="464"/>
      <c r="AW147" s="464"/>
      <c r="AX147" s="464"/>
      <c r="AY147" s="464"/>
      <c r="AZ147" s="464"/>
      <c r="BA147" s="464"/>
      <c r="BB147" s="464"/>
      <c r="BC147" s="464"/>
      <c r="BD147" s="464"/>
      <c r="BE147" s="464"/>
      <c r="BF147" s="464"/>
      <c r="BG147" s="464"/>
      <c r="BH147" s="464"/>
      <c r="BI147" s="464"/>
      <c r="BJ147" s="464"/>
      <c r="BK147" s="464"/>
      <c r="BL147" s="464"/>
      <c r="BM147" s="464"/>
    </row>
    <row r="148">
      <c r="A148" s="349" t="s">
        <v>413</v>
      </c>
      <c r="B148" s="464">
        <f t="shared" ref="B148:E148" si="262">$F$139/B139</f>
        <v>7</v>
      </c>
      <c r="C148" s="464">
        <f t="shared" si="262"/>
        <v>28</v>
      </c>
      <c r="D148" s="464">
        <f t="shared" si="262"/>
        <v>1</v>
      </c>
      <c r="E148" s="464">
        <f t="shared" si="262"/>
        <v>1.076923077</v>
      </c>
      <c r="F148" s="464"/>
      <c r="G148" s="464">
        <f t="shared" ref="G148:I148" si="263">$F$139/G139</f>
        <v>0.2014388489</v>
      </c>
      <c r="H148" s="464">
        <f t="shared" si="263"/>
        <v>1.037037037</v>
      </c>
      <c r="I148" s="464">
        <f t="shared" si="263"/>
        <v>5.6</v>
      </c>
      <c r="J148" s="464"/>
      <c r="K148" s="464"/>
      <c r="L148" s="464"/>
      <c r="M148" s="437" t="s">
        <v>1439</v>
      </c>
      <c r="N148" s="473">
        <v>9.81821341</v>
      </c>
      <c r="O148" s="473">
        <v>0.001727921</v>
      </c>
      <c r="P148" s="537">
        <f t="shared" si="229"/>
        <v>1</v>
      </c>
      <c r="Q148" s="537">
        <f>Q135</f>
        <v>0.127087183</v>
      </c>
      <c r="R148" s="537">
        <v>0.3395071403163671</v>
      </c>
      <c r="S148" s="537">
        <v>0.11179140598811656</v>
      </c>
      <c r="T148" s="537">
        <v>0.11650485436893204</v>
      </c>
      <c r="U148" s="464"/>
      <c r="V148" s="464"/>
      <c r="W148" s="464"/>
      <c r="X148" s="464"/>
      <c r="Y148" s="464"/>
      <c r="Z148" s="464"/>
      <c r="AA148" s="464"/>
      <c r="AB148" s="464"/>
      <c r="AC148" s="464"/>
      <c r="AD148" s="464"/>
      <c r="AE148" s="464"/>
      <c r="AF148" s="464"/>
      <c r="AG148" s="464"/>
      <c r="AH148" s="464"/>
      <c r="AI148" s="464"/>
      <c r="AJ148" s="464"/>
      <c r="AK148" s="464"/>
      <c r="AL148" s="464"/>
      <c r="AM148" s="464"/>
      <c r="AN148" s="464"/>
      <c r="AO148" s="464"/>
      <c r="AP148" s="464"/>
      <c r="AQ148" s="464"/>
      <c r="AR148" s="464"/>
      <c r="AS148" s="464"/>
      <c r="AT148" s="464"/>
      <c r="AU148" s="464"/>
      <c r="AV148" s="464"/>
      <c r="AW148" s="464"/>
      <c r="AX148" s="464"/>
      <c r="AY148" s="464"/>
      <c r="AZ148" s="464"/>
      <c r="BA148" s="464"/>
      <c r="BB148" s="464"/>
      <c r="BC148" s="464"/>
      <c r="BD148" s="464"/>
      <c r="BE148" s="464"/>
      <c r="BF148" s="464"/>
      <c r="BG148" s="464"/>
      <c r="BH148" s="464"/>
      <c r="BI148" s="464"/>
      <c r="BJ148" s="464"/>
      <c r="BK148" s="464"/>
      <c r="BL148" s="464"/>
      <c r="BM148" s="464"/>
    </row>
    <row r="149">
      <c r="A149" s="350" t="s">
        <v>357</v>
      </c>
      <c r="B149" s="464">
        <f t="shared" ref="B149:F149" si="264">$G$139/B139</f>
        <v>34.75</v>
      </c>
      <c r="C149" s="464">
        <f t="shared" si="264"/>
        <v>139</v>
      </c>
      <c r="D149" s="464">
        <f t="shared" si="264"/>
        <v>4.964285714</v>
      </c>
      <c r="E149" s="464">
        <f t="shared" si="264"/>
        <v>5.346153846</v>
      </c>
      <c r="F149" s="464">
        <f t="shared" si="264"/>
        <v>4.964285714</v>
      </c>
      <c r="G149" s="464"/>
      <c r="H149" s="464">
        <f t="shared" ref="H149:I149" si="265">$G$139/H139</f>
        <v>5.148148148</v>
      </c>
      <c r="I149" s="464">
        <f t="shared" si="265"/>
        <v>27.8</v>
      </c>
      <c r="J149" s="464"/>
      <c r="K149" s="464"/>
      <c r="L149" s="464"/>
      <c r="M149" s="438" t="s">
        <v>1440</v>
      </c>
      <c r="N149" s="539">
        <v>1.23371666</v>
      </c>
      <c r="O149" s="539">
        <v>0.266685452</v>
      </c>
      <c r="P149" s="537">
        <f t="shared" si="229"/>
        <v>0</v>
      </c>
      <c r="Q149" s="537">
        <f>Q142</f>
        <v>0.120082535</v>
      </c>
      <c r="R149" s="537">
        <v>0.2102954088363608</v>
      </c>
      <c r="S149" s="537">
        <v>0.055262678675049526</v>
      </c>
      <c r="T149" s="537">
        <v>0.019417475728155338</v>
      </c>
      <c r="U149" s="464"/>
      <c r="V149" s="464"/>
      <c r="W149" s="464"/>
      <c r="X149" s="464"/>
      <c r="Y149" s="464"/>
      <c r="Z149" s="464"/>
      <c r="AA149" s="464"/>
      <c r="AB149" s="464"/>
      <c r="AC149" s="464"/>
      <c r="AD149" s="464"/>
      <c r="AE149" s="464"/>
      <c r="AF149" s="464"/>
      <c r="AG149" s="464"/>
      <c r="AH149" s="464"/>
      <c r="AI149" s="464"/>
      <c r="AJ149" s="464"/>
      <c r="AK149" s="464"/>
      <c r="AL149" s="464"/>
      <c r="AM149" s="464"/>
      <c r="AN149" s="464"/>
      <c r="AO149" s="464"/>
      <c r="AP149" s="464"/>
      <c r="AQ149" s="464"/>
      <c r="AR149" s="464"/>
      <c r="AS149" s="464"/>
      <c r="AT149" s="464"/>
      <c r="AU149" s="464"/>
      <c r="AV149" s="464"/>
      <c r="AW149" s="464"/>
      <c r="AX149" s="464"/>
      <c r="AY149" s="464"/>
      <c r="AZ149" s="464"/>
      <c r="BA149" s="464"/>
      <c r="BB149" s="464"/>
      <c r="BC149" s="464"/>
      <c r="BD149" s="464"/>
      <c r="BE149" s="464"/>
      <c r="BF149" s="464"/>
      <c r="BG149" s="464"/>
      <c r="BH149" s="464"/>
      <c r="BI149" s="464"/>
      <c r="BJ149" s="464"/>
      <c r="BK149" s="464"/>
      <c r="BL149" s="464"/>
      <c r="BM149" s="464"/>
    </row>
    <row r="150">
      <c r="A150" s="351" t="s">
        <v>380</v>
      </c>
      <c r="B150" s="464">
        <f t="shared" ref="B150:G150" si="266">$H$139/B139</f>
        <v>6.75</v>
      </c>
      <c r="C150" s="464">
        <f t="shared" si="266"/>
        <v>27</v>
      </c>
      <c r="D150" s="464">
        <f t="shared" si="266"/>
        <v>0.9642857143</v>
      </c>
      <c r="E150" s="464">
        <f t="shared" si="266"/>
        <v>1.038461538</v>
      </c>
      <c r="F150" s="464">
        <f t="shared" si="266"/>
        <v>0.9642857143</v>
      </c>
      <c r="G150" s="464">
        <f t="shared" si="266"/>
        <v>0.1942446043</v>
      </c>
      <c r="H150" s="464"/>
      <c r="I150" s="464">
        <f>$H$139/I139</f>
        <v>5.4</v>
      </c>
      <c r="J150" s="464"/>
      <c r="K150" s="464"/>
      <c r="L150" s="464"/>
      <c r="M150" s="439" t="s">
        <v>1163</v>
      </c>
      <c r="N150" s="539">
        <v>1.82433379</v>
      </c>
      <c r="O150" s="539">
        <v>0.176798279</v>
      </c>
      <c r="P150" s="537">
        <f t="shared" si="229"/>
        <v>0</v>
      </c>
      <c r="Q150" s="540">
        <v>0.119967925</v>
      </c>
      <c r="R150" s="537">
        <v>1.3593385511313625</v>
      </c>
      <c r="S150" s="537">
        <v>1.410199881973445</v>
      </c>
      <c r="T150" s="537">
        <v>0.08737864077669903</v>
      </c>
      <c r="U150" s="464"/>
      <c r="V150" s="464"/>
      <c r="W150" s="464"/>
      <c r="X150" s="464"/>
      <c r="Y150" s="464"/>
      <c r="Z150" s="464"/>
      <c r="AA150" s="464"/>
      <c r="AB150" s="464"/>
      <c r="AC150" s="464"/>
      <c r="AD150" s="464"/>
      <c r="AE150" s="464"/>
      <c r="AF150" s="464"/>
      <c r="AG150" s="464"/>
      <c r="AH150" s="464"/>
      <c r="AI150" s="464"/>
      <c r="AJ150" s="464"/>
      <c r="AK150" s="464"/>
      <c r="AL150" s="464"/>
      <c r="AM150" s="464"/>
      <c r="AN150" s="464"/>
      <c r="AO150" s="464"/>
      <c r="AP150" s="464"/>
      <c r="AQ150" s="464"/>
      <c r="AR150" s="464"/>
      <c r="AS150" s="464"/>
      <c r="AT150" s="464"/>
      <c r="AU150" s="464"/>
      <c r="AV150" s="464"/>
      <c r="AW150" s="464"/>
      <c r="AX150" s="464"/>
      <c r="AY150" s="464"/>
      <c r="AZ150" s="464"/>
      <c r="BA150" s="464"/>
      <c r="BB150" s="464"/>
      <c r="BC150" s="464"/>
      <c r="BD150" s="464"/>
      <c r="BE150" s="464"/>
      <c r="BF150" s="464"/>
      <c r="BG150" s="464"/>
      <c r="BH150" s="464"/>
      <c r="BI150" s="464"/>
      <c r="BJ150" s="464"/>
      <c r="BK150" s="464"/>
      <c r="BL150" s="464"/>
      <c r="BM150" s="464"/>
    </row>
    <row r="151">
      <c r="A151" s="352" t="s">
        <v>387</v>
      </c>
      <c r="B151" s="464">
        <f t="shared" ref="B151:H151" si="267">$I$139/B139</f>
        <v>1.25</v>
      </c>
      <c r="C151" s="464">
        <f t="shared" si="267"/>
        <v>5</v>
      </c>
      <c r="D151" s="464">
        <f t="shared" si="267"/>
        <v>0.1785714286</v>
      </c>
      <c r="E151" s="464">
        <f t="shared" si="267"/>
        <v>0.1923076923</v>
      </c>
      <c r="F151" s="464">
        <f t="shared" si="267"/>
        <v>0.1785714286</v>
      </c>
      <c r="G151" s="464">
        <f t="shared" si="267"/>
        <v>0.03597122302</v>
      </c>
      <c r="H151" s="464">
        <f t="shared" si="267"/>
        <v>0.1851851852</v>
      </c>
      <c r="I151" s="464"/>
      <c r="J151" s="464"/>
      <c r="K151" s="464"/>
      <c r="L151" s="464"/>
      <c r="M151" s="440" t="s">
        <v>1223</v>
      </c>
      <c r="N151" s="539">
        <v>0.22638501</v>
      </c>
      <c r="O151" s="539">
        <v>0.634217343</v>
      </c>
      <c r="P151" s="537">
        <f t="shared" si="229"/>
        <v>0</v>
      </c>
      <c r="Q151" s="537"/>
      <c r="R151" s="537">
        <v>0.16126814759612232</v>
      </c>
      <c r="S151" s="537">
        <v>0.7259370033829361</v>
      </c>
      <c r="T151" s="537">
        <v>0.019417475728155338</v>
      </c>
      <c r="U151" s="464"/>
      <c r="V151" s="464"/>
      <c r="W151" s="464"/>
      <c r="X151" s="464"/>
      <c r="Y151" s="464"/>
      <c r="Z151" s="464"/>
      <c r="AA151" s="464"/>
      <c r="AB151" s="464"/>
      <c r="AC151" s="464"/>
      <c r="AD151" s="464"/>
      <c r="AE151" s="464"/>
      <c r="AF151" s="464"/>
      <c r="AG151" s="464"/>
      <c r="AH151" s="464"/>
      <c r="AI151" s="464"/>
      <c r="AJ151" s="464"/>
      <c r="AK151" s="464"/>
      <c r="AL151" s="464"/>
      <c r="AM151" s="464"/>
      <c r="AN151" s="464"/>
      <c r="AO151" s="464"/>
      <c r="AP151" s="464"/>
      <c r="AQ151" s="464"/>
      <c r="AR151" s="464"/>
      <c r="AS151" s="464"/>
      <c r="AT151" s="464"/>
      <c r="AU151" s="464"/>
      <c r="AV151" s="464"/>
      <c r="AW151" s="464"/>
      <c r="AX151" s="464"/>
      <c r="AY151" s="464"/>
      <c r="AZ151" s="464"/>
      <c r="BA151" s="464"/>
      <c r="BB151" s="464"/>
      <c r="BC151" s="464"/>
      <c r="BD151" s="464"/>
      <c r="BE151" s="464"/>
      <c r="BF151" s="464"/>
      <c r="BG151" s="464"/>
      <c r="BH151" s="464"/>
      <c r="BI151" s="464"/>
      <c r="BJ151" s="464"/>
      <c r="BK151" s="464"/>
      <c r="BL151" s="464"/>
      <c r="BM151" s="464"/>
    </row>
    <row r="152">
      <c r="A152" s="398"/>
      <c r="B152" s="464"/>
      <c r="C152" s="464"/>
      <c r="D152" s="464"/>
      <c r="E152" s="464"/>
      <c r="F152" s="464"/>
      <c r="G152" s="464"/>
      <c r="H152" s="464"/>
      <c r="I152" s="464"/>
      <c r="J152" s="464"/>
      <c r="K152" s="464"/>
      <c r="L152" s="464"/>
      <c r="M152" s="441" t="s">
        <v>1441</v>
      </c>
      <c r="N152" s="539">
        <v>0.85108222</v>
      </c>
      <c r="O152" s="539">
        <v>0.356246363</v>
      </c>
      <c r="P152" s="537">
        <f t="shared" si="229"/>
        <v>0</v>
      </c>
      <c r="Q152" s="537"/>
      <c r="R152" s="537">
        <v>1.9042374526547454</v>
      </c>
      <c r="S152" s="537">
        <v>2.45315795147342</v>
      </c>
      <c r="T152" s="537">
        <v>0.0</v>
      </c>
      <c r="U152" s="464"/>
      <c r="V152" s="464"/>
      <c r="W152" s="464"/>
      <c r="X152" s="464"/>
      <c r="Y152" s="464"/>
      <c r="Z152" s="464"/>
      <c r="AA152" s="464"/>
      <c r="AB152" s="464"/>
      <c r="AC152" s="464"/>
      <c r="AD152" s="464"/>
      <c r="AE152" s="464"/>
      <c r="AF152" s="464"/>
      <c r="AG152" s="464"/>
      <c r="AH152" s="464"/>
      <c r="AI152" s="464"/>
      <c r="AJ152" s="464"/>
      <c r="AK152" s="464"/>
      <c r="AL152" s="464"/>
      <c r="AM152" s="464"/>
      <c r="AN152" s="464"/>
      <c r="AO152" s="464"/>
      <c r="AP152" s="464"/>
      <c r="AQ152" s="464"/>
      <c r="AR152" s="464"/>
      <c r="AS152" s="464"/>
      <c r="AT152" s="464"/>
      <c r="AU152" s="464"/>
      <c r="AV152" s="464"/>
      <c r="AW152" s="464"/>
      <c r="AX152" s="464"/>
      <c r="AY152" s="464"/>
      <c r="AZ152" s="464"/>
      <c r="BA152" s="464"/>
      <c r="BB152" s="464"/>
      <c r="BC152" s="464"/>
      <c r="BD152" s="464"/>
      <c r="BE152" s="464"/>
      <c r="BF152" s="464"/>
      <c r="BG152" s="464"/>
      <c r="BH152" s="464"/>
      <c r="BI152" s="464"/>
      <c r="BJ152" s="464"/>
      <c r="BK152" s="464"/>
      <c r="BL152" s="464"/>
      <c r="BM152" s="464"/>
    </row>
    <row r="153">
      <c r="A153" s="466" t="s">
        <v>1573</v>
      </c>
      <c r="B153" s="345" t="s">
        <v>389</v>
      </c>
      <c r="C153" s="346" t="s">
        <v>420</v>
      </c>
      <c r="D153" s="347" t="s">
        <v>358</v>
      </c>
      <c r="E153" s="348" t="s">
        <v>363</v>
      </c>
      <c r="F153" s="349" t="s">
        <v>413</v>
      </c>
      <c r="G153" s="350" t="s">
        <v>357</v>
      </c>
      <c r="H153" s="351" t="s">
        <v>380</v>
      </c>
      <c r="I153" s="352" t="s">
        <v>387</v>
      </c>
      <c r="J153" s="464"/>
      <c r="K153" s="464"/>
      <c r="L153" s="464"/>
      <c r="M153" s="442" t="s">
        <v>1442</v>
      </c>
      <c r="N153" s="539">
        <v>0.79910506</v>
      </c>
      <c r="O153" s="539">
        <v>0.3713611</v>
      </c>
      <c r="P153" s="537">
        <f t="shared" si="229"/>
        <v>0</v>
      </c>
      <c r="Q153" s="537">
        <f>Q122</f>
        <v>0.113842067</v>
      </c>
      <c r="R153" s="537">
        <v>2.8115908800430502</v>
      </c>
      <c r="S153" s="537">
        <v>3.4578927253387004</v>
      </c>
      <c r="T153" s="537">
        <v>0.038834951456310676</v>
      </c>
      <c r="U153" s="464"/>
      <c r="V153" s="464"/>
      <c r="W153" s="464"/>
      <c r="X153" s="464"/>
      <c r="Y153" s="464"/>
      <c r="Z153" s="464"/>
      <c r="AA153" s="464"/>
      <c r="AB153" s="464"/>
      <c r="AC153" s="464"/>
      <c r="AD153" s="464"/>
      <c r="AE153" s="464"/>
      <c r="AF153" s="464"/>
      <c r="AG153" s="464"/>
      <c r="AH153" s="464"/>
      <c r="AI153" s="464"/>
      <c r="AJ153" s="464"/>
      <c r="AK153" s="464"/>
      <c r="AL153" s="464"/>
      <c r="AM153" s="464"/>
      <c r="AN153" s="464"/>
      <c r="AO153" s="464"/>
      <c r="AP153" s="464"/>
      <c r="AQ153" s="464"/>
      <c r="AR153" s="464"/>
      <c r="AS153" s="464"/>
      <c r="AT153" s="464"/>
      <c r="AU153" s="464"/>
      <c r="AV153" s="464"/>
      <c r="AW153" s="464"/>
      <c r="AX153" s="464"/>
      <c r="AY153" s="464"/>
      <c r="AZ153" s="464"/>
      <c r="BA153" s="464"/>
      <c r="BB153" s="464"/>
      <c r="BC153" s="464"/>
      <c r="BD153" s="464"/>
      <c r="BE153" s="464"/>
      <c r="BF153" s="464"/>
      <c r="BG153" s="464"/>
      <c r="BH153" s="464"/>
      <c r="BI153" s="464"/>
      <c r="BJ153" s="464"/>
      <c r="BK153" s="464"/>
      <c r="BL153" s="464"/>
      <c r="BM153" s="464"/>
    </row>
    <row r="154">
      <c r="A154" s="345" t="s">
        <v>389</v>
      </c>
      <c r="B154" s="464"/>
      <c r="C154" s="464">
        <f t="shared" ref="C154:I154" si="268">$B$141/C141</f>
        <v>0.8571428571</v>
      </c>
      <c r="D154" s="464">
        <f t="shared" si="268"/>
        <v>0.1153846154</v>
      </c>
      <c r="E154" s="464">
        <f t="shared" si="268"/>
        <v>0.1363636364</v>
      </c>
      <c r="F154" s="464">
        <f t="shared" si="268"/>
        <v>0.1290322581</v>
      </c>
      <c r="G154" s="464">
        <f t="shared" si="268"/>
        <v>0.03149606299</v>
      </c>
      <c r="H154" s="464">
        <f t="shared" si="268"/>
        <v>0.2666666667</v>
      </c>
      <c r="I154" s="464">
        <f t="shared" si="268"/>
        <v>1.5</v>
      </c>
      <c r="J154" s="464"/>
      <c r="K154" s="464"/>
      <c r="L154" s="464"/>
      <c r="M154" s="443" t="s">
        <v>1443</v>
      </c>
      <c r="N154" s="539">
        <v>0.09748919</v>
      </c>
      <c r="O154" s="539">
        <v>0.7548638</v>
      </c>
      <c r="P154" s="537">
        <f t="shared" si="229"/>
        <v>0</v>
      </c>
      <c r="Q154" s="537">
        <f>Q129</f>
        <v>0.117149808</v>
      </c>
      <c r="R154" s="537">
        <v>2.8115908800430502</v>
      </c>
      <c r="S154" s="537">
        <v>3.3037420455114423</v>
      </c>
      <c r="T154" s="537">
        <v>0.019417475728155338</v>
      </c>
      <c r="U154" s="464"/>
      <c r="V154" s="464"/>
      <c r="W154" s="464"/>
      <c r="X154" s="464"/>
      <c r="Y154" s="464"/>
      <c r="Z154" s="464"/>
      <c r="AA154" s="464"/>
      <c r="AB154" s="464"/>
      <c r="AC154" s="464"/>
      <c r="AD154" s="464"/>
      <c r="AE154" s="464"/>
      <c r="AF154" s="464"/>
      <c r="AG154" s="464"/>
      <c r="AH154" s="464"/>
      <c r="AI154" s="464"/>
      <c r="AJ154" s="464"/>
      <c r="AK154" s="464"/>
      <c r="AL154" s="464"/>
      <c r="AM154" s="464"/>
      <c r="AN154" s="464"/>
      <c r="AO154" s="464"/>
      <c r="AP154" s="464"/>
      <c r="AQ154" s="464"/>
      <c r="AR154" s="464"/>
      <c r="AS154" s="464"/>
      <c r="AT154" s="464"/>
      <c r="AU154" s="464"/>
      <c r="AV154" s="464"/>
      <c r="AW154" s="464"/>
      <c r="AX154" s="464"/>
      <c r="AY154" s="464"/>
      <c r="AZ154" s="464"/>
      <c r="BA154" s="464"/>
      <c r="BB154" s="464"/>
      <c r="BC154" s="464"/>
      <c r="BD154" s="464"/>
      <c r="BE154" s="464"/>
      <c r="BF154" s="464"/>
      <c r="BG154" s="464"/>
      <c r="BH154" s="464"/>
      <c r="BI154" s="464"/>
      <c r="BJ154" s="464"/>
      <c r="BK154" s="464"/>
      <c r="BL154" s="464"/>
      <c r="BM154" s="464"/>
    </row>
    <row r="155">
      <c r="A155" s="346" t="s">
        <v>420</v>
      </c>
      <c r="B155" s="464">
        <f>$C$141/B141</f>
        <v>1.166666667</v>
      </c>
      <c r="C155" s="464"/>
      <c r="D155" s="464">
        <f t="shared" ref="D155:I155" si="269">$C$141/D141</f>
        <v>0.1346153846</v>
      </c>
      <c r="E155" s="464">
        <f t="shared" si="269"/>
        <v>0.1590909091</v>
      </c>
      <c r="F155" s="464">
        <f t="shared" si="269"/>
        <v>0.1505376344</v>
      </c>
      <c r="G155" s="464">
        <f t="shared" si="269"/>
        <v>0.03674540682</v>
      </c>
      <c r="H155" s="464">
        <f t="shared" si="269"/>
        <v>0.3111111111</v>
      </c>
      <c r="I155" s="464">
        <f t="shared" si="269"/>
        <v>1.75</v>
      </c>
      <c r="J155" s="464"/>
      <c r="K155" s="464"/>
      <c r="L155" s="464"/>
      <c r="M155" s="444" t="s">
        <v>1444</v>
      </c>
      <c r="N155" s="539">
        <v>0.06493201</v>
      </c>
      <c r="O155" s="539">
        <v>0.798864</v>
      </c>
      <c r="P155" s="537">
        <f t="shared" si="229"/>
        <v>0</v>
      </c>
      <c r="Q155" s="537">
        <f>Q136</f>
        <v>0.132499419</v>
      </c>
      <c r="R155" s="537">
        <v>1.0198314108149955</v>
      </c>
      <c r="S155" s="537">
        <v>1.2984084759853283</v>
      </c>
      <c r="T155" s="537">
        <v>0.13592233009708737</v>
      </c>
      <c r="U155" s="464"/>
      <c r="V155" s="464"/>
      <c r="W155" s="464"/>
      <c r="X155" s="464"/>
      <c r="Y155" s="464"/>
      <c r="Z155" s="464"/>
      <c r="AA155" s="464"/>
      <c r="AB155" s="464"/>
      <c r="AC155" s="464"/>
      <c r="AD155" s="464"/>
      <c r="AE155" s="464"/>
      <c r="AF155" s="464"/>
      <c r="AG155" s="464"/>
      <c r="AH155" s="464"/>
      <c r="AI155" s="464"/>
      <c r="AJ155" s="464"/>
      <c r="AK155" s="464"/>
      <c r="AL155" s="464"/>
      <c r="AM155" s="464"/>
      <c r="AN155" s="464"/>
      <c r="AO155" s="464"/>
      <c r="AP155" s="464"/>
      <c r="AQ155" s="464"/>
      <c r="AR155" s="464"/>
      <c r="AS155" s="464"/>
      <c r="AT155" s="464"/>
      <c r="AU155" s="464"/>
      <c r="AV155" s="464"/>
      <c r="AW155" s="464"/>
      <c r="AX155" s="464"/>
      <c r="AY155" s="464"/>
      <c r="AZ155" s="464"/>
      <c r="BA155" s="464"/>
      <c r="BB155" s="464"/>
      <c r="BC155" s="464"/>
      <c r="BD155" s="464"/>
      <c r="BE155" s="464"/>
      <c r="BF155" s="464"/>
      <c r="BG155" s="464"/>
      <c r="BH155" s="464"/>
      <c r="BI155" s="464"/>
      <c r="BJ155" s="464"/>
      <c r="BK155" s="464"/>
      <c r="BL155" s="464"/>
      <c r="BM155" s="464"/>
    </row>
    <row r="156">
      <c r="A156" s="347" t="s">
        <v>358</v>
      </c>
      <c r="B156" s="464">
        <f t="shared" ref="B156:C156" si="270">$D$141/B141</f>
        <v>8.666666667</v>
      </c>
      <c r="C156" s="464">
        <f t="shared" si="270"/>
        <v>7.428571429</v>
      </c>
      <c r="D156" s="464"/>
      <c r="E156" s="464">
        <f t="shared" ref="E156:I156" si="271">$D$141/E141</f>
        <v>1.181818182</v>
      </c>
      <c r="F156" s="464">
        <f t="shared" si="271"/>
        <v>1.11827957</v>
      </c>
      <c r="G156" s="464">
        <f t="shared" si="271"/>
        <v>0.2729658793</v>
      </c>
      <c r="H156" s="464">
        <f t="shared" si="271"/>
        <v>2.311111111</v>
      </c>
      <c r="I156" s="464">
        <f t="shared" si="271"/>
        <v>13</v>
      </c>
      <c r="J156" s="464"/>
      <c r="K156" s="464"/>
      <c r="L156" s="464"/>
      <c r="M156" s="445" t="s">
        <v>1445</v>
      </c>
      <c r="N156" s="539">
        <v>1.41880716</v>
      </c>
      <c r="O156" s="539">
        <v>0.2335998</v>
      </c>
      <c r="P156" s="537">
        <f t="shared" si="229"/>
        <v>0</v>
      </c>
      <c r="Q156" s="537">
        <f>Q143</f>
        <v>0.11648931</v>
      </c>
      <c r="R156" s="537">
        <v>1.1490431422950016</v>
      </c>
      <c r="S156" s="537">
        <v>1.4654625606484946</v>
      </c>
      <c r="T156" s="537">
        <v>0.1650485436893204</v>
      </c>
      <c r="U156" s="464"/>
      <c r="V156" s="464"/>
      <c r="W156" s="464"/>
      <c r="X156" s="464"/>
      <c r="Y156" s="464"/>
      <c r="Z156" s="464"/>
      <c r="AA156" s="464"/>
      <c r="AB156" s="464"/>
      <c r="AC156" s="464"/>
      <c r="AD156" s="464"/>
      <c r="AE156" s="464"/>
      <c r="AF156" s="464"/>
      <c r="AG156" s="464"/>
      <c r="AH156" s="464"/>
      <c r="AI156" s="464"/>
      <c r="AJ156" s="464"/>
      <c r="AK156" s="464"/>
      <c r="AL156" s="464"/>
      <c r="AM156" s="464"/>
      <c r="AN156" s="464"/>
      <c r="AO156" s="464"/>
      <c r="AP156" s="464"/>
      <c r="AQ156" s="464"/>
      <c r="AR156" s="464"/>
      <c r="AS156" s="464"/>
      <c r="AT156" s="464"/>
      <c r="AU156" s="464"/>
      <c r="AV156" s="464"/>
      <c r="AW156" s="464"/>
      <c r="AX156" s="464"/>
      <c r="AY156" s="464"/>
      <c r="AZ156" s="464"/>
      <c r="BA156" s="464"/>
      <c r="BB156" s="464"/>
      <c r="BC156" s="464"/>
      <c r="BD156" s="464"/>
      <c r="BE156" s="464"/>
      <c r="BF156" s="464"/>
      <c r="BG156" s="464"/>
      <c r="BH156" s="464"/>
      <c r="BI156" s="464"/>
      <c r="BJ156" s="464"/>
      <c r="BK156" s="464"/>
      <c r="BL156" s="464"/>
      <c r="BM156" s="464"/>
    </row>
    <row r="157">
      <c r="A157" s="348" t="s">
        <v>363</v>
      </c>
      <c r="B157" s="464">
        <f t="shared" ref="B157:D157" si="272">$E$141/B141</f>
        <v>7.333333333</v>
      </c>
      <c r="C157" s="464">
        <f t="shared" si="272"/>
        <v>6.285714286</v>
      </c>
      <c r="D157" s="464">
        <f t="shared" si="272"/>
        <v>0.8461538462</v>
      </c>
      <c r="E157" s="464"/>
      <c r="F157" s="464">
        <f t="shared" ref="F157:I157" si="273">$E$141/F141</f>
        <v>0.9462365591</v>
      </c>
      <c r="G157" s="464">
        <f t="shared" si="273"/>
        <v>0.2309711286</v>
      </c>
      <c r="H157" s="464">
        <f t="shared" si="273"/>
        <v>1.955555556</v>
      </c>
      <c r="I157" s="464">
        <f t="shared" si="273"/>
        <v>11</v>
      </c>
      <c r="J157" s="464"/>
      <c r="K157" s="464"/>
      <c r="L157" s="464"/>
      <c r="M157" s="446" t="s">
        <v>1446</v>
      </c>
      <c r="N157" s="539">
        <v>0.29021299</v>
      </c>
      <c r="O157" s="539">
        <v>0.5900841</v>
      </c>
      <c r="P157" s="537">
        <f t="shared" si="229"/>
        <v>0</v>
      </c>
      <c r="Q157" s="537">
        <f>Q150</f>
        <v>0.119967925</v>
      </c>
      <c r="R157" s="537">
        <v>1.3593385511313625</v>
      </c>
      <c r="S157" s="537">
        <v>1.410199881973445</v>
      </c>
      <c r="T157" s="537">
        <v>0.08737864077669903</v>
      </c>
      <c r="U157" s="464"/>
      <c r="V157" s="464"/>
      <c r="W157" s="464"/>
      <c r="X157" s="464"/>
      <c r="Y157" s="464"/>
      <c r="Z157" s="464"/>
      <c r="AA157" s="464"/>
      <c r="AB157" s="464"/>
      <c r="AC157" s="464"/>
      <c r="AD157" s="464"/>
      <c r="AE157" s="464"/>
      <c r="AF157" s="464"/>
      <c r="AG157" s="464"/>
      <c r="AH157" s="464"/>
      <c r="AI157" s="464"/>
      <c r="AJ157" s="464"/>
      <c r="AK157" s="464"/>
      <c r="AL157" s="464"/>
      <c r="AM157" s="464"/>
      <c r="AN157" s="464"/>
      <c r="AO157" s="464"/>
      <c r="AP157" s="464"/>
      <c r="AQ157" s="464"/>
      <c r="AR157" s="464"/>
      <c r="AS157" s="464"/>
      <c r="AT157" s="464"/>
      <c r="AU157" s="464"/>
      <c r="AV157" s="464"/>
      <c r="AW157" s="464"/>
      <c r="AX157" s="464"/>
      <c r="AY157" s="464"/>
      <c r="AZ157" s="464"/>
      <c r="BA157" s="464"/>
      <c r="BB157" s="464"/>
      <c r="BC157" s="464"/>
      <c r="BD157" s="464"/>
      <c r="BE157" s="464"/>
      <c r="BF157" s="464"/>
      <c r="BG157" s="464"/>
      <c r="BH157" s="464"/>
      <c r="BI157" s="464"/>
      <c r="BJ157" s="464"/>
      <c r="BK157" s="464"/>
      <c r="BL157" s="464"/>
      <c r="BM157" s="464"/>
    </row>
    <row r="158">
      <c r="A158" s="349" t="s">
        <v>413</v>
      </c>
      <c r="B158" s="464">
        <f t="shared" ref="B158:E158" si="274">$F$141/B141</f>
        <v>7.75</v>
      </c>
      <c r="C158" s="464">
        <f t="shared" si="274"/>
        <v>6.642857143</v>
      </c>
      <c r="D158" s="464">
        <f t="shared" si="274"/>
        <v>0.8942307692</v>
      </c>
      <c r="E158" s="464">
        <f t="shared" si="274"/>
        <v>1.056818182</v>
      </c>
      <c r="F158" s="464"/>
      <c r="G158" s="464">
        <f t="shared" ref="G158:I158" si="275">$F$141/G141</f>
        <v>0.2440944882</v>
      </c>
      <c r="H158" s="464">
        <f t="shared" si="275"/>
        <v>2.066666667</v>
      </c>
      <c r="I158" s="464">
        <f t="shared" si="275"/>
        <v>11.625</v>
      </c>
      <c r="J158" s="464"/>
      <c r="K158" s="464"/>
      <c r="L158" s="464"/>
      <c r="M158" s="447" t="s">
        <v>1129</v>
      </c>
      <c r="N158" s="539">
        <v>0.54406551</v>
      </c>
      <c r="O158" s="539">
        <v>0.4607527</v>
      </c>
      <c r="P158" s="537">
        <f t="shared" si="229"/>
        <v>0</v>
      </c>
      <c r="Q158" s="537"/>
      <c r="R158" s="537">
        <v>1.5206066987274847</v>
      </c>
      <c r="S158" s="537">
        <v>2.136136885356381</v>
      </c>
      <c r="T158" s="537">
        <v>0.06796116504854369</v>
      </c>
      <c r="U158" s="464"/>
      <c r="V158" s="464"/>
      <c r="W158" s="464"/>
      <c r="X158" s="464"/>
      <c r="Y158" s="464"/>
      <c r="Z158" s="464"/>
      <c r="AA158" s="464"/>
      <c r="AB158" s="464"/>
      <c r="AC158" s="464"/>
      <c r="AD158" s="464"/>
      <c r="AE158" s="464"/>
      <c r="AF158" s="464"/>
      <c r="AG158" s="464"/>
      <c r="AH158" s="464"/>
      <c r="AI158" s="464"/>
      <c r="AJ158" s="464"/>
      <c r="AK158" s="464"/>
      <c r="AL158" s="464"/>
      <c r="AM158" s="464"/>
      <c r="AN158" s="464"/>
      <c r="AO158" s="464"/>
      <c r="AP158" s="464"/>
      <c r="AQ158" s="464"/>
      <c r="AR158" s="464"/>
      <c r="AS158" s="464"/>
      <c r="AT158" s="464"/>
      <c r="AU158" s="464"/>
      <c r="AV158" s="464"/>
      <c r="AW158" s="464"/>
      <c r="AX158" s="464"/>
      <c r="AY158" s="464"/>
      <c r="AZ158" s="464"/>
      <c r="BA158" s="464"/>
      <c r="BB158" s="464"/>
      <c r="BC158" s="464"/>
      <c r="BD158" s="464"/>
      <c r="BE158" s="464"/>
      <c r="BF158" s="464"/>
      <c r="BG158" s="464"/>
      <c r="BH158" s="464"/>
      <c r="BI158" s="464"/>
      <c r="BJ158" s="464"/>
      <c r="BK158" s="464"/>
      <c r="BL158" s="464"/>
      <c r="BM158" s="464"/>
    </row>
    <row r="159">
      <c r="A159" s="350" t="s">
        <v>357</v>
      </c>
      <c r="B159" s="464">
        <f t="shared" ref="B159:F159" si="276">$G$141/B141</f>
        <v>31.75</v>
      </c>
      <c r="C159" s="464">
        <f t="shared" si="276"/>
        <v>27.21428571</v>
      </c>
      <c r="D159" s="464">
        <f t="shared" si="276"/>
        <v>3.663461538</v>
      </c>
      <c r="E159" s="464">
        <f t="shared" si="276"/>
        <v>4.329545455</v>
      </c>
      <c r="F159" s="464">
        <f t="shared" si="276"/>
        <v>4.096774194</v>
      </c>
      <c r="G159" s="464"/>
      <c r="H159" s="464">
        <f t="shared" ref="H159:I159" si="277">$G$141/H141</f>
        <v>8.466666667</v>
      </c>
      <c r="I159" s="464">
        <f t="shared" si="277"/>
        <v>47.625</v>
      </c>
      <c r="J159" s="464"/>
      <c r="K159" s="464"/>
      <c r="L159" s="464"/>
      <c r="M159" s="448" t="s">
        <v>1447</v>
      </c>
      <c r="N159" s="539">
        <v>0.23683271</v>
      </c>
      <c r="O159" s="539">
        <v>0.6265031</v>
      </c>
      <c r="P159" s="537">
        <f t="shared" si="229"/>
        <v>0</v>
      </c>
      <c r="Q159" s="537"/>
      <c r="R159" s="537">
        <v>3.263576003786108</v>
      </c>
      <c r="S159" s="537">
        <v>3.863357833446865</v>
      </c>
      <c r="T159" s="537">
        <v>0.009708737864077669</v>
      </c>
      <c r="U159" s="464"/>
      <c r="V159" s="464"/>
      <c r="W159" s="464"/>
      <c r="X159" s="464"/>
      <c r="Y159" s="464"/>
      <c r="Z159" s="464"/>
      <c r="AA159" s="464"/>
      <c r="AB159" s="464"/>
      <c r="AC159" s="464"/>
      <c r="AD159" s="464"/>
      <c r="AE159" s="464"/>
      <c r="AF159" s="464"/>
      <c r="AG159" s="464"/>
      <c r="AH159" s="464"/>
      <c r="AI159" s="464"/>
      <c r="AJ159" s="464"/>
      <c r="AK159" s="464"/>
      <c r="AL159" s="464"/>
      <c r="AM159" s="464"/>
      <c r="AN159" s="464"/>
      <c r="AO159" s="464"/>
      <c r="AP159" s="464"/>
      <c r="AQ159" s="464"/>
      <c r="AR159" s="464"/>
      <c r="AS159" s="464"/>
      <c r="AT159" s="464"/>
      <c r="AU159" s="464"/>
      <c r="AV159" s="464"/>
      <c r="AW159" s="464"/>
      <c r="AX159" s="464"/>
      <c r="AY159" s="464"/>
      <c r="AZ159" s="464"/>
      <c r="BA159" s="464"/>
      <c r="BB159" s="464"/>
      <c r="BC159" s="464"/>
      <c r="BD159" s="464"/>
      <c r="BE159" s="464"/>
      <c r="BF159" s="464"/>
      <c r="BG159" s="464"/>
      <c r="BH159" s="464"/>
      <c r="BI159" s="464"/>
      <c r="BJ159" s="464"/>
      <c r="BK159" s="464"/>
      <c r="BL159" s="464"/>
      <c r="BM159" s="464"/>
    </row>
    <row r="160">
      <c r="A160" s="351" t="s">
        <v>380</v>
      </c>
      <c r="B160" s="464">
        <f t="shared" ref="B160:G160" si="278">$H$141/B141</f>
        <v>3.75</v>
      </c>
      <c r="C160" s="464">
        <f t="shared" si="278"/>
        <v>3.214285714</v>
      </c>
      <c r="D160" s="464">
        <f t="shared" si="278"/>
        <v>0.4326923077</v>
      </c>
      <c r="E160" s="464">
        <f t="shared" si="278"/>
        <v>0.5113636364</v>
      </c>
      <c r="F160" s="464">
        <f t="shared" si="278"/>
        <v>0.4838709677</v>
      </c>
      <c r="G160" s="464">
        <f t="shared" si="278"/>
        <v>0.1181102362</v>
      </c>
      <c r="H160" s="464"/>
      <c r="I160" s="464">
        <f>$H$141/I141</f>
        <v>5.625</v>
      </c>
      <c r="J160" s="464"/>
      <c r="K160" s="464"/>
      <c r="L160" s="464"/>
      <c r="M160" s="449" t="s">
        <v>1448</v>
      </c>
      <c r="N160" s="539">
        <v>0.80634252</v>
      </c>
      <c r="O160" s="539">
        <v>0.3692038</v>
      </c>
      <c r="P160" s="537">
        <f t="shared" si="229"/>
        <v>0</v>
      </c>
      <c r="Q160" s="537"/>
      <c r="R160" s="537">
        <v>1.2909841813155658</v>
      </c>
      <c r="S160" s="537">
        <v>1.3217558399823195</v>
      </c>
      <c r="T160" s="537">
        <v>0.0</v>
      </c>
      <c r="U160" s="464"/>
      <c r="V160" s="464"/>
      <c r="W160" s="464"/>
      <c r="X160" s="464"/>
      <c r="Y160" s="464"/>
      <c r="Z160" s="464"/>
      <c r="AA160" s="464"/>
      <c r="AB160" s="464"/>
      <c r="AC160" s="464"/>
      <c r="AD160" s="464"/>
      <c r="AE160" s="464"/>
      <c r="AF160" s="464"/>
      <c r="AG160" s="464"/>
      <c r="AH160" s="464"/>
      <c r="AI160" s="464"/>
      <c r="AJ160" s="464"/>
      <c r="AK160" s="464"/>
      <c r="AL160" s="464"/>
      <c r="AM160" s="464"/>
      <c r="AN160" s="464"/>
      <c r="AO160" s="464"/>
      <c r="AP160" s="464"/>
      <c r="AQ160" s="464"/>
      <c r="AR160" s="464"/>
      <c r="AS160" s="464"/>
      <c r="AT160" s="464"/>
      <c r="AU160" s="464"/>
      <c r="AV160" s="464"/>
      <c r="AW160" s="464"/>
      <c r="AX160" s="464"/>
      <c r="AY160" s="464"/>
      <c r="AZ160" s="464"/>
      <c r="BA160" s="464"/>
      <c r="BB160" s="464"/>
      <c r="BC160" s="464"/>
      <c r="BD160" s="464"/>
      <c r="BE160" s="464"/>
      <c r="BF160" s="464"/>
      <c r="BG160" s="464"/>
      <c r="BH160" s="464"/>
      <c r="BI160" s="464"/>
      <c r="BJ160" s="464"/>
      <c r="BK160" s="464"/>
      <c r="BL160" s="464"/>
      <c r="BM160" s="464"/>
    </row>
    <row r="161">
      <c r="A161" s="352" t="s">
        <v>387</v>
      </c>
      <c r="B161" s="464">
        <f t="shared" ref="B161:H161" si="279">$I$141/B141</f>
        <v>0.6666666667</v>
      </c>
      <c r="C161" s="464">
        <f t="shared" si="279"/>
        <v>0.5714285714</v>
      </c>
      <c r="D161" s="464">
        <f t="shared" si="279"/>
        <v>0.07692307692</v>
      </c>
      <c r="E161" s="464">
        <f t="shared" si="279"/>
        <v>0.09090909091</v>
      </c>
      <c r="F161" s="464">
        <f t="shared" si="279"/>
        <v>0.08602150538</v>
      </c>
      <c r="G161" s="464">
        <f t="shared" si="279"/>
        <v>0.02099737533</v>
      </c>
      <c r="H161" s="464">
        <f t="shared" si="279"/>
        <v>0.1777777778</v>
      </c>
      <c r="I161" s="464"/>
      <c r="J161" s="464"/>
      <c r="K161" s="464"/>
      <c r="L161" s="464"/>
      <c r="M161" s="450" t="s">
        <v>1449</v>
      </c>
      <c r="N161" s="539">
        <v>2.24587543</v>
      </c>
      <c r="O161" s="539">
        <v>0.1339711</v>
      </c>
      <c r="P161" s="537">
        <f t="shared" si="229"/>
        <v>0</v>
      </c>
      <c r="Q161" s="537"/>
      <c r="R161" s="537">
        <v>1.2909841813155658</v>
      </c>
      <c r="S161" s="537">
        <v>1.1676051601550612</v>
      </c>
      <c r="T161" s="537">
        <v>0.019417475728155338</v>
      </c>
      <c r="U161" s="464"/>
      <c r="V161" s="464"/>
      <c r="W161" s="464"/>
      <c r="X161" s="464"/>
      <c r="Y161" s="464"/>
      <c r="Z161" s="464"/>
      <c r="AA161" s="464"/>
      <c r="AB161" s="464"/>
      <c r="AC161" s="464"/>
      <c r="AD161" s="464"/>
      <c r="AE161" s="464"/>
      <c r="AF161" s="464"/>
      <c r="AG161" s="464"/>
      <c r="AH161" s="464"/>
      <c r="AI161" s="464"/>
      <c r="AJ161" s="464"/>
      <c r="AK161" s="464"/>
      <c r="AL161" s="464"/>
      <c r="AM161" s="464"/>
      <c r="AN161" s="464"/>
      <c r="AO161" s="464"/>
      <c r="AP161" s="464"/>
      <c r="AQ161" s="464"/>
      <c r="AR161" s="464"/>
      <c r="AS161" s="464"/>
      <c r="AT161" s="464"/>
      <c r="AU161" s="464"/>
      <c r="AV161" s="464"/>
      <c r="AW161" s="464"/>
      <c r="AX161" s="464"/>
      <c r="AY161" s="464"/>
      <c r="AZ161" s="464"/>
      <c r="BA161" s="464"/>
      <c r="BB161" s="464"/>
      <c r="BC161" s="464"/>
      <c r="BD161" s="464"/>
      <c r="BE161" s="464"/>
      <c r="BF161" s="464"/>
      <c r="BG161" s="464"/>
      <c r="BH161" s="464"/>
      <c r="BI161" s="464"/>
      <c r="BJ161" s="464"/>
      <c r="BK161" s="464"/>
      <c r="BL161" s="464"/>
      <c r="BM161" s="464"/>
    </row>
    <row r="162">
      <c r="A162" s="464"/>
      <c r="B162" s="464"/>
      <c r="C162" s="464"/>
      <c r="D162" s="464"/>
      <c r="E162" s="464"/>
      <c r="F162" s="464"/>
      <c r="G162" s="464"/>
      <c r="H162" s="464"/>
      <c r="I162" s="464"/>
      <c r="J162" s="464"/>
      <c r="K162" s="464"/>
      <c r="L162" s="464"/>
      <c r="M162" s="451" t="s">
        <v>1450</v>
      </c>
      <c r="N162" s="539">
        <v>1.24181211</v>
      </c>
      <c r="O162" s="539">
        <v>0.2651221</v>
      </c>
      <c r="P162" s="537">
        <f t="shared" si="229"/>
        <v>0</v>
      </c>
      <c r="Q162" s="537"/>
      <c r="R162" s="537">
        <v>0.5007752879124892</v>
      </c>
      <c r="S162" s="537">
        <v>0.8377284093710528</v>
      </c>
      <c r="T162" s="537">
        <v>0.04854368932038835</v>
      </c>
      <c r="U162" s="464"/>
      <c r="V162" s="464"/>
      <c r="W162" s="464"/>
      <c r="X162" s="464"/>
      <c r="Y162" s="464"/>
      <c r="Z162" s="464"/>
      <c r="AA162" s="464"/>
      <c r="AB162" s="464"/>
      <c r="AC162" s="464"/>
      <c r="AD162" s="464"/>
      <c r="AE162" s="464"/>
      <c r="AF162" s="464"/>
      <c r="AG162" s="464"/>
      <c r="AH162" s="464"/>
      <c r="AI162" s="464"/>
      <c r="AJ162" s="464"/>
      <c r="AK162" s="464"/>
      <c r="AL162" s="464"/>
      <c r="AM162" s="464"/>
      <c r="AN162" s="464"/>
      <c r="AO162" s="464"/>
      <c r="AP162" s="464"/>
      <c r="AQ162" s="464"/>
      <c r="AR162" s="464"/>
      <c r="AS162" s="464"/>
      <c r="AT162" s="464"/>
      <c r="AU162" s="464"/>
      <c r="AV162" s="464"/>
      <c r="AW162" s="464"/>
      <c r="AX162" s="464"/>
      <c r="AY162" s="464"/>
      <c r="AZ162" s="464"/>
      <c r="BA162" s="464"/>
      <c r="BB162" s="464"/>
      <c r="BC162" s="464"/>
      <c r="BD162" s="464"/>
      <c r="BE162" s="464"/>
      <c r="BF162" s="464"/>
      <c r="BG162" s="464"/>
      <c r="BH162" s="464"/>
      <c r="BI162" s="464"/>
      <c r="BJ162" s="464"/>
      <c r="BK162" s="464"/>
      <c r="BL162" s="464"/>
      <c r="BM162" s="464"/>
    </row>
    <row r="163">
      <c r="A163" s="464"/>
      <c r="B163" s="464"/>
      <c r="C163" s="464"/>
      <c r="D163" s="464"/>
      <c r="E163" s="464"/>
      <c r="F163" s="464"/>
      <c r="G163" s="464"/>
      <c r="H163" s="464"/>
      <c r="I163" s="464"/>
      <c r="J163" s="464"/>
      <c r="K163" s="464"/>
      <c r="L163" s="464"/>
      <c r="M163" s="452" t="s">
        <v>1451</v>
      </c>
      <c r="N163" s="539">
        <v>1.15847462</v>
      </c>
      <c r="O163" s="539">
        <v>0.2817821</v>
      </c>
      <c r="P163" s="537">
        <f t="shared" si="229"/>
        <v>0</v>
      </c>
      <c r="Q163" s="537"/>
      <c r="R163" s="537">
        <v>0.3715635564324831</v>
      </c>
      <c r="S163" s="537">
        <v>0.6706743247078867</v>
      </c>
      <c r="T163" s="537">
        <v>0.009708737864077669</v>
      </c>
      <c r="U163" s="464"/>
      <c r="V163" s="464"/>
      <c r="W163" s="464"/>
      <c r="X163" s="464"/>
      <c r="Y163" s="464"/>
      <c r="Z163" s="464"/>
      <c r="AA163" s="464"/>
      <c r="AB163" s="464"/>
      <c r="AC163" s="464"/>
      <c r="AD163" s="464"/>
      <c r="AE163" s="464"/>
      <c r="AF163" s="464"/>
      <c r="AG163" s="464"/>
      <c r="AH163" s="464"/>
      <c r="AI163" s="464"/>
      <c r="AJ163" s="464"/>
      <c r="AK163" s="464"/>
      <c r="AL163" s="464"/>
      <c r="AM163" s="464"/>
      <c r="AN163" s="464"/>
      <c r="AO163" s="464"/>
      <c r="AP163" s="464"/>
      <c r="AQ163" s="464"/>
      <c r="AR163" s="464"/>
      <c r="AS163" s="464"/>
      <c r="AT163" s="464"/>
      <c r="AU163" s="464"/>
      <c r="AV163" s="464"/>
      <c r="AW163" s="464"/>
      <c r="AX163" s="464"/>
      <c r="AY163" s="464"/>
      <c r="AZ163" s="464"/>
      <c r="BA163" s="464"/>
      <c r="BB163" s="464"/>
      <c r="BC163" s="464"/>
      <c r="BD163" s="464"/>
      <c r="BE163" s="464"/>
      <c r="BF163" s="464"/>
      <c r="BG163" s="464"/>
      <c r="BH163" s="464"/>
      <c r="BI163" s="464"/>
      <c r="BJ163" s="464"/>
      <c r="BK163" s="464"/>
      <c r="BL163" s="464"/>
      <c r="BM163" s="464"/>
    </row>
    <row r="164">
      <c r="A164" s="464"/>
      <c r="B164" s="464"/>
      <c r="C164" s="464"/>
      <c r="D164" s="464"/>
      <c r="E164" s="464"/>
      <c r="F164" s="464"/>
      <c r="G164" s="464"/>
      <c r="H164" s="464"/>
      <c r="I164" s="464"/>
      <c r="J164" s="464"/>
      <c r="K164" s="464"/>
      <c r="L164" s="464"/>
      <c r="M164" s="453" t="s">
        <v>1452</v>
      </c>
      <c r="N164" s="539">
        <v>0.00334117</v>
      </c>
      <c r="O164" s="539">
        <v>0.9539057</v>
      </c>
      <c r="P164" s="537">
        <f t="shared" si="229"/>
        <v>0</v>
      </c>
      <c r="Q164" s="537"/>
      <c r="R164" s="537">
        <v>0.16126814759612226</v>
      </c>
      <c r="S164" s="537">
        <v>0.7259370033829362</v>
      </c>
      <c r="T164" s="537">
        <v>0.019417475728155338</v>
      </c>
      <c r="U164" s="464"/>
      <c r="V164" s="464"/>
      <c r="W164" s="464"/>
      <c r="X164" s="464"/>
      <c r="Y164" s="464"/>
      <c r="Z164" s="464"/>
      <c r="AA164" s="464"/>
      <c r="AB164" s="464"/>
      <c r="AC164" s="464"/>
      <c r="AD164" s="464"/>
      <c r="AE164" s="464"/>
      <c r="AF164" s="464"/>
      <c r="AG164" s="464"/>
      <c r="AH164" s="464"/>
      <c r="AI164" s="464"/>
      <c r="AJ164" s="464"/>
      <c r="AK164" s="464"/>
      <c r="AL164" s="464"/>
      <c r="AM164" s="464"/>
      <c r="AN164" s="464"/>
      <c r="AO164" s="464"/>
      <c r="AP164" s="464"/>
      <c r="AQ164" s="464"/>
      <c r="AR164" s="464"/>
      <c r="AS164" s="464"/>
      <c r="AT164" s="464"/>
      <c r="AU164" s="464"/>
      <c r="AV164" s="464"/>
      <c r="AW164" s="464"/>
      <c r="AX164" s="464"/>
      <c r="AY164" s="464"/>
      <c r="AZ164" s="464"/>
      <c r="BA164" s="464"/>
      <c r="BB164" s="464"/>
      <c r="BC164" s="464"/>
      <c r="BD164" s="464"/>
      <c r="BE164" s="464"/>
      <c r="BF164" s="464"/>
      <c r="BG164" s="464"/>
      <c r="BH164" s="464"/>
      <c r="BI164" s="464"/>
      <c r="BJ164" s="464"/>
      <c r="BK164" s="464"/>
      <c r="BL164" s="464"/>
      <c r="BM164" s="464"/>
    </row>
    <row r="165">
      <c r="A165" s="464"/>
      <c r="B165" s="464"/>
      <c r="C165" s="464"/>
      <c r="D165" s="464"/>
      <c r="E165" s="464"/>
      <c r="F165" s="464"/>
      <c r="G165" s="464"/>
      <c r="H165" s="464"/>
      <c r="I165" s="464"/>
      <c r="J165" s="464"/>
      <c r="K165" s="464"/>
      <c r="L165" s="464"/>
      <c r="M165" s="454" t="s">
        <v>1453</v>
      </c>
      <c r="N165" s="539">
        <v>0.2435197</v>
      </c>
      <c r="O165" s="539">
        <v>0.6216755</v>
      </c>
      <c r="P165" s="537">
        <f t="shared" si="229"/>
        <v>0</v>
      </c>
      <c r="Q165" s="537"/>
      <c r="R165" s="537">
        <v>1.5206066987274847</v>
      </c>
      <c r="S165" s="537">
        <v>2.136136885356381</v>
      </c>
      <c r="T165" s="537">
        <v>0.06796116504854369</v>
      </c>
      <c r="U165" s="464"/>
      <c r="V165" s="464"/>
      <c r="W165" s="464"/>
      <c r="X165" s="464"/>
      <c r="Y165" s="464"/>
      <c r="Z165" s="464"/>
      <c r="AA165" s="464"/>
      <c r="AB165" s="464"/>
      <c r="AC165" s="464"/>
      <c r="AD165" s="464"/>
      <c r="AE165" s="464"/>
      <c r="AF165" s="464"/>
      <c r="AG165" s="464"/>
      <c r="AH165" s="464"/>
      <c r="AI165" s="464"/>
      <c r="AJ165" s="464"/>
      <c r="AK165" s="464"/>
      <c r="AL165" s="464"/>
      <c r="AM165" s="464"/>
      <c r="AN165" s="464"/>
      <c r="AO165" s="464"/>
      <c r="AP165" s="464"/>
      <c r="AQ165" s="464"/>
      <c r="AR165" s="464"/>
      <c r="AS165" s="464"/>
      <c r="AT165" s="464"/>
      <c r="AU165" s="464"/>
      <c r="AV165" s="464"/>
      <c r="AW165" s="464"/>
      <c r="AX165" s="464"/>
      <c r="AY165" s="464"/>
      <c r="AZ165" s="464"/>
      <c r="BA165" s="464"/>
      <c r="BB165" s="464"/>
      <c r="BC165" s="464"/>
      <c r="BD165" s="464"/>
      <c r="BE165" s="464"/>
      <c r="BF165" s="464"/>
      <c r="BG165" s="464"/>
      <c r="BH165" s="464"/>
      <c r="BI165" s="464"/>
      <c r="BJ165" s="464"/>
      <c r="BK165" s="464"/>
      <c r="BL165" s="464"/>
      <c r="BM165" s="464"/>
    </row>
    <row r="166">
      <c r="A166" s="464"/>
      <c r="B166" s="464"/>
      <c r="C166" s="464"/>
      <c r="D166" s="464"/>
      <c r="E166" s="464"/>
      <c r="F166" s="464"/>
      <c r="G166" s="464"/>
      <c r="H166" s="464"/>
      <c r="I166" s="464"/>
      <c r="J166" s="464"/>
      <c r="K166" s="464"/>
      <c r="L166" s="464"/>
      <c r="M166" s="455" t="s">
        <v>1454</v>
      </c>
      <c r="N166" s="539">
        <v>0.51040118</v>
      </c>
      <c r="O166" s="539">
        <v>0.4749652</v>
      </c>
      <c r="P166" s="537">
        <f t="shared" si="229"/>
        <v>0</v>
      </c>
      <c r="Q166" s="537"/>
      <c r="R166" s="537">
        <v>1.742969305058623</v>
      </c>
      <c r="S166" s="537">
        <v>1.7272209480904839</v>
      </c>
      <c r="T166" s="537">
        <v>0.0</v>
      </c>
      <c r="U166" s="464"/>
      <c r="V166" s="464"/>
      <c r="W166" s="464"/>
      <c r="X166" s="464"/>
      <c r="Y166" s="464"/>
      <c r="Z166" s="464"/>
      <c r="AA166" s="464"/>
      <c r="AB166" s="464"/>
      <c r="AC166" s="464"/>
      <c r="AD166" s="464"/>
      <c r="AE166" s="464"/>
      <c r="AF166" s="464"/>
      <c r="AG166" s="464"/>
      <c r="AH166" s="464"/>
      <c r="AI166" s="464"/>
      <c r="AJ166" s="464"/>
      <c r="AK166" s="464"/>
      <c r="AL166" s="464"/>
      <c r="AM166" s="464"/>
      <c r="AN166" s="464"/>
      <c r="AO166" s="464"/>
      <c r="AP166" s="464"/>
      <c r="AQ166" s="464"/>
      <c r="AR166" s="464"/>
      <c r="AS166" s="464"/>
      <c r="AT166" s="464"/>
      <c r="AU166" s="464"/>
      <c r="AV166" s="464"/>
      <c r="AW166" s="464"/>
      <c r="AX166" s="464"/>
      <c r="AY166" s="464"/>
      <c r="AZ166" s="464"/>
      <c r="BA166" s="464"/>
      <c r="BB166" s="464"/>
      <c r="BC166" s="464"/>
      <c r="BD166" s="464"/>
      <c r="BE166" s="464"/>
      <c r="BF166" s="464"/>
      <c r="BG166" s="464"/>
      <c r="BH166" s="464"/>
      <c r="BI166" s="464"/>
      <c r="BJ166" s="464"/>
      <c r="BK166" s="464"/>
      <c r="BL166" s="464"/>
      <c r="BM166" s="464"/>
    </row>
    <row r="167">
      <c r="A167" s="464"/>
      <c r="B167" s="464"/>
      <c r="C167" s="464"/>
      <c r="D167" s="464"/>
      <c r="E167" s="464"/>
      <c r="F167" s="464"/>
      <c r="G167" s="464"/>
      <c r="H167" s="464"/>
      <c r="I167" s="464"/>
      <c r="J167" s="464"/>
      <c r="K167" s="464"/>
      <c r="L167" s="464"/>
      <c r="M167" s="456" t="s">
        <v>1455</v>
      </c>
      <c r="N167" s="539">
        <v>0.04394245</v>
      </c>
      <c r="O167" s="539">
        <v>0.8339607</v>
      </c>
      <c r="P167" s="537">
        <f t="shared" si="229"/>
        <v>0</v>
      </c>
      <c r="Q167" s="537"/>
      <c r="R167" s="537">
        <v>0.45198512374305727</v>
      </c>
      <c r="S167" s="537">
        <v>0.4054651081081646</v>
      </c>
      <c r="T167" s="537">
        <v>0.0</v>
      </c>
      <c r="U167" s="464"/>
      <c r="V167" s="464"/>
      <c r="W167" s="464"/>
      <c r="X167" s="464"/>
      <c r="Y167" s="464"/>
      <c r="Z167" s="464"/>
      <c r="AA167" s="464"/>
      <c r="AB167" s="464"/>
      <c r="AC167" s="464"/>
      <c r="AD167" s="464"/>
      <c r="AE167" s="464"/>
      <c r="AF167" s="464"/>
      <c r="AG167" s="464"/>
      <c r="AH167" s="464"/>
      <c r="AI167" s="464"/>
      <c r="AJ167" s="464"/>
      <c r="AK167" s="464"/>
      <c r="AL167" s="464"/>
      <c r="AM167" s="464"/>
      <c r="AN167" s="464"/>
      <c r="AO167" s="464"/>
      <c r="AP167" s="464"/>
      <c r="AQ167" s="464"/>
      <c r="AR167" s="464"/>
      <c r="AS167" s="464"/>
      <c r="AT167" s="464"/>
      <c r="AU167" s="464"/>
      <c r="AV167" s="464"/>
      <c r="AW167" s="464"/>
      <c r="AX167" s="464"/>
      <c r="AY167" s="464"/>
      <c r="AZ167" s="464"/>
      <c r="BA167" s="464"/>
      <c r="BB167" s="464"/>
      <c r="BC167" s="464"/>
      <c r="BD167" s="464"/>
      <c r="BE167" s="464"/>
      <c r="BF167" s="464"/>
      <c r="BG167" s="464"/>
      <c r="BH167" s="464"/>
      <c r="BI167" s="464"/>
      <c r="BJ167" s="464"/>
      <c r="BK167" s="464"/>
      <c r="BL167" s="464"/>
      <c r="BM167" s="464"/>
    </row>
    <row r="168">
      <c r="A168" s="464"/>
      <c r="B168" s="464"/>
      <c r="C168" s="464"/>
      <c r="D168" s="464"/>
      <c r="E168" s="464"/>
      <c r="F168" s="464"/>
      <c r="G168" s="464"/>
      <c r="H168" s="464"/>
      <c r="I168" s="464"/>
      <c r="J168" s="464"/>
      <c r="K168" s="464"/>
      <c r="L168" s="464"/>
      <c r="M168" s="457" t="s">
        <v>1456</v>
      </c>
      <c r="N168" s="539">
        <v>0.04394245</v>
      </c>
      <c r="O168" s="539">
        <v>0.8339607</v>
      </c>
      <c r="P168" s="537">
        <f t="shared" si="229"/>
        <v>0</v>
      </c>
      <c r="Q168" s="537"/>
      <c r="R168" s="537">
        <v>0.45198512374305727</v>
      </c>
      <c r="S168" s="537">
        <v>0.5596157879354228</v>
      </c>
      <c r="T168" s="537">
        <v>0.0</v>
      </c>
      <c r="U168" s="464"/>
      <c r="V168" s="464"/>
      <c r="W168" s="464"/>
      <c r="X168" s="464"/>
      <c r="Y168" s="464"/>
      <c r="Z168" s="464"/>
      <c r="AA168" s="464"/>
      <c r="AB168" s="464"/>
      <c r="AC168" s="464"/>
      <c r="AD168" s="464"/>
      <c r="AE168" s="464"/>
      <c r="AF168" s="464"/>
      <c r="AG168" s="464"/>
      <c r="AH168" s="464"/>
      <c r="AI168" s="464"/>
      <c r="AJ168" s="464"/>
      <c r="AK168" s="464"/>
      <c r="AL168" s="464"/>
      <c r="AM168" s="464"/>
      <c r="AN168" s="464"/>
      <c r="AO168" s="464"/>
      <c r="AP168" s="464"/>
      <c r="AQ168" s="464"/>
      <c r="AR168" s="464"/>
      <c r="AS168" s="464"/>
      <c r="AT168" s="464"/>
      <c r="AU168" s="464"/>
      <c r="AV168" s="464"/>
      <c r="AW168" s="464"/>
      <c r="AX168" s="464"/>
      <c r="AY168" s="464"/>
      <c r="AZ168" s="464"/>
      <c r="BA168" s="464"/>
      <c r="BB168" s="464"/>
      <c r="BC168" s="464"/>
      <c r="BD168" s="464"/>
      <c r="BE168" s="464"/>
      <c r="BF168" s="464"/>
      <c r="BG168" s="464"/>
      <c r="BH168" s="464"/>
      <c r="BI168" s="464"/>
      <c r="BJ168" s="464"/>
      <c r="BK168" s="464"/>
      <c r="BL168" s="464"/>
      <c r="BM168" s="464"/>
    </row>
    <row r="169">
      <c r="A169" s="464"/>
      <c r="B169" s="464"/>
      <c r="C169" s="464"/>
      <c r="D169" s="464"/>
      <c r="E169" s="464"/>
      <c r="F169" s="464"/>
      <c r="G169" s="464"/>
      <c r="H169" s="464"/>
      <c r="I169" s="464"/>
      <c r="J169" s="464"/>
      <c r="K169" s="464"/>
      <c r="L169" s="464"/>
      <c r="M169" s="458" t="s">
        <v>1457</v>
      </c>
      <c r="N169" s="539">
        <v>0.28327097</v>
      </c>
      <c r="O169" s="539">
        <v>0.5945653</v>
      </c>
      <c r="P169" s="537">
        <f t="shared" si="229"/>
        <v>0</v>
      </c>
      <c r="Q169" s="537"/>
      <c r="R169" s="537">
        <v>2.243744592971112</v>
      </c>
      <c r="S169" s="537">
        <v>2.5649493574615367</v>
      </c>
      <c r="T169" s="537">
        <v>0.0</v>
      </c>
      <c r="U169" s="464"/>
      <c r="V169" s="464"/>
      <c r="W169" s="464"/>
      <c r="X169" s="464"/>
      <c r="Y169" s="464"/>
      <c r="Z169" s="464"/>
      <c r="AA169" s="464"/>
      <c r="AB169" s="464"/>
      <c r="AC169" s="464"/>
      <c r="AD169" s="464"/>
      <c r="AE169" s="464"/>
      <c r="AF169" s="464"/>
      <c r="AG169" s="464"/>
      <c r="AH169" s="464"/>
      <c r="AI169" s="464"/>
      <c r="AJ169" s="464"/>
      <c r="AK169" s="464"/>
      <c r="AL169" s="464"/>
      <c r="AM169" s="464"/>
      <c r="AN169" s="464"/>
      <c r="AO169" s="464"/>
      <c r="AP169" s="464"/>
      <c r="AQ169" s="464"/>
      <c r="AR169" s="464"/>
      <c r="AS169" s="464"/>
      <c r="AT169" s="464"/>
      <c r="AU169" s="464"/>
      <c r="AV169" s="464"/>
      <c r="AW169" s="464"/>
      <c r="AX169" s="464"/>
      <c r="AY169" s="464"/>
      <c r="AZ169" s="464"/>
      <c r="BA169" s="464"/>
      <c r="BB169" s="464"/>
      <c r="BC169" s="464"/>
      <c r="BD169" s="464"/>
      <c r="BE169" s="464"/>
      <c r="BF169" s="464"/>
      <c r="BG169" s="464"/>
      <c r="BH169" s="464"/>
      <c r="BI169" s="464"/>
      <c r="BJ169" s="464"/>
      <c r="BK169" s="464"/>
      <c r="BL169" s="464"/>
      <c r="BM169" s="464"/>
    </row>
    <row r="170">
      <c r="A170" s="464"/>
      <c r="B170" s="464"/>
      <c r="C170" s="464"/>
      <c r="D170" s="464"/>
      <c r="E170" s="464"/>
      <c r="F170" s="464"/>
      <c r="G170" s="464"/>
      <c r="H170" s="464"/>
      <c r="I170" s="464"/>
      <c r="J170" s="464"/>
      <c r="K170" s="464"/>
      <c r="L170" s="464"/>
      <c r="M170" s="459" t="s">
        <v>1458</v>
      </c>
      <c r="N170" s="539">
        <v>0.60187186</v>
      </c>
      <c r="O170" s="539">
        <v>0.4378647</v>
      </c>
      <c r="P170" s="537">
        <f t="shared" si="229"/>
        <v>0</v>
      </c>
      <c r="Q170" s="537"/>
      <c r="R170" s="537">
        <v>2.114532861491106</v>
      </c>
      <c r="S170" s="537">
        <v>2.3978952727983707</v>
      </c>
      <c r="T170" s="537">
        <v>0.009708737864077669</v>
      </c>
      <c r="U170" s="464"/>
      <c r="V170" s="464"/>
      <c r="W170" s="464"/>
      <c r="X170" s="464"/>
      <c r="Y170" s="464"/>
      <c r="Z170" s="464"/>
      <c r="AA170" s="464"/>
      <c r="AB170" s="464"/>
      <c r="AC170" s="464"/>
      <c r="AD170" s="464"/>
      <c r="AE170" s="464"/>
      <c r="AF170" s="464"/>
      <c r="AG170" s="464"/>
      <c r="AH170" s="464"/>
      <c r="AI170" s="464"/>
      <c r="AJ170" s="464"/>
      <c r="AK170" s="464"/>
      <c r="AL170" s="464"/>
      <c r="AM170" s="464"/>
      <c r="AN170" s="464"/>
      <c r="AO170" s="464"/>
      <c r="AP170" s="464"/>
      <c r="AQ170" s="464"/>
      <c r="AR170" s="464"/>
      <c r="AS170" s="464"/>
      <c r="AT170" s="464"/>
      <c r="AU170" s="464"/>
      <c r="AV170" s="464"/>
      <c r="AW170" s="464"/>
      <c r="AX170" s="464"/>
      <c r="AY170" s="464"/>
      <c r="AZ170" s="464"/>
      <c r="BA170" s="464"/>
      <c r="BB170" s="464"/>
      <c r="BC170" s="464"/>
      <c r="BD170" s="464"/>
      <c r="BE170" s="464"/>
      <c r="BF170" s="464"/>
      <c r="BG170" s="464"/>
      <c r="BH170" s="464"/>
      <c r="BI170" s="464"/>
      <c r="BJ170" s="464"/>
      <c r="BK170" s="464"/>
      <c r="BL170" s="464"/>
      <c r="BM170" s="464"/>
    </row>
    <row r="171">
      <c r="A171" s="464"/>
      <c r="B171" s="464"/>
      <c r="C171" s="464"/>
      <c r="D171" s="464"/>
      <c r="E171" s="464"/>
      <c r="F171" s="464"/>
      <c r="G171" s="464"/>
      <c r="H171" s="464"/>
      <c r="I171" s="464"/>
      <c r="J171" s="464"/>
      <c r="K171" s="464"/>
      <c r="L171" s="464"/>
      <c r="M171" s="460" t="s">
        <v>1459</v>
      </c>
      <c r="N171" s="539">
        <v>0.19658784</v>
      </c>
      <c r="O171" s="539">
        <v>0.6574893</v>
      </c>
      <c r="P171" s="537">
        <f t="shared" si="229"/>
        <v>0</v>
      </c>
      <c r="Q171" s="537"/>
      <c r="R171" s="537">
        <v>1.9042374526547454</v>
      </c>
      <c r="S171" s="537">
        <v>2.45315795147342</v>
      </c>
      <c r="T171" s="537">
        <v>0.0</v>
      </c>
      <c r="U171" s="464"/>
      <c r="V171" s="464"/>
      <c r="W171" s="464"/>
      <c r="X171" s="464"/>
      <c r="Y171" s="464"/>
      <c r="Z171" s="464"/>
      <c r="AA171" s="464"/>
      <c r="AB171" s="464"/>
      <c r="AC171" s="464"/>
      <c r="AD171" s="464"/>
      <c r="AE171" s="464"/>
      <c r="AF171" s="464"/>
      <c r="AG171" s="464"/>
      <c r="AH171" s="464"/>
      <c r="AI171" s="464"/>
      <c r="AJ171" s="464"/>
      <c r="AK171" s="464"/>
      <c r="AL171" s="464"/>
      <c r="AM171" s="464"/>
      <c r="AN171" s="464"/>
      <c r="AO171" s="464"/>
      <c r="AP171" s="464"/>
      <c r="AQ171" s="464"/>
      <c r="AR171" s="464"/>
      <c r="AS171" s="464"/>
      <c r="AT171" s="464"/>
      <c r="AU171" s="464"/>
      <c r="AV171" s="464"/>
      <c r="AW171" s="464"/>
      <c r="AX171" s="464"/>
      <c r="AY171" s="464"/>
      <c r="AZ171" s="464"/>
      <c r="BA171" s="464"/>
      <c r="BB171" s="464"/>
      <c r="BC171" s="464"/>
      <c r="BD171" s="464"/>
      <c r="BE171" s="464"/>
      <c r="BF171" s="464"/>
      <c r="BG171" s="464"/>
      <c r="BH171" s="464"/>
      <c r="BI171" s="464"/>
      <c r="BJ171" s="464"/>
      <c r="BK171" s="464"/>
      <c r="BL171" s="464"/>
      <c r="BM171" s="464"/>
    </row>
    <row r="172">
      <c r="A172" s="464"/>
      <c r="B172" s="464"/>
      <c r="C172" s="464"/>
      <c r="D172" s="464"/>
      <c r="E172" s="464"/>
      <c r="F172" s="464"/>
      <c r="G172" s="464"/>
      <c r="H172" s="464"/>
      <c r="I172" s="464"/>
      <c r="J172" s="464"/>
      <c r="K172" s="464"/>
      <c r="L172" s="464"/>
      <c r="M172" s="461" t="s">
        <v>1460</v>
      </c>
      <c r="N172" s="539">
        <v>0.01193048</v>
      </c>
      <c r="O172" s="539">
        <v>0.9130226</v>
      </c>
      <c r="P172" s="537">
        <f t="shared" si="229"/>
        <v>0</v>
      </c>
      <c r="Q172" s="537"/>
      <c r="R172" s="537">
        <v>3.2635760037861075</v>
      </c>
      <c r="S172" s="537">
        <v>3.863357833446865</v>
      </c>
      <c r="T172" s="537">
        <v>0.009708737864077669</v>
      </c>
      <c r="U172" s="464"/>
      <c r="V172" s="464"/>
      <c r="W172" s="464"/>
      <c r="X172" s="464"/>
      <c r="Y172" s="464"/>
      <c r="Z172" s="464"/>
      <c r="AA172" s="464"/>
      <c r="AB172" s="464"/>
      <c r="AC172" s="464"/>
      <c r="AD172" s="464"/>
      <c r="AE172" s="464"/>
      <c r="AF172" s="464"/>
      <c r="AG172" s="464"/>
      <c r="AH172" s="464"/>
      <c r="AI172" s="464"/>
      <c r="AJ172" s="464"/>
      <c r="AK172" s="464"/>
      <c r="AL172" s="464"/>
      <c r="AM172" s="464"/>
      <c r="AN172" s="464"/>
      <c r="AO172" s="464"/>
      <c r="AP172" s="464"/>
      <c r="AQ172" s="464"/>
      <c r="AR172" s="464"/>
      <c r="AS172" s="464"/>
      <c r="AT172" s="464"/>
      <c r="AU172" s="464"/>
      <c r="AV172" s="464"/>
      <c r="AW172" s="464"/>
      <c r="AX172" s="464"/>
      <c r="AY172" s="464"/>
      <c r="AZ172" s="464"/>
      <c r="BA172" s="464"/>
      <c r="BB172" s="464"/>
      <c r="BC172" s="464"/>
      <c r="BD172" s="464"/>
      <c r="BE172" s="464"/>
      <c r="BF172" s="464"/>
      <c r="BG172" s="464"/>
      <c r="BH172" s="464"/>
      <c r="BI172" s="464"/>
      <c r="BJ172" s="464"/>
      <c r="BK172" s="464"/>
      <c r="BL172" s="464"/>
      <c r="BM172" s="464"/>
    </row>
    <row r="173">
      <c r="A173" s="464"/>
      <c r="B173" s="464"/>
      <c r="C173" s="464"/>
      <c r="D173" s="464"/>
      <c r="E173" s="464"/>
      <c r="F173" s="464"/>
      <c r="G173" s="464"/>
      <c r="H173" s="464"/>
      <c r="I173" s="464"/>
      <c r="J173" s="464"/>
      <c r="K173" s="464"/>
      <c r="L173" s="464"/>
      <c r="M173" s="462" t="s">
        <v>1461</v>
      </c>
      <c r="N173" s="539">
        <v>0.16577277</v>
      </c>
      <c r="O173" s="539">
        <v>0.6838963</v>
      </c>
      <c r="P173" s="537">
        <f t="shared" si="229"/>
        <v>0</v>
      </c>
      <c r="Q173" s="537"/>
      <c r="R173" s="537">
        <v>1.742969305058623</v>
      </c>
      <c r="S173" s="537">
        <v>1.7272209480904839</v>
      </c>
      <c r="T173" s="537">
        <v>0.0</v>
      </c>
      <c r="U173" s="464"/>
      <c r="V173" s="464"/>
      <c r="W173" s="464"/>
      <c r="X173" s="464"/>
      <c r="Y173" s="464"/>
      <c r="Z173" s="464"/>
      <c r="AA173" s="464"/>
      <c r="AB173" s="464"/>
      <c r="AC173" s="464"/>
      <c r="AD173" s="464"/>
      <c r="AE173" s="464"/>
      <c r="AF173" s="464"/>
      <c r="AG173" s="464"/>
      <c r="AH173" s="464"/>
      <c r="AI173" s="464"/>
      <c r="AJ173" s="464"/>
      <c r="AK173" s="464"/>
      <c r="AL173" s="464"/>
      <c r="AM173" s="464"/>
      <c r="AN173" s="464"/>
      <c r="AO173" s="464"/>
      <c r="AP173" s="464"/>
      <c r="AQ173" s="464"/>
      <c r="AR173" s="464"/>
      <c r="AS173" s="464"/>
      <c r="AT173" s="464"/>
      <c r="AU173" s="464"/>
      <c r="AV173" s="464"/>
      <c r="AW173" s="464"/>
      <c r="AX173" s="464"/>
      <c r="AY173" s="464"/>
      <c r="AZ173" s="464"/>
      <c r="BA173" s="464"/>
      <c r="BB173" s="464"/>
      <c r="BC173" s="464"/>
      <c r="BD173" s="464"/>
      <c r="BE173" s="464"/>
      <c r="BF173" s="464"/>
      <c r="BG173" s="464"/>
      <c r="BH173" s="464"/>
      <c r="BI173" s="464"/>
      <c r="BJ173" s="464"/>
      <c r="BK173" s="464"/>
      <c r="BL173" s="464"/>
      <c r="BM173" s="464"/>
    </row>
    <row r="174">
      <c r="A174" s="464"/>
      <c r="B174" s="464"/>
      <c r="C174" s="464"/>
      <c r="D174" s="464"/>
      <c r="E174" s="464"/>
      <c r="F174" s="464"/>
      <c r="G174" s="464"/>
      <c r="H174" s="464"/>
      <c r="I174" s="464"/>
      <c r="J174" s="464"/>
      <c r="K174" s="464"/>
      <c r="L174" s="464"/>
      <c r="M174" s="464"/>
      <c r="N174" s="464"/>
      <c r="O174" s="464"/>
      <c r="P174" s="464"/>
      <c r="Q174" s="464"/>
      <c r="R174" s="464"/>
      <c r="S174" s="464"/>
      <c r="T174" s="464"/>
      <c r="U174" s="464"/>
      <c r="V174" s="464"/>
      <c r="W174" s="464"/>
      <c r="X174" s="464"/>
      <c r="Y174" s="464"/>
      <c r="Z174" s="464"/>
      <c r="AA174" s="464"/>
      <c r="AB174" s="464"/>
      <c r="AC174" s="464"/>
      <c r="AD174" s="464"/>
      <c r="AE174" s="464"/>
      <c r="AF174" s="464"/>
      <c r="AG174" s="464"/>
      <c r="AH174" s="464"/>
      <c r="AI174" s="464"/>
      <c r="AJ174" s="464"/>
      <c r="AK174" s="464"/>
      <c r="AL174" s="464"/>
      <c r="AM174" s="464"/>
      <c r="AN174" s="464"/>
      <c r="AO174" s="464"/>
      <c r="AP174" s="464"/>
      <c r="AQ174" s="464"/>
      <c r="AR174" s="464"/>
      <c r="AS174" s="464"/>
      <c r="AT174" s="464"/>
      <c r="AU174" s="464"/>
      <c r="AV174" s="464"/>
      <c r="AW174" s="464"/>
      <c r="AX174" s="464"/>
      <c r="AY174" s="464"/>
      <c r="AZ174" s="464"/>
      <c r="BA174" s="464"/>
      <c r="BB174" s="464"/>
      <c r="BC174" s="464"/>
      <c r="BD174" s="464"/>
      <c r="BE174" s="464"/>
      <c r="BF174" s="464"/>
      <c r="BG174" s="464"/>
      <c r="BH174" s="464"/>
      <c r="BI174" s="464"/>
      <c r="BJ174" s="464"/>
      <c r="BK174" s="464"/>
      <c r="BL174" s="464"/>
      <c r="BM174" s="464"/>
    </row>
    <row r="175">
      <c r="A175" s="466" t="s">
        <v>1592</v>
      </c>
      <c r="B175" s="464"/>
      <c r="C175" s="464"/>
      <c r="D175" s="464"/>
      <c r="E175" s="464"/>
      <c r="F175" s="464"/>
      <c r="G175" s="464"/>
      <c r="H175" s="464"/>
      <c r="I175" s="466"/>
      <c r="J175" s="464"/>
      <c r="K175" s="464"/>
      <c r="L175" s="464"/>
      <c r="M175" s="464"/>
      <c r="N175" s="464"/>
      <c r="O175" s="464"/>
      <c r="P175" s="464"/>
      <c r="Q175" s="464"/>
      <c r="R175" s="464"/>
      <c r="S175" s="464"/>
      <c r="T175" s="464"/>
      <c r="U175" s="464"/>
      <c r="V175" s="464"/>
      <c r="W175" s="464"/>
      <c r="X175" s="464"/>
      <c r="Y175" s="464"/>
      <c r="Z175" s="464"/>
      <c r="AA175" s="464"/>
      <c r="AB175" s="464"/>
      <c r="AC175" s="464"/>
      <c r="AD175" s="464"/>
      <c r="AE175" s="464"/>
      <c r="AF175" s="464"/>
      <c r="AG175" s="464"/>
      <c r="AH175" s="464"/>
      <c r="AI175" s="464"/>
      <c r="AJ175" s="464"/>
      <c r="AK175" s="464"/>
      <c r="AL175" s="464"/>
      <c r="AM175" s="464"/>
      <c r="AN175" s="464"/>
      <c r="AO175" s="464"/>
      <c r="AP175" s="464"/>
      <c r="AQ175" s="464"/>
      <c r="AR175" s="464"/>
      <c r="AS175" s="464"/>
      <c r="AT175" s="464"/>
      <c r="AU175" s="464"/>
      <c r="AV175" s="464"/>
      <c r="AW175" s="464"/>
      <c r="AX175" s="464"/>
      <c r="AY175" s="464"/>
      <c r="AZ175" s="464"/>
      <c r="BA175" s="464"/>
      <c r="BB175" s="464"/>
      <c r="BC175" s="464"/>
      <c r="BD175" s="464"/>
      <c r="BE175" s="464"/>
      <c r="BF175" s="464"/>
      <c r="BG175" s="464"/>
      <c r="BH175" s="464"/>
      <c r="BI175" s="464"/>
      <c r="BJ175" s="464"/>
      <c r="BK175" s="464"/>
      <c r="BL175" s="464"/>
      <c r="BM175" s="464"/>
    </row>
    <row r="176">
      <c r="A176" s="466" t="s">
        <v>1562</v>
      </c>
      <c r="B176" s="467">
        <f t="shared" ref="B176:O176" si="280">sum(B12:B15)</f>
        <v>8</v>
      </c>
      <c r="C176" s="467">
        <f t="shared" si="280"/>
        <v>15</v>
      </c>
      <c r="D176" s="467">
        <f t="shared" si="280"/>
        <v>18</v>
      </c>
      <c r="E176" s="467">
        <f t="shared" si="280"/>
        <v>4</v>
      </c>
      <c r="F176" s="467">
        <f t="shared" si="280"/>
        <v>27</v>
      </c>
      <c r="G176" s="467">
        <f t="shared" si="280"/>
        <v>26</v>
      </c>
      <c r="H176" s="467">
        <f t="shared" si="280"/>
        <v>0</v>
      </c>
      <c r="I176" s="467">
        <f t="shared" si="280"/>
        <v>0</v>
      </c>
      <c r="J176" s="467">
        <f t="shared" si="280"/>
        <v>2</v>
      </c>
      <c r="K176" s="467">
        <f t="shared" si="280"/>
        <v>3</v>
      </c>
      <c r="L176" s="467">
        <f t="shared" si="280"/>
        <v>1</v>
      </c>
      <c r="M176" s="467">
        <f t="shared" si="280"/>
        <v>11</v>
      </c>
      <c r="N176" s="467">
        <f t="shared" si="280"/>
        <v>4</v>
      </c>
      <c r="O176" s="467">
        <f t="shared" si="280"/>
        <v>0</v>
      </c>
      <c r="P176" s="467"/>
      <c r="Q176" s="467">
        <f t="shared" ref="Q176:V176" si="281">sum(Q12:Q15)</f>
        <v>2</v>
      </c>
      <c r="R176" s="467">
        <f t="shared" si="281"/>
        <v>2</v>
      </c>
      <c r="S176" s="467">
        <f t="shared" si="281"/>
        <v>0</v>
      </c>
      <c r="T176" s="467">
        <f t="shared" si="281"/>
        <v>4</v>
      </c>
      <c r="U176" s="467">
        <f t="shared" si="281"/>
        <v>2</v>
      </c>
      <c r="V176" s="467">
        <f t="shared" si="281"/>
        <v>0</v>
      </c>
      <c r="W176" s="467"/>
      <c r="X176" s="467">
        <f t="shared" ref="X176:AC176" si="282">sum(X12:X15)</f>
        <v>3</v>
      </c>
      <c r="Y176" s="467">
        <f t="shared" si="282"/>
        <v>2</v>
      </c>
      <c r="Z176" s="467">
        <f t="shared" si="282"/>
        <v>0</v>
      </c>
      <c r="AA176" s="467">
        <f t="shared" si="282"/>
        <v>11</v>
      </c>
      <c r="AB176" s="467">
        <f t="shared" si="282"/>
        <v>6</v>
      </c>
      <c r="AC176" s="467">
        <f t="shared" si="282"/>
        <v>1</v>
      </c>
      <c r="AD176" s="467"/>
      <c r="AE176" s="467">
        <f t="shared" ref="AE176:AJ176" si="283">sum(AE12:AE15)</f>
        <v>1</v>
      </c>
      <c r="AF176" s="467">
        <f t="shared" si="283"/>
        <v>0</v>
      </c>
      <c r="AG176" s="467">
        <f t="shared" si="283"/>
        <v>0</v>
      </c>
      <c r="AH176" s="467">
        <f t="shared" si="283"/>
        <v>1</v>
      </c>
      <c r="AI176" s="467">
        <f t="shared" si="283"/>
        <v>0</v>
      </c>
      <c r="AJ176" s="467">
        <f t="shared" si="283"/>
        <v>0</v>
      </c>
      <c r="AK176" s="467"/>
      <c r="AL176" s="467">
        <f t="shared" ref="AL176:AQ176" si="284">sum(AL12:AL15)</f>
        <v>11</v>
      </c>
      <c r="AM176" s="467">
        <f t="shared" si="284"/>
        <v>4</v>
      </c>
      <c r="AN176" s="467">
        <f t="shared" si="284"/>
        <v>11</v>
      </c>
      <c r="AO176" s="467">
        <f t="shared" si="284"/>
        <v>1</v>
      </c>
      <c r="AP176" s="467">
        <f t="shared" si="284"/>
        <v>5</v>
      </c>
      <c r="AQ176" s="467">
        <f t="shared" si="284"/>
        <v>0</v>
      </c>
      <c r="AR176" s="467"/>
      <c r="AS176" s="467">
        <f t="shared" ref="AS176:AX176" si="285">sum(AS12:AS15)</f>
        <v>4</v>
      </c>
      <c r="AT176" s="467">
        <f t="shared" si="285"/>
        <v>2</v>
      </c>
      <c r="AU176" s="467">
        <f t="shared" si="285"/>
        <v>6</v>
      </c>
      <c r="AV176" s="467">
        <f t="shared" si="285"/>
        <v>0</v>
      </c>
      <c r="AW176" s="467">
        <f t="shared" si="285"/>
        <v>5</v>
      </c>
      <c r="AX176" s="467">
        <f t="shared" si="285"/>
        <v>0</v>
      </c>
      <c r="AY176" s="467"/>
      <c r="AZ176" s="467">
        <f t="shared" ref="AZ176:BE176" si="286">sum(AZ12:AZ15)</f>
        <v>0</v>
      </c>
      <c r="BA176" s="467">
        <f t="shared" si="286"/>
        <v>0</v>
      </c>
      <c r="BB176" s="467">
        <f t="shared" si="286"/>
        <v>1</v>
      </c>
      <c r="BC176" s="467">
        <f t="shared" si="286"/>
        <v>0</v>
      </c>
      <c r="BD176" s="467">
        <f t="shared" si="286"/>
        <v>0</v>
      </c>
      <c r="BE176" s="467">
        <f t="shared" si="286"/>
        <v>0</v>
      </c>
      <c r="BF176" s="467"/>
      <c r="BG176" s="467"/>
      <c r="BH176" s="467"/>
      <c r="BI176" s="467"/>
      <c r="BJ176" s="467"/>
      <c r="BK176" s="467"/>
      <c r="BL176" s="467"/>
      <c r="BM176" s="467"/>
    </row>
    <row r="177">
      <c r="A177" s="466" t="s">
        <v>1563</v>
      </c>
      <c r="B177" s="464">
        <f t="shared" ref="B177:I177" si="287">B176/sum($B$176:$I$176)</f>
        <v>0.08163265306</v>
      </c>
      <c r="C177" s="464">
        <f t="shared" si="287"/>
        <v>0.1530612245</v>
      </c>
      <c r="D177" s="464">
        <f t="shared" si="287"/>
        <v>0.1836734694</v>
      </c>
      <c r="E177" s="464">
        <f t="shared" si="287"/>
        <v>0.04081632653</v>
      </c>
      <c r="F177" s="464">
        <f t="shared" si="287"/>
        <v>0.2755102041</v>
      </c>
      <c r="G177" s="464">
        <f t="shared" si="287"/>
        <v>0.2653061224</v>
      </c>
      <c r="H177" s="464">
        <f t="shared" si="287"/>
        <v>0</v>
      </c>
      <c r="I177" s="464">
        <f t="shared" si="287"/>
        <v>0</v>
      </c>
      <c r="J177" s="464">
        <f t="shared" ref="J177:O177" si="288">J176/sum($J$176:$P$176)</f>
        <v>0.09523809524</v>
      </c>
      <c r="K177" s="464">
        <f t="shared" si="288"/>
        <v>0.1428571429</v>
      </c>
      <c r="L177" s="464">
        <f t="shared" si="288"/>
        <v>0.04761904762</v>
      </c>
      <c r="M177" s="464">
        <f t="shared" si="288"/>
        <v>0.5238095238</v>
      </c>
      <c r="N177" s="464">
        <f t="shared" si="288"/>
        <v>0.1904761905</v>
      </c>
      <c r="O177" s="464">
        <f t="shared" si="288"/>
        <v>0</v>
      </c>
      <c r="P177" s="464"/>
      <c r="Q177" s="464">
        <f t="shared" ref="Q177:V177" si="289">Q176/sum($Q$176:$W$176)</f>
        <v>0.2</v>
      </c>
      <c r="R177" s="464">
        <f t="shared" si="289"/>
        <v>0.2</v>
      </c>
      <c r="S177" s="464">
        <f t="shared" si="289"/>
        <v>0</v>
      </c>
      <c r="T177" s="464">
        <f t="shared" si="289"/>
        <v>0.4</v>
      </c>
      <c r="U177" s="464">
        <f t="shared" si="289"/>
        <v>0.2</v>
      </c>
      <c r="V177" s="464">
        <f t="shared" si="289"/>
        <v>0</v>
      </c>
      <c r="W177" s="464"/>
      <c r="X177" s="464">
        <f t="shared" ref="X177:AC177" si="290">X176/sum($X$176:$AD$176)</f>
        <v>0.1304347826</v>
      </c>
      <c r="Y177" s="464">
        <f t="shared" si="290"/>
        <v>0.08695652174</v>
      </c>
      <c r="Z177" s="464">
        <f t="shared" si="290"/>
        <v>0</v>
      </c>
      <c r="AA177" s="464">
        <f t="shared" si="290"/>
        <v>0.4782608696</v>
      </c>
      <c r="AB177" s="464">
        <f t="shared" si="290"/>
        <v>0.2608695652</v>
      </c>
      <c r="AC177" s="464">
        <f t="shared" si="290"/>
        <v>0.04347826087</v>
      </c>
      <c r="AD177" s="464"/>
      <c r="AE177" s="464">
        <f t="shared" ref="AE177:AJ177" si="291">AE176/sum($AE$176:$AK$176)</f>
        <v>0.5</v>
      </c>
      <c r="AF177" s="464">
        <f t="shared" si="291"/>
        <v>0</v>
      </c>
      <c r="AG177" s="464">
        <f t="shared" si="291"/>
        <v>0</v>
      </c>
      <c r="AH177" s="464">
        <f t="shared" si="291"/>
        <v>0.5</v>
      </c>
      <c r="AI177" s="464">
        <f t="shared" si="291"/>
        <v>0</v>
      </c>
      <c r="AJ177" s="464">
        <f t="shared" si="291"/>
        <v>0</v>
      </c>
      <c r="AK177" s="464"/>
      <c r="AL177" s="464">
        <f t="shared" ref="AL177:AQ177" si="292">AL176/sum($AL$176:$AR$176)</f>
        <v>0.34375</v>
      </c>
      <c r="AM177" s="464">
        <f t="shared" si="292"/>
        <v>0.125</v>
      </c>
      <c r="AN177" s="464">
        <f t="shared" si="292"/>
        <v>0.34375</v>
      </c>
      <c r="AO177" s="464">
        <f t="shared" si="292"/>
        <v>0.03125</v>
      </c>
      <c r="AP177" s="464">
        <f t="shared" si="292"/>
        <v>0.15625</v>
      </c>
      <c r="AQ177" s="464">
        <f t="shared" si="292"/>
        <v>0</v>
      </c>
      <c r="AR177" s="464"/>
      <c r="AS177" s="464">
        <f t="shared" ref="AS177:AX177" si="293">AS176/sum($AS$176:$AY$176)</f>
        <v>0.2352941176</v>
      </c>
      <c r="AT177" s="464">
        <f t="shared" si="293"/>
        <v>0.1176470588</v>
      </c>
      <c r="AU177" s="464">
        <f t="shared" si="293"/>
        <v>0.3529411765</v>
      </c>
      <c r="AV177" s="464">
        <f t="shared" si="293"/>
        <v>0</v>
      </c>
      <c r="AW177" s="464">
        <f t="shared" si="293"/>
        <v>0.2941176471</v>
      </c>
      <c r="AX177" s="464">
        <f t="shared" si="293"/>
        <v>0</v>
      </c>
      <c r="AY177" s="464"/>
      <c r="AZ177" s="464">
        <f t="shared" ref="AZ177:BE177" si="294">AZ176/sum($AZ$176:$BF$176)</f>
        <v>0</v>
      </c>
      <c r="BA177" s="464">
        <f t="shared" si="294"/>
        <v>0</v>
      </c>
      <c r="BB177" s="464">
        <f t="shared" si="294"/>
        <v>1</v>
      </c>
      <c r="BC177" s="464">
        <f t="shared" si="294"/>
        <v>0</v>
      </c>
      <c r="BD177" s="464">
        <f t="shared" si="294"/>
        <v>0</v>
      </c>
      <c r="BE177" s="464">
        <f t="shared" si="294"/>
        <v>0</v>
      </c>
      <c r="BF177" s="464"/>
      <c r="BG177" s="464"/>
      <c r="BH177" s="464"/>
      <c r="BI177" s="464"/>
      <c r="BJ177" s="464"/>
      <c r="BK177" s="464"/>
      <c r="BL177" s="464"/>
      <c r="BM177" s="464"/>
    </row>
    <row r="178">
      <c r="A178" s="466" t="s">
        <v>1485</v>
      </c>
      <c r="B178" s="464"/>
      <c r="C178" s="464"/>
      <c r="D178" s="464"/>
      <c r="E178" s="464"/>
      <c r="F178" s="464"/>
      <c r="G178" s="464"/>
      <c r="H178" s="536"/>
      <c r="I178" s="466"/>
      <c r="J178" s="464">
        <f t="shared" ref="J178:O178" si="295">C207</f>
        <v>1.041666667</v>
      </c>
      <c r="K178" s="464">
        <f t="shared" si="295"/>
        <v>1.708333333</v>
      </c>
      <c r="L178" s="464">
        <f t="shared" si="295"/>
        <v>0.25</v>
      </c>
      <c r="M178" s="464">
        <f t="shared" si="295"/>
        <v>2.458333333</v>
      </c>
      <c r="N178" s="464">
        <f t="shared" si="295"/>
        <v>1.791666667</v>
      </c>
      <c r="O178" s="464">
        <f t="shared" si="295"/>
        <v>0.04166666667</v>
      </c>
      <c r="P178" s="464"/>
      <c r="Q178" s="464">
        <f>B208</f>
        <v>0.583501006</v>
      </c>
      <c r="R178" s="464">
        <f t="shared" ref="R178:V178" si="296">D208</f>
        <v>0.8249496982</v>
      </c>
      <c r="S178" s="464">
        <f t="shared" si="296"/>
        <v>0.1207243461</v>
      </c>
      <c r="T178" s="464">
        <f t="shared" si="296"/>
        <v>1.187122736</v>
      </c>
      <c r="U178" s="464">
        <f t="shared" si="296"/>
        <v>0.8651911469</v>
      </c>
      <c r="V178" s="464">
        <f t="shared" si="296"/>
        <v>0.02012072435</v>
      </c>
      <c r="W178" s="464"/>
      <c r="X178" s="464">
        <f t="shared" ref="X178:Y178" si="297">B209</f>
        <v>1.350202429</v>
      </c>
      <c r="Y178" s="464">
        <f t="shared" si="297"/>
        <v>1.163967611</v>
      </c>
      <c r="Z178" s="464">
        <f t="shared" ref="Z178:AC178" si="298">E209</f>
        <v>0.2793522267</v>
      </c>
      <c r="AA178" s="464">
        <f t="shared" si="298"/>
        <v>2.746963563</v>
      </c>
      <c r="AB178" s="464">
        <f t="shared" si="298"/>
        <v>2.002024291</v>
      </c>
      <c r="AC178" s="464">
        <f t="shared" si="298"/>
        <v>0.04655870445</v>
      </c>
      <c r="AD178" s="464"/>
      <c r="AE178" s="464">
        <f t="shared" ref="AE178:AG178" si="299">B210</f>
        <v>0.1141732283</v>
      </c>
      <c r="AF178" s="464">
        <f t="shared" si="299"/>
        <v>0.09842519685</v>
      </c>
      <c r="AG178" s="464">
        <f t="shared" si="299"/>
        <v>0.1614173228</v>
      </c>
      <c r="AH178" s="464">
        <f t="shared" ref="AH178:AJ178" si="300">F210</f>
        <v>0.2322834646</v>
      </c>
      <c r="AI178" s="464">
        <f t="shared" si="300"/>
        <v>0.1692913386</v>
      </c>
      <c r="AJ178" s="464">
        <f t="shared" si="300"/>
        <v>0.003937007874</v>
      </c>
      <c r="AK178" s="464"/>
      <c r="AL178" s="464">
        <f t="shared" ref="AL178:AO178" si="301">B211</f>
        <v>1.913402062</v>
      </c>
      <c r="AM178" s="464">
        <f t="shared" si="301"/>
        <v>1.649484536</v>
      </c>
      <c r="AN178" s="464">
        <f t="shared" si="301"/>
        <v>2.705154639</v>
      </c>
      <c r="AO178" s="464">
        <f t="shared" si="301"/>
        <v>0.3958762887</v>
      </c>
      <c r="AP178" s="464">
        <f t="shared" ref="AP178:AQ178" si="302">G211</f>
        <v>2.837113402</v>
      </c>
      <c r="AQ178" s="464">
        <f t="shared" si="302"/>
        <v>0.06597938144</v>
      </c>
      <c r="AR178" s="464"/>
      <c r="AS178" s="464">
        <f t="shared" ref="AS178:AW178" si="303">B212</f>
        <v>1.014403292</v>
      </c>
      <c r="AT178" s="464">
        <f t="shared" si="303"/>
        <v>0.8744855967</v>
      </c>
      <c r="AU178" s="464">
        <f t="shared" si="303"/>
        <v>1.434156379</v>
      </c>
      <c r="AV178" s="464">
        <f t="shared" si="303"/>
        <v>0.2098765432</v>
      </c>
      <c r="AW178" s="464">
        <f t="shared" si="303"/>
        <v>2.063786008</v>
      </c>
      <c r="AX178" s="464">
        <f>H212</f>
        <v>0.03497942387</v>
      </c>
      <c r="AY178" s="464"/>
      <c r="AZ178" s="464">
        <f t="shared" ref="AZ178:BE178" si="304">B213</f>
        <v>0.056640625</v>
      </c>
      <c r="BA178" s="464">
        <f t="shared" si="304"/>
        <v>0.048828125</v>
      </c>
      <c r="BB178" s="464">
        <f t="shared" si="304"/>
        <v>0.080078125</v>
      </c>
      <c r="BC178" s="464">
        <f t="shared" si="304"/>
        <v>0.01171875</v>
      </c>
      <c r="BD178" s="464">
        <f t="shared" si="304"/>
        <v>0.115234375</v>
      </c>
      <c r="BE178" s="464">
        <f t="shared" si="304"/>
        <v>0.083984375</v>
      </c>
      <c r="BF178" s="464"/>
      <c r="BG178" s="464"/>
      <c r="BH178" s="464"/>
      <c r="BI178" s="464"/>
      <c r="BJ178" s="464"/>
      <c r="BK178" s="464"/>
      <c r="BL178" s="464"/>
      <c r="BM178" s="464"/>
    </row>
    <row r="179">
      <c r="A179" s="466" t="s">
        <v>1564</v>
      </c>
      <c r="B179" s="464"/>
      <c r="C179" s="464"/>
      <c r="D179" s="464"/>
      <c r="E179" s="464"/>
      <c r="F179" s="464"/>
      <c r="G179" s="464"/>
      <c r="H179" s="464"/>
      <c r="I179" s="466"/>
      <c r="J179" s="464">
        <f t="shared" ref="J179:O179" si="305">J178/SUM($J$178:$P$178)</f>
        <v>0.1428571429</v>
      </c>
      <c r="K179" s="464">
        <f t="shared" si="305"/>
        <v>0.2342857143</v>
      </c>
      <c r="L179" s="464">
        <f t="shared" si="305"/>
        <v>0.03428571429</v>
      </c>
      <c r="M179" s="464">
        <f t="shared" si="305"/>
        <v>0.3371428571</v>
      </c>
      <c r="N179" s="464">
        <f t="shared" si="305"/>
        <v>0.2457142857</v>
      </c>
      <c r="O179" s="464">
        <f t="shared" si="305"/>
        <v>0.005714285714</v>
      </c>
      <c r="P179" s="464"/>
      <c r="Q179" s="464">
        <f t="shared" ref="Q179:V179" si="306">Q178/SUM($Q$178:$W$178)</f>
        <v>0.1620111732</v>
      </c>
      <c r="R179" s="464">
        <f t="shared" si="306"/>
        <v>0.2290502793</v>
      </c>
      <c r="S179" s="464">
        <f t="shared" si="306"/>
        <v>0.03351955307</v>
      </c>
      <c r="T179" s="464">
        <f t="shared" si="306"/>
        <v>0.3296089385</v>
      </c>
      <c r="U179" s="464">
        <f t="shared" si="306"/>
        <v>0.2402234637</v>
      </c>
      <c r="V179" s="464">
        <f t="shared" si="306"/>
        <v>0.005586592179</v>
      </c>
      <c r="W179" s="464"/>
      <c r="X179" s="464">
        <f t="shared" ref="X179:AC179" si="307">X178/SUM($X$178:$AD$178)</f>
        <v>0.1779141104</v>
      </c>
      <c r="Y179" s="464">
        <f t="shared" si="307"/>
        <v>0.1533742331</v>
      </c>
      <c r="Z179" s="464">
        <f t="shared" si="307"/>
        <v>0.03680981595</v>
      </c>
      <c r="AA179" s="464">
        <f t="shared" si="307"/>
        <v>0.3619631902</v>
      </c>
      <c r="AB179" s="464">
        <f t="shared" si="307"/>
        <v>0.263803681</v>
      </c>
      <c r="AC179" s="464">
        <f t="shared" si="307"/>
        <v>0.006134969325</v>
      </c>
      <c r="AD179" s="464"/>
      <c r="AE179" s="464">
        <f t="shared" ref="AE179:AJ179" si="308">AE178/sum($AE$178:$AK$178)</f>
        <v>0.1464646465</v>
      </c>
      <c r="AF179" s="464">
        <f t="shared" si="308"/>
        <v>0.1262626263</v>
      </c>
      <c r="AG179" s="464">
        <f t="shared" si="308"/>
        <v>0.2070707071</v>
      </c>
      <c r="AH179" s="464">
        <f t="shared" si="308"/>
        <v>0.297979798</v>
      </c>
      <c r="AI179" s="464">
        <f t="shared" si="308"/>
        <v>0.2171717172</v>
      </c>
      <c r="AJ179" s="464">
        <f t="shared" si="308"/>
        <v>0.005050505051</v>
      </c>
      <c r="AK179" s="464"/>
      <c r="AL179" s="464">
        <f t="shared" ref="AL179:AQ179" si="309">AL178/sum($AL$178:$AR$178)</f>
        <v>0.2</v>
      </c>
      <c r="AM179" s="464">
        <f t="shared" si="309"/>
        <v>0.1724137931</v>
      </c>
      <c r="AN179" s="464">
        <f t="shared" si="309"/>
        <v>0.2827586207</v>
      </c>
      <c r="AO179" s="464">
        <f t="shared" si="309"/>
        <v>0.04137931034</v>
      </c>
      <c r="AP179" s="464">
        <f t="shared" si="309"/>
        <v>0.2965517241</v>
      </c>
      <c r="AQ179" s="464">
        <f t="shared" si="309"/>
        <v>0.006896551724</v>
      </c>
      <c r="AR179" s="464"/>
      <c r="AS179" s="464">
        <f t="shared" ref="AS179:AX179" si="310">AS178/sum($AS$178:$AY$178)</f>
        <v>0.1801242236</v>
      </c>
      <c r="AT179" s="464">
        <f t="shared" si="310"/>
        <v>0.1552795031</v>
      </c>
      <c r="AU179" s="464">
        <f t="shared" si="310"/>
        <v>0.2546583851</v>
      </c>
      <c r="AV179" s="464">
        <f t="shared" si="310"/>
        <v>0.03726708075</v>
      </c>
      <c r="AW179" s="464">
        <f t="shared" si="310"/>
        <v>0.3664596273</v>
      </c>
      <c r="AX179" s="464">
        <f t="shared" si="310"/>
        <v>0.006211180124</v>
      </c>
      <c r="AY179" s="464"/>
      <c r="AZ179" s="464">
        <f t="shared" ref="AZ179:BE179" si="311">AZ178/sum($AZ$178:$BF$178)</f>
        <v>0.1428571429</v>
      </c>
      <c r="BA179" s="464">
        <f t="shared" si="311"/>
        <v>0.1231527094</v>
      </c>
      <c r="BB179" s="464">
        <f t="shared" si="311"/>
        <v>0.2019704433</v>
      </c>
      <c r="BC179" s="464">
        <f t="shared" si="311"/>
        <v>0.02955665025</v>
      </c>
      <c r="BD179" s="464">
        <f t="shared" si="311"/>
        <v>0.2906403941</v>
      </c>
      <c r="BE179" s="464">
        <f t="shared" si="311"/>
        <v>0.2118226601</v>
      </c>
      <c r="BF179" s="464"/>
      <c r="BG179" s="464"/>
      <c r="BH179" s="464"/>
      <c r="BI179" s="464"/>
      <c r="BJ179" s="464"/>
      <c r="BK179" s="464"/>
      <c r="BL179" s="464"/>
      <c r="BM179" s="464"/>
    </row>
    <row r="180">
      <c r="A180" s="466" t="s">
        <v>1565</v>
      </c>
      <c r="B180" s="464"/>
      <c r="C180" s="464"/>
      <c r="D180" s="464"/>
      <c r="E180" s="464"/>
      <c r="F180" s="464"/>
      <c r="G180" s="464"/>
      <c r="H180" s="464"/>
      <c r="I180" s="466"/>
      <c r="J180" s="464">
        <f t="shared" ref="J180:O180" si="312">J176/sum($J$176:$P$176,$R$176:$W$176,$Z$176:$AD$176,$AH$176:$AK$176,$AP$176:$AR$176,$AX$176:$AY$176,$BF$176)</f>
        <v>0.03773584906</v>
      </c>
      <c r="K180" s="464">
        <f t="shared" si="312"/>
        <v>0.05660377358</v>
      </c>
      <c r="L180" s="464">
        <f t="shared" si="312"/>
        <v>0.01886792453</v>
      </c>
      <c r="M180" s="464">
        <f t="shared" si="312"/>
        <v>0.2075471698</v>
      </c>
      <c r="N180" s="464">
        <f t="shared" si="312"/>
        <v>0.07547169811</v>
      </c>
      <c r="O180" s="464">
        <f t="shared" si="312"/>
        <v>0</v>
      </c>
      <c r="P180" s="464"/>
      <c r="Q180" s="464"/>
      <c r="R180" s="464">
        <f t="shared" ref="R180:V180" si="313">R176/sum($J$176:$P$176,$R$176:$W$176,$Z$176:$AD$176,$AH$176:$AK$176,$AP$176:$AR$176,$AX$176:$AY$176,$BF$176)</f>
        <v>0.03773584906</v>
      </c>
      <c r="S180" s="464">
        <f t="shared" si="313"/>
        <v>0</v>
      </c>
      <c r="T180" s="464">
        <f t="shared" si="313"/>
        <v>0.07547169811</v>
      </c>
      <c r="U180" s="464">
        <f t="shared" si="313"/>
        <v>0.03773584906</v>
      </c>
      <c r="V180" s="464">
        <f t="shared" si="313"/>
        <v>0</v>
      </c>
      <c r="W180" s="464"/>
      <c r="X180" s="464"/>
      <c r="Y180" s="464"/>
      <c r="Z180" s="464">
        <f t="shared" ref="Z180:AC180" si="314">Z176/sum($J$176:$P$176,$R$176:$W$176,$Z$176:$AD$176,$AH$176:$AK$176,$AP$176:$AR$176,$AX$176:$AY$176,$BF$176)</f>
        <v>0</v>
      </c>
      <c r="AA180" s="464">
        <f t="shared" si="314"/>
        <v>0.2075471698</v>
      </c>
      <c r="AB180" s="464">
        <f t="shared" si="314"/>
        <v>0.1132075472</v>
      </c>
      <c r="AC180" s="464">
        <f t="shared" si="314"/>
        <v>0.01886792453</v>
      </c>
      <c r="AD180" s="464"/>
      <c r="AE180" s="464"/>
      <c r="AF180" s="464"/>
      <c r="AG180" s="464"/>
      <c r="AH180" s="464">
        <f t="shared" ref="AH180:AJ180" si="315">AH176/sum($J$176:$P$176,$R$176:$W$176,$Z$176:$AD$176,$AH$176:$AK$176,$AP$176:$AR$176,$AX$176:$AY$176,$BF$176)</f>
        <v>0.01886792453</v>
      </c>
      <c r="AI180" s="464">
        <f t="shared" si="315"/>
        <v>0</v>
      </c>
      <c r="AJ180" s="464">
        <f t="shared" si="315"/>
        <v>0</v>
      </c>
      <c r="AK180" s="464"/>
      <c r="AL180" s="464"/>
      <c r="AM180" s="464"/>
      <c r="AN180" s="464"/>
      <c r="AO180" s="464"/>
      <c r="AP180" s="464">
        <f t="shared" ref="AP180:AQ180" si="316">AP176/sum($J$176:$P$176,$R$176:$W$176,$Z$176:$AD$176,$AH$176:$AK$176,$AP$176:$AR$176,$AX$176:$AY$176,$BF$176)</f>
        <v>0.09433962264</v>
      </c>
      <c r="AQ180" s="464">
        <f t="shared" si="316"/>
        <v>0</v>
      </c>
      <c r="AR180" s="464"/>
      <c r="AS180" s="464"/>
      <c r="AT180" s="464"/>
      <c r="AU180" s="464"/>
      <c r="AV180" s="464"/>
      <c r="AW180" s="464"/>
      <c r="AX180" s="464">
        <f>AX176/sum($J$176:$P$176,$R$176:$W$176,$Z$176:$AD$176,$AH$176:$AK$176,$AP$176:$AR$176,$AX$176:$AY$176,$BF$176)</f>
        <v>0</v>
      </c>
      <c r="AY180" s="464"/>
      <c r="AZ180" s="464"/>
      <c r="BA180" s="464"/>
      <c r="BB180" s="464"/>
      <c r="BC180" s="464"/>
      <c r="BD180" s="464"/>
      <c r="BE180" s="464"/>
      <c r="BF180" s="464"/>
      <c r="BG180" s="464"/>
      <c r="BH180" s="464"/>
      <c r="BI180" s="464"/>
      <c r="BJ180" s="464"/>
      <c r="BK180" s="464"/>
      <c r="BL180" s="464"/>
      <c r="BM180" s="464"/>
    </row>
    <row r="181">
      <c r="A181" s="466" t="s">
        <v>1566</v>
      </c>
      <c r="B181" s="464"/>
      <c r="C181" s="464"/>
      <c r="D181" s="464"/>
      <c r="E181" s="464"/>
      <c r="F181" s="464"/>
      <c r="G181" s="464"/>
      <c r="H181" s="464"/>
      <c r="I181" s="466"/>
      <c r="J181" s="464">
        <f t="shared" ref="J181:O181" si="317">J178/sum($J$178:$P$178,$R$178:$W$178,$Z$178:$AD$178,$AH$178:$AK$178,$AP$178:$AR$178,$AX$178:$AY$178,$BF$178)</f>
        <v>0.05562005072</v>
      </c>
      <c r="K181" s="464">
        <f t="shared" si="317"/>
        <v>0.09121688318</v>
      </c>
      <c r="L181" s="464">
        <f t="shared" si="317"/>
        <v>0.01334881217</v>
      </c>
      <c r="M181" s="464">
        <f t="shared" si="317"/>
        <v>0.1312633197</v>
      </c>
      <c r="N181" s="464">
        <f t="shared" si="317"/>
        <v>0.09566648724</v>
      </c>
      <c r="O181" s="464">
        <f t="shared" si="317"/>
        <v>0.002224802029</v>
      </c>
      <c r="P181" s="464"/>
      <c r="Q181" s="464"/>
      <c r="R181" s="464">
        <f t="shared" ref="R181:V181" si="318">R178/sum($J$178:$P$178,$R$178:$W$178,$Z$178:$AD$178,$AH$178:$AK$178,$AP$178:$AR$178,$AX$178:$AY$178,$BF$178)</f>
        <v>0.04404839429</v>
      </c>
      <c r="S181" s="464">
        <f t="shared" si="318"/>
        <v>0.006446106482</v>
      </c>
      <c r="T181" s="464">
        <f t="shared" si="318"/>
        <v>0.06338671374</v>
      </c>
      <c r="U181" s="464">
        <f t="shared" si="318"/>
        <v>0.04619709645</v>
      </c>
      <c r="V181" s="464">
        <f t="shared" si="318"/>
        <v>0.00107435108</v>
      </c>
      <c r="W181" s="464"/>
      <c r="X181" s="464"/>
      <c r="Y181" s="464"/>
      <c r="Z181" s="464">
        <f t="shared" ref="Z181:AC181" si="319">Z178/sum($J$178:$P$178,$R$178:$W$178,$Z$178:$AD$178,$AH$178:$AK$178,$AP$178:$AR$178,$AX$178:$AY$178,$BF$178)</f>
        <v>0.01491608162</v>
      </c>
      <c r="AA181" s="464">
        <f t="shared" si="319"/>
        <v>0.1466748026</v>
      </c>
      <c r="AB181" s="464">
        <f t="shared" si="319"/>
        <v>0.1068985849</v>
      </c>
      <c r="AC181" s="464">
        <f t="shared" si="319"/>
        <v>0.002486013603</v>
      </c>
      <c r="AD181" s="464"/>
      <c r="AE181" s="464"/>
      <c r="AF181" s="464"/>
      <c r="AG181" s="464"/>
      <c r="AH181" s="464">
        <f t="shared" ref="AH181:AJ181" si="320">AH178/sum($J$178:$P$178,$R$178:$W$178,$Z$178:$AD$178,$AH$178:$AK$178,$AP$178:$AR$178,$AX$178:$AY$178,$BF$178)</f>
        <v>0.01240283336</v>
      </c>
      <c r="AI181" s="464">
        <f t="shared" si="320"/>
        <v>0.009039353125</v>
      </c>
      <c r="AJ181" s="464">
        <f t="shared" si="320"/>
        <v>0.0002102175145</v>
      </c>
      <c r="AK181" s="464"/>
      <c r="AL181" s="464"/>
      <c r="AM181" s="464"/>
      <c r="AN181" s="464"/>
      <c r="AO181" s="464"/>
      <c r="AP181" s="464">
        <f t="shared" ref="AP181:AQ181" si="321">AP178/sum($J$178:$P$178,$R$178:$W$178,$Z$178:$AD$178,$AH$178:$AK$178,$AP$178:$AR$178,$AX$178:$AY$178,$BF$178)</f>
        <v>0.1514883757</v>
      </c>
      <c r="AQ181" s="464">
        <f t="shared" si="321"/>
        <v>0.003522985481</v>
      </c>
      <c r="AR181" s="464"/>
      <c r="AS181" s="464"/>
      <c r="AT181" s="464"/>
      <c r="AU181" s="464"/>
      <c r="AV181" s="464"/>
      <c r="AW181" s="464"/>
      <c r="AX181" s="464">
        <f>AX178/sum($J$178:$P$178,$R$178:$W$178,$Z$178:$AD$178,$AH$178:$AK$178,$AP$178:$AR$178,$AX$178:$AY$178,$BF$178)</f>
        <v>0.001867735037</v>
      </c>
      <c r="AY181" s="464"/>
      <c r="AZ181" s="464"/>
      <c r="BA181" s="464"/>
      <c r="BB181" s="464"/>
      <c r="BC181" s="464"/>
      <c r="BD181" s="464"/>
      <c r="BE181" s="464"/>
      <c r="BF181" s="464"/>
      <c r="BG181" s="464"/>
      <c r="BH181" s="464"/>
      <c r="BI181" s="464"/>
      <c r="BJ181" s="464"/>
      <c r="BK181" s="464"/>
      <c r="BL181" s="464"/>
      <c r="BM181" s="464"/>
    </row>
    <row r="182">
      <c r="A182" s="466" t="s">
        <v>1488</v>
      </c>
      <c r="B182" s="464"/>
      <c r="C182" s="464"/>
      <c r="D182" s="464"/>
      <c r="E182" s="464"/>
      <c r="F182" s="464"/>
      <c r="G182" s="464"/>
      <c r="H182" s="464"/>
      <c r="I182" s="466"/>
      <c r="J182" s="507">
        <v>2.771279</v>
      </c>
      <c r="K182" s="464"/>
      <c r="L182" s="464"/>
      <c r="M182" s="464"/>
      <c r="N182" s="464"/>
      <c r="O182" s="464"/>
      <c r="P182" s="464"/>
      <c r="Q182" s="507">
        <v>0.6428919</v>
      </c>
      <c r="R182" s="464"/>
      <c r="S182" s="464"/>
      <c r="T182" s="464"/>
      <c r="U182" s="464"/>
      <c r="V182" s="464"/>
      <c r="W182" s="464"/>
      <c r="X182" s="507">
        <v>4.466259</v>
      </c>
      <c r="Y182" s="464"/>
      <c r="Z182" s="464"/>
      <c r="AA182" s="464"/>
      <c r="AB182" s="464"/>
      <c r="AC182" s="464"/>
      <c r="AD182" s="464"/>
      <c r="AE182" s="507">
        <v>0.7492691</v>
      </c>
      <c r="AF182" s="464"/>
      <c r="AG182" s="464"/>
      <c r="AH182" s="464"/>
      <c r="AI182" s="464"/>
      <c r="AJ182" s="464"/>
      <c r="AK182" s="464"/>
      <c r="AL182" s="507">
        <v>5.612842</v>
      </c>
      <c r="AM182" s="464"/>
      <c r="AN182" s="464"/>
      <c r="AO182" s="464"/>
      <c r="AP182" s="464"/>
      <c r="AQ182" s="464"/>
      <c r="AR182" s="464"/>
      <c r="AS182" s="507">
        <v>1.970299</v>
      </c>
      <c r="AT182" s="464"/>
      <c r="AU182" s="464"/>
      <c r="AV182" s="464"/>
      <c r="AW182" s="464"/>
      <c r="AX182" s="464"/>
      <c r="AY182" s="464"/>
      <c r="AZ182" s="507">
        <v>1.115166</v>
      </c>
      <c r="BA182" s="464"/>
      <c r="BB182" s="464"/>
      <c r="BC182" s="464"/>
      <c r="BD182" s="464"/>
      <c r="BE182" s="464"/>
      <c r="BF182" s="464"/>
      <c r="BG182" s="464"/>
      <c r="BH182" s="464"/>
      <c r="BI182" s="464"/>
      <c r="BJ182" s="464"/>
      <c r="BK182" s="464"/>
      <c r="BL182" s="464"/>
      <c r="BM182" s="464"/>
    </row>
    <row r="183">
      <c r="A183" s="466" t="s">
        <v>1489</v>
      </c>
      <c r="B183" s="464"/>
      <c r="C183" s="464"/>
      <c r="D183" s="464"/>
      <c r="E183" s="464"/>
      <c r="F183" s="464"/>
      <c r="G183" s="464"/>
      <c r="H183" s="464"/>
      <c r="I183" s="466"/>
      <c r="J183" s="507">
        <v>0.7351969</v>
      </c>
      <c r="K183" s="464"/>
      <c r="L183" s="464"/>
      <c r="M183" s="464"/>
      <c r="N183" s="464"/>
      <c r="O183" s="464"/>
      <c r="P183" s="464"/>
      <c r="Q183" s="507">
        <v>0.9859553</v>
      </c>
      <c r="R183" s="464"/>
      <c r="S183" s="464"/>
      <c r="T183" s="464"/>
      <c r="U183" s="464"/>
      <c r="V183" s="464"/>
      <c r="W183" s="464"/>
      <c r="X183" s="507">
        <v>0.4844105</v>
      </c>
      <c r="Y183" s="464"/>
      <c r="Z183" s="464"/>
      <c r="AA183" s="464"/>
      <c r="AB183" s="464"/>
      <c r="AC183" s="464"/>
      <c r="AD183" s="464"/>
      <c r="AE183" s="507">
        <v>0.9801557</v>
      </c>
      <c r="AF183" s="464"/>
      <c r="AG183" s="464"/>
      <c r="AH183" s="464"/>
      <c r="AI183" s="464"/>
      <c r="AJ183" s="464"/>
      <c r="AK183" s="464"/>
      <c r="AL183" s="507">
        <v>0.345731</v>
      </c>
      <c r="AM183" s="464"/>
      <c r="AN183" s="464"/>
      <c r="AO183" s="464"/>
      <c r="AP183" s="464"/>
      <c r="AQ183" s="464"/>
      <c r="AR183" s="464"/>
      <c r="AS183" s="507">
        <v>0.8532393</v>
      </c>
      <c r="AT183" s="464"/>
      <c r="AU183" s="464"/>
      <c r="AV183" s="464"/>
      <c r="AW183" s="464"/>
      <c r="AX183" s="464"/>
      <c r="AY183" s="464"/>
      <c r="AZ183" s="507">
        <v>0.9527525</v>
      </c>
      <c r="BA183" s="464"/>
      <c r="BB183" s="464"/>
      <c r="BC183" s="464"/>
      <c r="BD183" s="464"/>
      <c r="BE183" s="464"/>
      <c r="BF183" s="464"/>
      <c r="BG183" s="464"/>
      <c r="BH183" s="464"/>
      <c r="BI183" s="464"/>
      <c r="BJ183" s="464"/>
      <c r="BK183" s="464"/>
      <c r="BL183" s="464"/>
      <c r="BM183" s="464"/>
    </row>
    <row r="184">
      <c r="A184" s="466" t="s">
        <v>1490</v>
      </c>
      <c r="B184" s="464"/>
      <c r="C184" s="464"/>
      <c r="D184" s="464"/>
      <c r="E184" s="464"/>
      <c r="F184" s="464"/>
      <c r="G184" s="464"/>
      <c r="H184" s="536"/>
      <c r="I184" s="466"/>
      <c r="J184" s="507">
        <v>0.3220397</v>
      </c>
      <c r="K184" s="507">
        <v>0.8130818</v>
      </c>
      <c r="L184" s="507">
        <v>0.0750905</v>
      </c>
      <c r="M184" s="507">
        <v>2.291477</v>
      </c>
      <c r="N184" s="507">
        <v>0.2722608</v>
      </c>
      <c r="O184" s="507">
        <v>0.1791363</v>
      </c>
      <c r="P184" s="464"/>
      <c r="Q184" s="507">
        <v>0.05781352</v>
      </c>
      <c r="R184" s="507">
        <v>0.02842302</v>
      </c>
      <c r="S184" s="507">
        <v>0.39296529</v>
      </c>
      <c r="T184" s="507">
        <v>0.12521833</v>
      </c>
      <c r="U184" s="507">
        <v>0.05324317</v>
      </c>
      <c r="V184" s="507">
        <v>0.06457084</v>
      </c>
      <c r="W184" s="464"/>
      <c r="X184" s="507">
        <v>0.2962694523</v>
      </c>
      <c r="Y184" s="507">
        <v>0.6971774037</v>
      </c>
      <c r="Z184" s="507">
        <v>1.3332308433</v>
      </c>
      <c r="AA184" s="507">
        <v>1.0046556724</v>
      </c>
      <c r="AB184" s="507">
        <v>7.897908E-4</v>
      </c>
      <c r="AC184" s="507">
        <v>1.7244224018</v>
      </c>
      <c r="AD184" s="464"/>
      <c r="AE184" s="507">
        <v>0.297510842</v>
      </c>
      <c r="AF184" s="507">
        <v>0.115884673</v>
      </c>
      <c r="AG184" s="507">
        <v>0.199204423</v>
      </c>
      <c r="AH184" s="507">
        <v>0.076509962</v>
      </c>
      <c r="AI184" s="507">
        <v>0.210211769</v>
      </c>
      <c r="AJ184" s="507">
        <v>0.004347155</v>
      </c>
      <c r="AK184" s="464"/>
      <c r="AL184" s="510">
        <v>3.02605863</v>
      </c>
      <c r="AM184" s="507">
        <v>0.46038334</v>
      </c>
      <c r="AN184" s="507">
        <v>0.47500107</v>
      </c>
      <c r="AO184" s="507">
        <v>0.07587069</v>
      </c>
      <c r="AP184" s="510">
        <v>2.87181472</v>
      </c>
      <c r="AQ184" s="507">
        <v>0.37268928</v>
      </c>
      <c r="AR184" s="464"/>
      <c r="AS184" s="507">
        <v>0.2342376</v>
      </c>
      <c r="AT184" s="507">
        <v>0.1417269</v>
      </c>
      <c r="AU184" s="507">
        <v>0.5782941</v>
      </c>
      <c r="AV184" s="507">
        <v>0.926922</v>
      </c>
      <c r="AW184" s="507">
        <v>0.2841947</v>
      </c>
      <c r="AX184" s="507">
        <v>0.1520629</v>
      </c>
      <c r="AY184" s="464"/>
      <c r="AZ184" s="507">
        <v>0.10746431</v>
      </c>
      <c r="BA184" s="507">
        <v>0.09161958</v>
      </c>
      <c r="BB184" s="507">
        <v>1.11516575</v>
      </c>
      <c r="BC184" s="507">
        <v>0.02091571</v>
      </c>
      <c r="BD184" s="507">
        <v>0.23939212</v>
      </c>
      <c r="BE184" s="507">
        <v>0.16594129</v>
      </c>
      <c r="BF184" s="464"/>
      <c r="BG184" s="464"/>
      <c r="BH184" s="464"/>
      <c r="BI184" s="464"/>
      <c r="BJ184" s="464"/>
      <c r="BK184" s="464"/>
      <c r="BL184" s="464"/>
      <c r="BM184" s="464"/>
    </row>
    <row r="185">
      <c r="A185" s="466" t="s">
        <v>1491</v>
      </c>
      <c r="B185" s="464"/>
      <c r="C185" s="464"/>
      <c r="D185" s="464"/>
      <c r="E185" s="464"/>
      <c r="F185" s="464"/>
      <c r="G185" s="464"/>
      <c r="H185" s="464"/>
      <c r="I185" s="466"/>
      <c r="J185" s="507">
        <f t="shared" ref="J185:O185" si="322">if(J176&gt;J178,J184*1,J184*-1)</f>
        <v>0.3220397</v>
      </c>
      <c r="K185" s="507">
        <f t="shared" si="322"/>
        <v>0.8130818</v>
      </c>
      <c r="L185" s="507">
        <f t="shared" si="322"/>
        <v>0.0750905</v>
      </c>
      <c r="M185" s="507">
        <f t="shared" si="322"/>
        <v>2.291477</v>
      </c>
      <c r="N185" s="507">
        <f t="shared" si="322"/>
        <v>0.2722608</v>
      </c>
      <c r="O185" s="507">
        <f t="shared" si="322"/>
        <v>-0.1791363</v>
      </c>
      <c r="P185" s="464"/>
      <c r="Q185" s="507">
        <f t="shared" ref="Q185:V185" si="323">if(Q176&gt;Q178,Q184*1,Q184*-1)</f>
        <v>0.05781352</v>
      </c>
      <c r="R185" s="507">
        <f t="shared" si="323"/>
        <v>0.02842302</v>
      </c>
      <c r="S185" s="507">
        <f t="shared" si="323"/>
        <v>-0.39296529</v>
      </c>
      <c r="T185" s="507">
        <f t="shared" si="323"/>
        <v>0.12521833</v>
      </c>
      <c r="U185" s="507">
        <f t="shared" si="323"/>
        <v>0.05324317</v>
      </c>
      <c r="V185" s="507">
        <f t="shared" si="323"/>
        <v>-0.06457084</v>
      </c>
      <c r="W185" s="464"/>
      <c r="X185" s="507">
        <f t="shared" ref="X185:AC185" si="324">if(X176&gt;X178,X184*1,X184*-1)</f>
        <v>0.2962694523</v>
      </c>
      <c r="Y185" s="507">
        <f t="shared" si="324"/>
        <v>0.6971774037</v>
      </c>
      <c r="Z185" s="507">
        <f t="shared" si="324"/>
        <v>-1.333230843</v>
      </c>
      <c r="AA185" s="507">
        <f t="shared" si="324"/>
        <v>1.004655672</v>
      </c>
      <c r="AB185" s="507">
        <f t="shared" si="324"/>
        <v>0.0007897908</v>
      </c>
      <c r="AC185" s="507">
        <f t="shared" si="324"/>
        <v>1.724422402</v>
      </c>
      <c r="AD185" s="464"/>
      <c r="AE185" s="507">
        <f t="shared" ref="AE185:AJ185" si="325">if(AE176&gt;AE178,AE184*1,AE184*-1)</f>
        <v>0.297510842</v>
      </c>
      <c r="AF185" s="507">
        <f t="shared" si="325"/>
        <v>-0.115884673</v>
      </c>
      <c r="AG185" s="507">
        <f t="shared" si="325"/>
        <v>-0.199204423</v>
      </c>
      <c r="AH185" s="507">
        <f t="shared" si="325"/>
        <v>0.076509962</v>
      </c>
      <c r="AI185" s="507">
        <f t="shared" si="325"/>
        <v>-0.210211769</v>
      </c>
      <c r="AJ185" s="507">
        <f t="shared" si="325"/>
        <v>-0.004347155</v>
      </c>
      <c r="AK185" s="464"/>
      <c r="AL185" s="510">
        <f t="shared" ref="AL185:AQ185" si="326">if(AL176&gt;AL178,AL184*1,AL184*-1)</f>
        <v>3.02605863</v>
      </c>
      <c r="AM185" s="507">
        <f t="shared" si="326"/>
        <v>0.46038334</v>
      </c>
      <c r="AN185" s="507">
        <f t="shared" si="326"/>
        <v>0.47500107</v>
      </c>
      <c r="AO185" s="507">
        <f t="shared" si="326"/>
        <v>0.07587069</v>
      </c>
      <c r="AP185" s="510">
        <f t="shared" si="326"/>
        <v>2.87181472</v>
      </c>
      <c r="AQ185" s="507">
        <f t="shared" si="326"/>
        <v>-0.37268928</v>
      </c>
      <c r="AR185" s="464"/>
      <c r="AS185" s="507">
        <f t="shared" ref="AS185:AX185" si="327">if(AS176&gt;AS178,AS184*1,AS184*-1)</f>
        <v>0.2342376</v>
      </c>
      <c r="AT185" s="507">
        <f t="shared" si="327"/>
        <v>0.1417269</v>
      </c>
      <c r="AU185" s="507">
        <f t="shared" si="327"/>
        <v>0.5782941</v>
      </c>
      <c r="AV185" s="507">
        <f t="shared" si="327"/>
        <v>-0.926922</v>
      </c>
      <c r="AW185" s="507">
        <f t="shared" si="327"/>
        <v>0.2841947</v>
      </c>
      <c r="AX185" s="507">
        <f t="shared" si="327"/>
        <v>-0.1520629</v>
      </c>
      <c r="AY185" s="464"/>
      <c r="AZ185" s="507">
        <f t="shared" ref="AZ185:BE185" si="328">if(AZ176&gt;AZ178,AZ184*1,AZ184*-1)</f>
        <v>-0.10746431</v>
      </c>
      <c r="BA185" s="507">
        <f t="shared" si="328"/>
        <v>-0.09161958</v>
      </c>
      <c r="BB185" s="507">
        <f t="shared" si="328"/>
        <v>1.11516575</v>
      </c>
      <c r="BC185" s="507">
        <f t="shared" si="328"/>
        <v>-0.02091571</v>
      </c>
      <c r="BD185" s="507">
        <f t="shared" si="328"/>
        <v>-0.23939212</v>
      </c>
      <c r="BE185" s="507">
        <f t="shared" si="328"/>
        <v>-0.16594129</v>
      </c>
      <c r="BF185" s="464"/>
      <c r="BG185" s="464"/>
      <c r="BH185" s="464"/>
      <c r="BI185" s="464"/>
      <c r="BJ185" s="464"/>
      <c r="BK185" s="464"/>
      <c r="BL185" s="464"/>
      <c r="BM185" s="464"/>
    </row>
    <row r="186">
      <c r="A186" s="466" t="s">
        <v>1492</v>
      </c>
      <c r="B186" s="464"/>
      <c r="C186" s="464"/>
      <c r="D186" s="464"/>
      <c r="E186" s="464"/>
      <c r="F186" s="464"/>
      <c r="G186" s="464"/>
      <c r="H186" s="464"/>
      <c r="I186" s="466"/>
      <c r="J186" s="507">
        <v>0.5703844</v>
      </c>
      <c r="K186" s="507">
        <v>0.3672107</v>
      </c>
      <c r="L186" s="507">
        <v>0.7840643</v>
      </c>
      <c r="M186" s="507">
        <v>0.1300861</v>
      </c>
      <c r="N186" s="507">
        <v>0.6018192</v>
      </c>
      <c r="O186" s="507">
        <v>0.6721165</v>
      </c>
      <c r="P186" s="464"/>
      <c r="Q186" s="507">
        <v>0.8099857</v>
      </c>
      <c r="R186" s="507">
        <v>0.8661181</v>
      </c>
      <c r="S186" s="507">
        <v>0.5307448</v>
      </c>
      <c r="T186" s="507">
        <v>0.7234423</v>
      </c>
      <c r="U186" s="507">
        <v>0.8175131</v>
      </c>
      <c r="V186" s="507">
        <v>0.7994122</v>
      </c>
      <c r="W186" s="464"/>
      <c r="X186" s="507">
        <v>0.5862306</v>
      </c>
      <c r="Y186" s="507">
        <v>0.4037338</v>
      </c>
      <c r="Z186" s="507">
        <v>0.2482313</v>
      </c>
      <c r="AA186" s="507">
        <v>0.3161866</v>
      </c>
      <c r="AB186" s="507">
        <v>0.9775798</v>
      </c>
      <c r="AC186" s="507">
        <v>0.1891248</v>
      </c>
      <c r="AD186" s="464"/>
      <c r="AE186" s="507">
        <v>0.5854471</v>
      </c>
      <c r="AF186" s="507">
        <v>0.7335415</v>
      </c>
      <c r="AG186" s="507">
        <v>0.6553638</v>
      </c>
      <c r="AH186" s="507">
        <v>0.7820839</v>
      </c>
      <c r="AI186" s="507">
        <v>0.6466015</v>
      </c>
      <c r="AJ186" s="507">
        <v>0.9474312</v>
      </c>
      <c r="AK186" s="464"/>
      <c r="AL186" s="510">
        <v>0.08193683</v>
      </c>
      <c r="AM186" s="507">
        <v>0.49744487</v>
      </c>
      <c r="AN186" s="507">
        <v>0.49069539</v>
      </c>
      <c r="AO186" s="507">
        <v>0.78297335</v>
      </c>
      <c r="AP186" s="510">
        <v>0.09014317</v>
      </c>
      <c r="AQ186" s="507">
        <v>0.54154202</v>
      </c>
      <c r="AR186" s="464"/>
      <c r="AS186" s="507">
        <v>0.6283994</v>
      </c>
      <c r="AT186" s="507">
        <v>0.7065703</v>
      </c>
      <c r="AU186" s="507">
        <v>0.4469817</v>
      </c>
      <c r="AV186" s="507">
        <v>0.335664</v>
      </c>
      <c r="AW186" s="507">
        <v>0.5939649</v>
      </c>
      <c r="AX186" s="507">
        <v>0.6965718</v>
      </c>
      <c r="AY186" s="464"/>
      <c r="AZ186" s="507">
        <v>0.7430497</v>
      </c>
      <c r="BA186" s="507">
        <v>0.7621282</v>
      </c>
      <c r="BB186" s="507">
        <v>0.2909618</v>
      </c>
      <c r="BC186" s="507">
        <v>0.8850088</v>
      </c>
      <c r="BD186" s="507">
        <v>0.6246455</v>
      </c>
      <c r="BE186" s="507">
        <v>0.6837444</v>
      </c>
      <c r="BF186" s="464"/>
      <c r="BG186" s="464"/>
      <c r="BH186" s="464"/>
      <c r="BI186" s="464"/>
      <c r="BJ186" s="464"/>
      <c r="BK186" s="464"/>
      <c r="BL186" s="464"/>
      <c r="BM186" s="464"/>
    </row>
    <row r="187">
      <c r="A187" s="466" t="s">
        <v>1567</v>
      </c>
      <c r="B187" s="464"/>
      <c r="C187" s="464"/>
      <c r="D187" s="464"/>
      <c r="E187" s="464"/>
      <c r="F187" s="464"/>
      <c r="G187" s="464"/>
      <c r="H187" s="464"/>
      <c r="I187" s="466"/>
      <c r="J187" s="505">
        <f>chitest(J176:O176,J178:O178)</f>
        <v>0.000000736967871</v>
      </c>
      <c r="K187" s="464"/>
      <c r="L187" s="464"/>
      <c r="M187" s="464"/>
      <c r="N187" s="464"/>
      <c r="O187" s="464"/>
      <c r="P187" s="464"/>
      <c r="Q187" s="505">
        <f>chitest(Q176:V176,Q178:V178)</f>
        <v>0.01985081799</v>
      </c>
      <c r="R187" s="464"/>
      <c r="S187" s="464"/>
      <c r="T187" s="464"/>
      <c r="U187" s="464"/>
      <c r="V187" s="464"/>
      <c r="W187" s="464"/>
      <c r="X187" s="505">
        <f>chitest(X176:AC176,X178:AC178)</f>
        <v>0.0000000001187384635</v>
      </c>
      <c r="Y187" s="464"/>
      <c r="Z187" s="464"/>
      <c r="AA187" s="464"/>
      <c r="AB187" s="464"/>
      <c r="AC187" s="464"/>
      <c r="AD187" s="464"/>
      <c r="AE187" s="506">
        <f>chitest(AE176:AJ176,AE178:AJ178)</f>
        <v>0.07980100332</v>
      </c>
      <c r="AF187" s="464"/>
      <c r="AG187" s="464"/>
      <c r="AH187" s="464"/>
      <c r="AI187" s="464"/>
      <c r="AJ187" s="464"/>
      <c r="AK187" s="464"/>
      <c r="AL187" s="506">
        <f>chitest(AL176:AQ176,AL178:AQ178)</f>
        <v>0</v>
      </c>
      <c r="AM187" s="464"/>
      <c r="AN187" s="464"/>
      <c r="AO187" s="464"/>
      <c r="AP187" s="464"/>
      <c r="AQ187" s="464"/>
      <c r="AR187" s="464"/>
      <c r="AS187" s="505">
        <f>chitest(AS176:AX176,AS178:AX178)</f>
        <v>0.00002124005901</v>
      </c>
      <c r="AT187" s="464"/>
      <c r="AU187" s="464"/>
      <c r="AV187" s="464"/>
      <c r="AW187" s="464"/>
      <c r="AX187" s="464"/>
      <c r="AY187" s="464"/>
      <c r="AZ187" s="506">
        <f>chitest(AZ176:BE176,AZ178:BE178)</f>
        <v>0.05372307118</v>
      </c>
      <c r="BA187" s="464"/>
      <c r="BB187" s="464"/>
      <c r="BC187" s="464"/>
      <c r="BD187" s="464"/>
      <c r="BE187" s="464"/>
      <c r="BF187" s="464"/>
      <c r="BG187" s="464"/>
      <c r="BH187" s="464"/>
      <c r="BI187" s="464"/>
      <c r="BJ187" s="464"/>
      <c r="BK187" s="464"/>
      <c r="BL187" s="464"/>
      <c r="BM187" s="464"/>
    </row>
    <row r="188">
      <c r="A188" s="466" t="s">
        <v>1568</v>
      </c>
      <c r="B188" s="464"/>
      <c r="C188" s="464"/>
      <c r="D188" s="464"/>
      <c r="E188" s="464"/>
      <c r="F188" s="464"/>
      <c r="G188" s="464"/>
      <c r="H188" s="464"/>
      <c r="I188" s="466"/>
      <c r="J188" s="506">
        <f t="shared" ref="J188:O188" si="329">chitest(J176,J178)</f>
        <v>0.3477455989</v>
      </c>
      <c r="K188" s="506">
        <f t="shared" si="329"/>
        <v>0.3230332104</v>
      </c>
      <c r="L188" s="506">
        <f t="shared" si="329"/>
        <v>0.1336144025</v>
      </c>
      <c r="M188" s="505">
        <f t="shared" si="329"/>
        <v>0.00000005099277467</v>
      </c>
      <c r="N188" s="514">
        <f t="shared" si="329"/>
        <v>0.09898017901</v>
      </c>
      <c r="O188" s="506">
        <f t="shared" si="329"/>
        <v>0.8382564864</v>
      </c>
      <c r="P188" s="464"/>
      <c r="Q188" s="514">
        <f t="shared" ref="Q188:V188" si="330">chitest(Q176,Q178)</f>
        <v>0.06368680952</v>
      </c>
      <c r="R188" s="506">
        <f t="shared" si="330"/>
        <v>0.1957596508</v>
      </c>
      <c r="S188" s="506">
        <f t="shared" si="330"/>
        <v>0.7282502019</v>
      </c>
      <c r="T188" s="505">
        <f t="shared" si="330"/>
        <v>0.009831975409</v>
      </c>
      <c r="U188" s="506">
        <f t="shared" si="330"/>
        <v>0.2224575791</v>
      </c>
      <c r="V188" s="506">
        <f t="shared" si="330"/>
        <v>0.8872004329</v>
      </c>
      <c r="W188" s="464"/>
      <c r="X188" s="506">
        <f t="shared" ref="X188:AC188" si="331">chitest(X176,X178)</f>
        <v>0.1556620636</v>
      </c>
      <c r="Y188" s="506">
        <f t="shared" si="331"/>
        <v>0.4383913776</v>
      </c>
      <c r="Z188" s="506">
        <f t="shared" si="331"/>
        <v>0.5971261049</v>
      </c>
      <c r="AA188" s="505">
        <f t="shared" si="331"/>
        <v>0.0000006374279983</v>
      </c>
      <c r="AB188" s="505">
        <f t="shared" si="331"/>
        <v>0.004719714102</v>
      </c>
      <c r="AC188" s="505">
        <f t="shared" si="331"/>
        <v>0.000009930105061</v>
      </c>
      <c r="AD188" s="464"/>
      <c r="AE188" s="505">
        <f t="shared" ref="AE188:AJ188" si="332">chitest(AE176,AE178)</f>
        <v>0.008751772227</v>
      </c>
      <c r="AF188" s="506">
        <f t="shared" si="332"/>
        <v>0.7537277067</v>
      </c>
      <c r="AG188" s="506">
        <f t="shared" si="332"/>
        <v>0.6878549605</v>
      </c>
      <c r="AH188" s="506">
        <f t="shared" si="332"/>
        <v>0.1111799641</v>
      </c>
      <c r="AI188" s="506">
        <f t="shared" si="332"/>
        <v>0.6807423869</v>
      </c>
      <c r="AJ188" s="506">
        <f t="shared" si="332"/>
        <v>0.9499691009</v>
      </c>
      <c r="AK188" s="464"/>
      <c r="AL188" s="505">
        <f t="shared" ref="AL188:AQ188" si="333">chitest(AL176,AL178)</f>
        <v>0</v>
      </c>
      <c r="AM188" s="514">
        <f t="shared" si="333"/>
        <v>0.06722606163</v>
      </c>
      <c r="AN188" s="505">
        <f t="shared" si="333"/>
        <v>0.0000004576420454</v>
      </c>
      <c r="AO188" s="506">
        <f t="shared" si="333"/>
        <v>0.3369718833</v>
      </c>
      <c r="AP188" s="506">
        <f t="shared" si="333"/>
        <v>0.1991105307</v>
      </c>
      <c r="AQ188" s="506">
        <f t="shared" si="333"/>
        <v>0.797283361</v>
      </c>
      <c r="AR188" s="464"/>
      <c r="AS188" s="505">
        <f t="shared" ref="AS188:AX188" si="334">chitest(AS176,AS178)</f>
        <v>0.003033477154</v>
      </c>
      <c r="AT188" s="506">
        <f t="shared" si="334"/>
        <v>0.2287522061</v>
      </c>
      <c r="AU188" s="505">
        <f t="shared" si="334"/>
        <v>0.0001375050638</v>
      </c>
      <c r="AV188" s="506">
        <f t="shared" si="334"/>
        <v>0.6468641854</v>
      </c>
      <c r="AW188" s="505">
        <f t="shared" si="334"/>
        <v>0.04096541363</v>
      </c>
      <c r="AX188" s="506">
        <f t="shared" si="334"/>
        <v>0.851638782</v>
      </c>
      <c r="AY188" s="464"/>
      <c r="AZ188" s="506">
        <f t="shared" ref="AZ188:BE188" si="335">chitest(AZ176,AZ178)</f>
        <v>0.8118865936</v>
      </c>
      <c r="BA188" s="506">
        <f t="shared" si="335"/>
        <v>0.8251151154</v>
      </c>
      <c r="BB188" s="505">
        <f t="shared" si="335"/>
        <v>0.001150694301</v>
      </c>
      <c r="BC188" s="506">
        <f t="shared" si="335"/>
        <v>0.9137948648</v>
      </c>
      <c r="BD188" s="506">
        <f t="shared" si="335"/>
        <v>0.7342618015</v>
      </c>
      <c r="BE188" s="506">
        <f t="shared" si="335"/>
        <v>0.7719688057</v>
      </c>
      <c r="BF188" s="464"/>
      <c r="BG188" s="464"/>
      <c r="BH188" s="464"/>
      <c r="BI188" s="464"/>
      <c r="BJ188" s="464"/>
      <c r="BK188" s="464"/>
      <c r="BL188" s="464"/>
      <c r="BM188" s="464"/>
    </row>
    <row r="189">
      <c r="A189" s="466" t="s">
        <v>1569</v>
      </c>
      <c r="B189" s="464"/>
      <c r="C189" s="464"/>
      <c r="D189" s="464"/>
      <c r="E189" s="464"/>
      <c r="F189" s="464"/>
      <c r="G189" s="464"/>
      <c r="H189" s="464"/>
      <c r="I189" s="466"/>
      <c r="J189" s="464">
        <f>sum(J176:P176)/sum($J$176:$BM$176)</f>
        <v>0.1981132075</v>
      </c>
      <c r="K189" s="464"/>
      <c r="L189" s="464"/>
      <c r="M189" s="464"/>
      <c r="N189" s="464"/>
      <c r="O189" s="464"/>
      <c r="P189" s="464"/>
      <c r="Q189" s="464">
        <f>sum(Q176:W176)/sum($J$176:$BM$176)</f>
        <v>0.09433962264</v>
      </c>
      <c r="R189" s="464"/>
      <c r="S189" s="464"/>
      <c r="T189" s="464"/>
      <c r="U189" s="464"/>
      <c r="V189" s="464"/>
      <c r="W189" s="464"/>
      <c r="X189" s="464">
        <f>sum(X176:AD176)/sum($J$176:$BM$176)</f>
        <v>0.2169811321</v>
      </c>
      <c r="Y189" s="464"/>
      <c r="Z189" s="464"/>
      <c r="AA189" s="464"/>
      <c r="AB189" s="464"/>
      <c r="AC189" s="464"/>
      <c r="AD189" s="464"/>
      <c r="AE189" s="464">
        <f>sum(AE176:AK176)/sum($J$176:$BM$176)</f>
        <v>0.01886792453</v>
      </c>
      <c r="AF189" s="464"/>
      <c r="AG189" s="464"/>
      <c r="AH189" s="464"/>
      <c r="AI189" s="464"/>
      <c r="AJ189" s="464"/>
      <c r="AK189" s="464"/>
      <c r="AL189" s="464">
        <f>sum(AL176:AR176)/sum($J$176:$BM$176)</f>
        <v>0.3018867925</v>
      </c>
      <c r="AM189" s="464"/>
      <c r="AN189" s="464"/>
      <c r="AO189" s="464"/>
      <c r="AP189" s="464"/>
      <c r="AQ189" s="464"/>
      <c r="AR189" s="464"/>
      <c r="AS189" s="464">
        <f>sum(AS176:AY176)/sum($J$176:$BM$176)</f>
        <v>0.1603773585</v>
      </c>
      <c r="AT189" s="464"/>
      <c r="AU189" s="464"/>
      <c r="AV189" s="464"/>
      <c r="AW189" s="464"/>
      <c r="AX189" s="464"/>
      <c r="AY189" s="464"/>
      <c r="AZ189" s="464">
        <f>sum(AZ176:BF176)/sum($J$176:$BM$176)</f>
        <v>0.009433962264</v>
      </c>
      <c r="BA189" s="464"/>
      <c r="BB189" s="464"/>
      <c r="BC189" s="464"/>
      <c r="BD189" s="464"/>
      <c r="BE189" s="464"/>
      <c r="BF189" s="464"/>
      <c r="BG189" s="464"/>
      <c r="BH189" s="464"/>
      <c r="BI189" s="464"/>
      <c r="BJ189" s="464"/>
      <c r="BK189" s="464"/>
      <c r="BL189" s="464"/>
      <c r="BM189" s="464"/>
    </row>
    <row r="190">
      <c r="A190" s="466" t="s">
        <v>1570</v>
      </c>
      <c r="B190" s="464"/>
      <c r="C190" s="464"/>
      <c r="D190" s="464"/>
      <c r="E190" s="464"/>
      <c r="F190" s="464"/>
      <c r="G190" s="464"/>
      <c r="H190" s="536"/>
      <c r="I190" s="466"/>
      <c r="J190" s="520">
        <v>0.093576375</v>
      </c>
      <c r="K190" s="520">
        <v>0.132754072</v>
      </c>
      <c r="L190" s="520">
        <v>0.119046481</v>
      </c>
      <c r="M190" s="520">
        <v>0.094485948</v>
      </c>
      <c r="N190" s="520">
        <v>0.113842067</v>
      </c>
      <c r="O190" s="464"/>
      <c r="P190" s="464"/>
      <c r="Q190" s="464">
        <f>J190</f>
        <v>0.093576375</v>
      </c>
      <c r="R190" s="520">
        <v>0.127417845</v>
      </c>
      <c r="S190" s="520">
        <v>0.119800592</v>
      </c>
      <c r="T190" s="520">
        <v>0.069170507</v>
      </c>
      <c r="U190" s="520">
        <v>0.117149808</v>
      </c>
      <c r="V190" s="464"/>
      <c r="W190" s="464"/>
      <c r="X190" s="464">
        <f>K190</f>
        <v>0.132754072</v>
      </c>
      <c r="Y190" s="464">
        <f>R190</f>
        <v>0.127417845</v>
      </c>
      <c r="Z190" s="520">
        <v>0.139073207</v>
      </c>
      <c r="AA190" s="520">
        <v>0.127087183</v>
      </c>
      <c r="AB190" s="520">
        <v>0.132499419</v>
      </c>
      <c r="AC190" s="464"/>
      <c r="AD190" s="464"/>
      <c r="AE190" s="464">
        <f>L190</f>
        <v>0.119046481</v>
      </c>
      <c r="AF190" s="464">
        <f>S190</f>
        <v>0.119800592</v>
      </c>
      <c r="AG190" s="464">
        <f>Z190</f>
        <v>0.139073207</v>
      </c>
      <c r="AH190" s="520">
        <v>0.120082535</v>
      </c>
      <c r="AI190" s="520">
        <v>0.11648931</v>
      </c>
      <c r="AJ190" s="464"/>
      <c r="AK190" s="464"/>
      <c r="AL190" s="464">
        <f>M190</f>
        <v>0.094485948</v>
      </c>
      <c r="AM190" s="464">
        <f>T190</f>
        <v>0.069170507</v>
      </c>
      <c r="AN190" s="464">
        <f>AA190</f>
        <v>0.127087183</v>
      </c>
      <c r="AO190" s="464">
        <f>AH190</f>
        <v>0.120082535</v>
      </c>
      <c r="AP190" s="520">
        <v>0.119967925</v>
      </c>
      <c r="AQ190" s="464"/>
      <c r="AR190" s="464"/>
      <c r="AS190" s="464">
        <f>N190</f>
        <v>0.113842067</v>
      </c>
      <c r="AT190" s="464">
        <f>U190</f>
        <v>0.117149808</v>
      </c>
      <c r="AU190" s="464">
        <f>AB190</f>
        <v>0.132499419</v>
      </c>
      <c r="AV190" s="464">
        <f>AI190</f>
        <v>0.11648931</v>
      </c>
      <c r="AW190" s="464">
        <f>AP190</f>
        <v>0.119967925</v>
      </c>
      <c r="AX190" s="464"/>
      <c r="AY190" s="464"/>
      <c r="AZ190" s="464"/>
      <c r="BA190" s="464"/>
      <c r="BB190" s="464"/>
      <c r="BC190" s="464"/>
      <c r="BD190" s="464"/>
      <c r="BE190" s="464"/>
      <c r="BF190" s="464"/>
      <c r="BG190" s="464"/>
      <c r="BH190" s="464"/>
      <c r="BI190" s="464"/>
      <c r="BJ190" s="464"/>
      <c r="BK190" s="464"/>
      <c r="BL190" s="464"/>
      <c r="BM190" s="464"/>
    </row>
    <row r="191">
      <c r="A191" s="466" t="s">
        <v>1571</v>
      </c>
      <c r="B191" s="464"/>
      <c r="C191" s="464"/>
      <c r="D191" s="464"/>
      <c r="E191" s="464"/>
      <c r="F191" s="464"/>
      <c r="G191" s="464"/>
      <c r="H191" s="464"/>
      <c r="I191" s="466"/>
      <c r="J191" s="464">
        <f t="shared" ref="J191:O191" si="336">C223</f>
        <v>0.5333333333</v>
      </c>
      <c r="K191" s="464">
        <f t="shared" si="336"/>
        <v>0.4444444444</v>
      </c>
      <c r="L191" s="464">
        <f t="shared" si="336"/>
        <v>2</v>
      </c>
      <c r="M191" s="464">
        <f t="shared" si="336"/>
        <v>0.2962962963</v>
      </c>
      <c r="N191" s="464">
        <f t="shared" si="336"/>
        <v>0.3076923077</v>
      </c>
      <c r="O191" s="464" t="str">
        <f t="shared" si="336"/>
        <v>#DIV/0!</v>
      </c>
      <c r="P191" s="464"/>
      <c r="Q191" s="464">
        <f>B224</f>
        <v>1.875</v>
      </c>
      <c r="R191" s="464">
        <f t="shared" ref="R191:V191" si="337">D224</f>
        <v>0.8333333333</v>
      </c>
      <c r="S191" s="464">
        <f t="shared" si="337"/>
        <v>3.75</v>
      </c>
      <c r="T191" s="464">
        <f t="shared" si="337"/>
        <v>0.5555555556</v>
      </c>
      <c r="U191" s="464">
        <f t="shared" si="337"/>
        <v>0.5769230769</v>
      </c>
      <c r="V191" s="464" t="str">
        <f t="shared" si="337"/>
        <v>#DIV/0!</v>
      </c>
      <c r="W191" s="464"/>
      <c r="X191" s="464">
        <f t="shared" ref="X191:Y191" si="338">B225</f>
        <v>2.25</v>
      </c>
      <c r="Y191" s="464">
        <f t="shared" si="338"/>
        <v>1.2</v>
      </c>
      <c r="Z191" s="464">
        <f t="shared" ref="Z191:AC191" si="339">E225</f>
        <v>4.5</v>
      </c>
      <c r="AA191" s="464">
        <f t="shared" si="339"/>
        <v>0.6666666667</v>
      </c>
      <c r="AB191" s="464">
        <f t="shared" si="339"/>
        <v>0.6923076923</v>
      </c>
      <c r="AC191" s="464" t="str">
        <f t="shared" si="339"/>
        <v>#DIV/0!</v>
      </c>
      <c r="AD191" s="464"/>
      <c r="AE191" s="464">
        <f t="shared" ref="AE191:AG191" si="340">B226</f>
        <v>0.5</v>
      </c>
      <c r="AF191" s="464">
        <f t="shared" si="340"/>
        <v>0.2666666667</v>
      </c>
      <c r="AG191" s="464">
        <f t="shared" si="340"/>
        <v>0.2222222222</v>
      </c>
      <c r="AH191" s="464">
        <f t="shared" ref="AH191:AJ191" si="341">F226</f>
        <v>0.1481481481</v>
      </c>
      <c r="AI191" s="464">
        <f t="shared" si="341"/>
        <v>0.1538461538</v>
      </c>
      <c r="AJ191" s="464" t="str">
        <f t="shared" si="341"/>
        <v>#DIV/0!</v>
      </c>
      <c r="AK191" s="464"/>
      <c r="AL191" s="464">
        <f t="shared" ref="AL191:AO191" si="342">B227</f>
        <v>3.375</v>
      </c>
      <c r="AM191" s="464">
        <f t="shared" si="342"/>
        <v>1.8</v>
      </c>
      <c r="AN191" s="464">
        <f t="shared" si="342"/>
        <v>1.5</v>
      </c>
      <c r="AO191" s="464">
        <f t="shared" si="342"/>
        <v>6.75</v>
      </c>
      <c r="AP191" s="464">
        <f t="shared" ref="AP191:AQ191" si="343">G227</f>
        <v>1.038461538</v>
      </c>
      <c r="AQ191" s="464" t="str">
        <f t="shared" si="343"/>
        <v>#DIV/0!</v>
      </c>
      <c r="AR191" s="464"/>
      <c r="AS191" s="464">
        <f t="shared" ref="AS191:AW191" si="344">B228</f>
        <v>3.25</v>
      </c>
      <c r="AT191" s="464">
        <f t="shared" si="344"/>
        <v>1.733333333</v>
      </c>
      <c r="AU191" s="464">
        <f t="shared" si="344"/>
        <v>1.444444444</v>
      </c>
      <c r="AV191" s="464">
        <f t="shared" si="344"/>
        <v>6.5</v>
      </c>
      <c r="AW191" s="464">
        <f t="shared" si="344"/>
        <v>0.962962963</v>
      </c>
      <c r="AX191" s="464" t="str">
        <f>H228</f>
        <v>#DIV/0!</v>
      </c>
      <c r="AY191" s="464"/>
      <c r="AZ191" s="464">
        <f t="shared" ref="AZ191:BE191" si="345">B229</f>
        <v>0</v>
      </c>
      <c r="BA191" s="464">
        <f t="shared" si="345"/>
        <v>0</v>
      </c>
      <c r="BB191" s="464">
        <f t="shared" si="345"/>
        <v>0</v>
      </c>
      <c r="BC191" s="464">
        <f t="shared" si="345"/>
        <v>0</v>
      </c>
      <c r="BD191" s="464">
        <f t="shared" si="345"/>
        <v>0</v>
      </c>
      <c r="BE191" s="464">
        <f t="shared" si="345"/>
        <v>0</v>
      </c>
      <c r="BF191" s="464"/>
      <c r="BG191" s="464"/>
      <c r="BH191" s="464"/>
      <c r="BI191" s="464"/>
      <c r="BJ191" s="464"/>
      <c r="BK191" s="464"/>
      <c r="BL191" s="464"/>
      <c r="BM191" s="464"/>
    </row>
    <row r="192">
      <c r="A192" s="466" t="s">
        <v>1572</v>
      </c>
      <c r="B192" s="464"/>
      <c r="C192" s="517"/>
      <c r="D192" s="470" t="s">
        <v>1575</v>
      </c>
      <c r="E192" s="464"/>
      <c r="F192" s="464"/>
      <c r="G192" s="464"/>
      <c r="H192" s="464"/>
      <c r="I192" s="466"/>
      <c r="J192" s="537">
        <f t="shared" ref="J192:O192" si="346">abs(LN(J191))</f>
        <v>0.6286086594</v>
      </c>
      <c r="K192" s="537">
        <f t="shared" si="346"/>
        <v>0.8109302162</v>
      </c>
      <c r="L192" s="537">
        <f t="shared" si="346"/>
        <v>0.6931471806</v>
      </c>
      <c r="M192" s="537">
        <f t="shared" si="346"/>
        <v>1.216395324</v>
      </c>
      <c r="N192" s="537">
        <f t="shared" si="346"/>
        <v>1.178654996</v>
      </c>
      <c r="O192" s="537" t="str">
        <f t="shared" si="346"/>
        <v>#DIV/0!</v>
      </c>
      <c r="P192" s="464"/>
      <c r="Q192" s="537">
        <f t="shared" ref="Q192:V192" si="347">abs(LN(Q191))</f>
        <v>0.6286086594</v>
      </c>
      <c r="R192" s="537">
        <f t="shared" si="347"/>
        <v>0.1823215568</v>
      </c>
      <c r="S192" s="537">
        <f t="shared" si="347"/>
        <v>1.32175584</v>
      </c>
      <c r="T192" s="537">
        <f t="shared" si="347"/>
        <v>0.5877866649</v>
      </c>
      <c r="U192" s="537">
        <f t="shared" si="347"/>
        <v>0.5500463369</v>
      </c>
      <c r="V192" s="537" t="str">
        <f t="shared" si="347"/>
        <v>#DIV/0!</v>
      </c>
      <c r="W192" s="464"/>
      <c r="X192" s="537">
        <f t="shared" ref="X192:AC192" si="348">abs(LN(X191))</f>
        <v>0.8109302162</v>
      </c>
      <c r="Y192" s="537">
        <f t="shared" si="348"/>
        <v>0.1823215568</v>
      </c>
      <c r="Z192" s="537">
        <f t="shared" si="348"/>
        <v>1.504077397</v>
      </c>
      <c r="AA192" s="537">
        <f t="shared" si="348"/>
        <v>0.4054651081</v>
      </c>
      <c r="AB192" s="537">
        <f t="shared" si="348"/>
        <v>0.3677247801</v>
      </c>
      <c r="AC192" s="537" t="str">
        <f t="shared" si="348"/>
        <v>#DIV/0!</v>
      </c>
      <c r="AD192" s="464"/>
      <c r="AE192" s="537">
        <f t="shared" ref="AE192:AJ192" si="349">abs(LN(AE191))</f>
        <v>0.6931471806</v>
      </c>
      <c r="AF192" s="537">
        <f t="shared" si="349"/>
        <v>1.32175584</v>
      </c>
      <c r="AG192" s="537">
        <f t="shared" si="349"/>
        <v>1.504077397</v>
      </c>
      <c r="AH192" s="537">
        <f t="shared" si="349"/>
        <v>1.909542505</v>
      </c>
      <c r="AI192" s="537">
        <f t="shared" si="349"/>
        <v>1.871802177</v>
      </c>
      <c r="AJ192" s="537" t="str">
        <f t="shared" si="349"/>
        <v>#DIV/0!</v>
      </c>
      <c r="AK192" s="464"/>
      <c r="AL192" s="537">
        <f t="shared" ref="AL192:AQ192" si="350">abs(LN(AL191))</f>
        <v>1.216395324</v>
      </c>
      <c r="AM192" s="537">
        <f t="shared" si="350"/>
        <v>0.5877866649</v>
      </c>
      <c r="AN192" s="537">
        <f t="shared" si="350"/>
        <v>0.4054651081</v>
      </c>
      <c r="AO192" s="537">
        <f t="shared" si="350"/>
        <v>1.909542505</v>
      </c>
      <c r="AP192" s="537">
        <f t="shared" si="350"/>
        <v>0.03774032798</v>
      </c>
      <c r="AQ192" s="537" t="str">
        <f t="shared" si="350"/>
        <v>#DIV/0!</v>
      </c>
      <c r="AR192" s="464"/>
      <c r="AS192" s="537">
        <f t="shared" ref="AS192:AX192" si="351">abs(LN(AS191))</f>
        <v>1.178654996</v>
      </c>
      <c r="AT192" s="537">
        <f t="shared" si="351"/>
        <v>0.5500463369</v>
      </c>
      <c r="AU192" s="537">
        <f t="shared" si="351"/>
        <v>0.3677247801</v>
      </c>
      <c r="AV192" s="537">
        <f t="shared" si="351"/>
        <v>1.871802177</v>
      </c>
      <c r="AW192" s="537">
        <f t="shared" si="351"/>
        <v>0.03774032798</v>
      </c>
      <c r="AX192" s="537" t="str">
        <f t="shared" si="351"/>
        <v>#DIV/0!</v>
      </c>
      <c r="AY192" s="464"/>
      <c r="AZ192" s="537" t="str">
        <f t="shared" ref="AZ192:BE192" si="352">abs(LN(AZ191))</f>
        <v>#NUM!</v>
      </c>
      <c r="BA192" s="537" t="str">
        <f t="shared" si="352"/>
        <v>#NUM!</v>
      </c>
      <c r="BB192" s="537" t="str">
        <f t="shared" si="352"/>
        <v>#NUM!</v>
      </c>
      <c r="BC192" s="537" t="str">
        <f t="shared" si="352"/>
        <v>#NUM!</v>
      </c>
      <c r="BD192" s="537" t="str">
        <f t="shared" si="352"/>
        <v>#NUM!</v>
      </c>
      <c r="BE192" s="537" t="str">
        <f t="shared" si="352"/>
        <v>#NUM!</v>
      </c>
      <c r="BF192" s="464"/>
      <c r="BG192" s="464"/>
      <c r="BH192" s="464"/>
      <c r="BI192" s="464"/>
      <c r="BJ192" s="464"/>
      <c r="BK192" s="464"/>
      <c r="BL192" s="464"/>
      <c r="BM192" s="464"/>
    </row>
    <row r="193">
      <c r="A193" s="466" t="s">
        <v>1573</v>
      </c>
      <c r="B193" s="464"/>
      <c r="C193" s="518"/>
      <c r="D193" s="470" t="s">
        <v>1577</v>
      </c>
      <c r="E193" s="464"/>
      <c r="F193" s="464"/>
      <c r="G193" s="464"/>
      <c r="H193" s="464"/>
      <c r="I193" s="466"/>
      <c r="J193" s="464">
        <f t="shared" ref="J193:O193" si="353">C233</f>
        <v>1</v>
      </c>
      <c r="K193" s="464">
        <f t="shared" si="353"/>
        <v>0.641509434</v>
      </c>
      <c r="L193" s="464">
        <f t="shared" si="353"/>
        <v>4.25</v>
      </c>
      <c r="M193" s="464">
        <f t="shared" si="353"/>
        <v>0.3434343434</v>
      </c>
      <c r="N193" s="464">
        <f t="shared" si="353"/>
        <v>0.5964912281</v>
      </c>
      <c r="O193" s="464">
        <f t="shared" si="353"/>
        <v>34</v>
      </c>
      <c r="P193" s="464"/>
      <c r="Q193" s="464">
        <f>B234</f>
        <v>1</v>
      </c>
      <c r="R193" s="464">
        <f t="shared" ref="R193:V193" si="354">D234</f>
        <v>0.641509434</v>
      </c>
      <c r="S193" s="464">
        <f t="shared" si="354"/>
        <v>4.25</v>
      </c>
      <c r="T193" s="464">
        <f t="shared" si="354"/>
        <v>0.3434343434</v>
      </c>
      <c r="U193" s="464">
        <f t="shared" si="354"/>
        <v>0.5964912281</v>
      </c>
      <c r="V193" s="464">
        <f t="shared" si="354"/>
        <v>34</v>
      </c>
      <c r="W193" s="464"/>
      <c r="X193" s="464">
        <f t="shared" ref="X193:Y193" si="355">B235</f>
        <v>1.558823529</v>
      </c>
      <c r="Y193" s="464">
        <f t="shared" si="355"/>
        <v>1.558823529</v>
      </c>
      <c r="Z193" s="464">
        <f t="shared" ref="Z193:AC193" si="356">E235</f>
        <v>6.625</v>
      </c>
      <c r="AA193" s="464">
        <f t="shared" si="356"/>
        <v>0.5353535354</v>
      </c>
      <c r="AB193" s="464">
        <f t="shared" si="356"/>
        <v>0.9298245614</v>
      </c>
      <c r="AC193" s="464">
        <f t="shared" si="356"/>
        <v>53</v>
      </c>
      <c r="AD193" s="464"/>
      <c r="AE193" s="464">
        <f t="shared" ref="AE193:AG193" si="357">B236</f>
        <v>0.2352941176</v>
      </c>
      <c r="AF193" s="464">
        <f t="shared" si="357"/>
        <v>0.2352941176</v>
      </c>
      <c r="AG193" s="464">
        <f t="shared" si="357"/>
        <v>0.1509433962</v>
      </c>
      <c r="AH193" s="464">
        <f t="shared" ref="AH193:AJ193" si="358">F236</f>
        <v>0.08080808081</v>
      </c>
      <c r="AI193" s="464">
        <f t="shared" si="358"/>
        <v>0.1403508772</v>
      </c>
      <c r="AJ193" s="464">
        <f t="shared" si="358"/>
        <v>8</v>
      </c>
      <c r="AK193" s="464"/>
      <c r="AL193" s="464">
        <f t="shared" ref="AL193:AO193" si="359">B237</f>
        <v>2.911764706</v>
      </c>
      <c r="AM193" s="464">
        <f t="shared" si="359"/>
        <v>2.911764706</v>
      </c>
      <c r="AN193" s="464">
        <f t="shared" si="359"/>
        <v>1.867924528</v>
      </c>
      <c r="AO193" s="464">
        <f t="shared" si="359"/>
        <v>12.375</v>
      </c>
      <c r="AP193" s="464">
        <f t="shared" ref="AP193:AQ193" si="360">G237</f>
        <v>1.736842105</v>
      </c>
      <c r="AQ193" s="464">
        <f t="shared" si="360"/>
        <v>99</v>
      </c>
      <c r="AR193" s="464"/>
      <c r="AS193" s="464">
        <f t="shared" ref="AS193:AW193" si="361">B238</f>
        <v>1.676470588</v>
      </c>
      <c r="AT193" s="464">
        <f t="shared" si="361"/>
        <v>1.676470588</v>
      </c>
      <c r="AU193" s="464">
        <f t="shared" si="361"/>
        <v>1.075471698</v>
      </c>
      <c r="AV193" s="464">
        <f t="shared" si="361"/>
        <v>7.125</v>
      </c>
      <c r="AW193" s="464">
        <f t="shared" si="361"/>
        <v>0.5757575758</v>
      </c>
      <c r="AX193" s="464">
        <f>H238</f>
        <v>57</v>
      </c>
      <c r="AY193" s="464"/>
      <c r="AZ193" s="464">
        <f t="shared" ref="AZ193:BE193" si="362">B239</f>
        <v>0.02941176471</v>
      </c>
      <c r="BA193" s="464">
        <f t="shared" si="362"/>
        <v>0.02941176471</v>
      </c>
      <c r="BB193" s="464">
        <f t="shared" si="362"/>
        <v>0.01886792453</v>
      </c>
      <c r="BC193" s="464">
        <f t="shared" si="362"/>
        <v>0.125</v>
      </c>
      <c r="BD193" s="464">
        <f t="shared" si="362"/>
        <v>0.0101010101</v>
      </c>
      <c r="BE193" s="464">
        <f t="shared" si="362"/>
        <v>0.01754385965</v>
      </c>
      <c r="BF193" s="464"/>
      <c r="BG193" s="464"/>
      <c r="BH193" s="464"/>
      <c r="BI193" s="464"/>
      <c r="BJ193" s="464"/>
      <c r="BK193" s="464"/>
      <c r="BL193" s="464"/>
      <c r="BM193" s="464"/>
    </row>
    <row r="194">
      <c r="A194" s="466" t="s">
        <v>1574</v>
      </c>
      <c r="B194" s="464"/>
      <c r="C194" s="524"/>
      <c r="D194" s="470" t="s">
        <v>1579</v>
      </c>
      <c r="E194" s="464"/>
      <c r="F194" s="464"/>
      <c r="G194" s="464"/>
      <c r="H194" s="464"/>
      <c r="I194" s="466"/>
      <c r="J194" s="537">
        <f t="shared" ref="J194:O194" si="363">abs(LN(J193))</f>
        <v>0</v>
      </c>
      <c r="K194" s="537">
        <f t="shared" si="363"/>
        <v>0.4439313889</v>
      </c>
      <c r="L194" s="537">
        <f t="shared" si="363"/>
        <v>1.446918983</v>
      </c>
      <c r="M194" s="537">
        <f t="shared" si="363"/>
        <v>1.068759326</v>
      </c>
      <c r="N194" s="537">
        <f t="shared" si="363"/>
        <v>0.5166907432</v>
      </c>
      <c r="O194" s="537">
        <f t="shared" si="363"/>
        <v>3.526360525</v>
      </c>
      <c r="P194" s="464"/>
      <c r="Q194" s="537">
        <f t="shared" ref="Q194:V194" si="364">abs(LN(Q193))</f>
        <v>0</v>
      </c>
      <c r="R194" s="537">
        <f t="shared" si="364"/>
        <v>0.4439313889</v>
      </c>
      <c r="S194" s="537">
        <f t="shared" si="364"/>
        <v>1.446918983</v>
      </c>
      <c r="T194" s="537">
        <f t="shared" si="364"/>
        <v>1.068759326</v>
      </c>
      <c r="U194" s="537">
        <f t="shared" si="364"/>
        <v>0.5166907432</v>
      </c>
      <c r="V194" s="537">
        <f t="shared" si="364"/>
        <v>3.526360525</v>
      </c>
      <c r="W194" s="464"/>
      <c r="X194" s="537">
        <f t="shared" ref="X194:AC194" si="365">abs(LN(X193))</f>
        <v>0.4439313889</v>
      </c>
      <c r="Y194" s="537">
        <f t="shared" si="365"/>
        <v>0.4439313889</v>
      </c>
      <c r="Z194" s="537">
        <f t="shared" si="365"/>
        <v>1.890850372</v>
      </c>
      <c r="AA194" s="537">
        <f t="shared" si="365"/>
        <v>0.6248279366</v>
      </c>
      <c r="AB194" s="537">
        <f t="shared" si="365"/>
        <v>0.07275935428</v>
      </c>
      <c r="AC194" s="537">
        <f t="shared" si="365"/>
        <v>3.970291914</v>
      </c>
      <c r="AD194" s="464"/>
      <c r="AE194" s="537">
        <f t="shared" ref="AE194:AJ194" si="366">abs(LN(AE193))</f>
        <v>1.446918983</v>
      </c>
      <c r="AF194" s="537">
        <f t="shared" si="366"/>
        <v>1.446918983</v>
      </c>
      <c r="AG194" s="537">
        <f t="shared" si="366"/>
        <v>1.890850372</v>
      </c>
      <c r="AH194" s="537">
        <f t="shared" si="366"/>
        <v>2.515678308</v>
      </c>
      <c r="AI194" s="537">
        <f t="shared" si="366"/>
        <v>1.963609726</v>
      </c>
      <c r="AJ194" s="537">
        <f t="shared" si="366"/>
        <v>2.079441542</v>
      </c>
      <c r="AK194" s="464"/>
      <c r="AL194" s="537">
        <f t="shared" ref="AL194:AQ194" si="367">abs(LN(AL193))</f>
        <v>1.068759326</v>
      </c>
      <c r="AM194" s="537">
        <f t="shared" si="367"/>
        <v>1.068759326</v>
      </c>
      <c r="AN194" s="537">
        <f t="shared" si="367"/>
        <v>0.6248279366</v>
      </c>
      <c r="AO194" s="537">
        <f t="shared" si="367"/>
        <v>2.515678308</v>
      </c>
      <c r="AP194" s="537">
        <f t="shared" si="367"/>
        <v>0.5520685823</v>
      </c>
      <c r="AQ194" s="537">
        <f t="shared" si="367"/>
        <v>4.59511985</v>
      </c>
      <c r="AR194" s="464"/>
      <c r="AS194" s="537">
        <f t="shared" ref="AS194:AX194" si="368">abs(LN(AS193))</f>
        <v>0.5166907432</v>
      </c>
      <c r="AT194" s="537">
        <f t="shared" si="368"/>
        <v>0.5166907432</v>
      </c>
      <c r="AU194" s="537">
        <f t="shared" si="368"/>
        <v>0.07275935428</v>
      </c>
      <c r="AV194" s="537">
        <f t="shared" si="368"/>
        <v>1.963609726</v>
      </c>
      <c r="AW194" s="537">
        <f t="shared" si="368"/>
        <v>0.5520685823</v>
      </c>
      <c r="AX194" s="537">
        <f t="shared" si="368"/>
        <v>4.043051268</v>
      </c>
      <c r="AY194" s="464"/>
      <c r="AZ194" s="537">
        <f t="shared" ref="AZ194:BE194" si="369">abs(LN(AZ193))</f>
        <v>3.526360525</v>
      </c>
      <c r="BA194" s="537">
        <f t="shared" si="369"/>
        <v>3.526360525</v>
      </c>
      <c r="BB194" s="537">
        <f t="shared" si="369"/>
        <v>3.970291914</v>
      </c>
      <c r="BC194" s="537">
        <f t="shared" si="369"/>
        <v>2.079441542</v>
      </c>
      <c r="BD194" s="537">
        <f t="shared" si="369"/>
        <v>4.59511985</v>
      </c>
      <c r="BE194" s="537">
        <f t="shared" si="369"/>
        <v>4.043051268</v>
      </c>
      <c r="BF194" s="464"/>
      <c r="BG194" s="464"/>
      <c r="BH194" s="464"/>
      <c r="BI194" s="464"/>
      <c r="BJ194" s="464"/>
      <c r="BK194" s="464"/>
      <c r="BL194" s="464"/>
      <c r="BM194" s="464"/>
    </row>
    <row r="195">
      <c r="A195" s="464"/>
      <c r="B195" s="464"/>
      <c r="C195" s="464"/>
      <c r="D195" s="464"/>
      <c r="E195" s="464"/>
      <c r="F195" s="464"/>
      <c r="G195" s="464"/>
      <c r="H195" s="464"/>
      <c r="I195" s="466"/>
      <c r="J195" s="464"/>
      <c r="K195" s="464"/>
      <c r="L195" s="464"/>
      <c r="M195" s="464"/>
      <c r="N195" s="464"/>
      <c r="O195" s="464"/>
      <c r="P195" s="464"/>
      <c r="Q195" s="464"/>
      <c r="R195" s="464"/>
      <c r="S195" s="464"/>
      <c r="T195" s="464"/>
      <c r="U195" s="464"/>
      <c r="V195" s="464"/>
      <c r="W195" s="464"/>
      <c r="X195" s="464"/>
      <c r="Y195" s="464"/>
      <c r="Z195" s="464"/>
      <c r="AA195" s="464"/>
      <c r="AB195" s="464"/>
      <c r="AC195" s="464"/>
      <c r="AD195" s="464"/>
      <c r="AE195" s="464"/>
      <c r="AF195" s="464"/>
      <c r="AG195" s="464"/>
      <c r="AH195" s="464"/>
      <c r="AI195" s="464"/>
      <c r="AJ195" s="464"/>
      <c r="AK195" s="464"/>
      <c r="AL195" s="464"/>
      <c r="AM195" s="464"/>
      <c r="AN195" s="464"/>
      <c r="AO195" s="464"/>
      <c r="AP195" s="464"/>
      <c r="AQ195" s="464"/>
      <c r="AR195" s="464"/>
      <c r="AS195" s="464"/>
      <c r="AT195" s="464"/>
      <c r="AU195" s="464"/>
      <c r="AV195" s="464"/>
      <c r="AW195" s="464"/>
      <c r="AX195" s="464"/>
      <c r="AY195" s="464"/>
      <c r="AZ195" s="464"/>
      <c r="BA195" s="464"/>
      <c r="BB195" s="464"/>
      <c r="BC195" s="464"/>
      <c r="BD195" s="464"/>
      <c r="BE195" s="464"/>
      <c r="BF195" s="464"/>
      <c r="BG195" s="464"/>
      <c r="BH195" s="464"/>
      <c r="BI195" s="464"/>
      <c r="BJ195" s="464"/>
      <c r="BK195" s="464"/>
      <c r="BL195" s="464"/>
      <c r="BM195" s="464"/>
    </row>
    <row r="196">
      <c r="A196" s="464"/>
      <c r="B196" s="345" t="s">
        <v>389</v>
      </c>
      <c r="C196" s="346" t="s">
        <v>420</v>
      </c>
      <c r="D196" s="347" t="s">
        <v>358</v>
      </c>
      <c r="E196" s="348" t="s">
        <v>363</v>
      </c>
      <c r="F196" s="349" t="s">
        <v>413</v>
      </c>
      <c r="G196" s="350" t="s">
        <v>357</v>
      </c>
      <c r="H196" s="351" t="s">
        <v>380</v>
      </c>
      <c r="I196" s="352" t="s">
        <v>387</v>
      </c>
      <c r="J196" s="466" t="s">
        <v>1580</v>
      </c>
      <c r="K196" s="466" t="s">
        <v>1581</v>
      </c>
      <c r="L196" s="464"/>
      <c r="M196" s="464"/>
      <c r="N196" s="466" t="s">
        <v>1490</v>
      </c>
      <c r="O196" s="466" t="s">
        <v>1492</v>
      </c>
      <c r="P196" s="466" t="s">
        <v>1583</v>
      </c>
      <c r="Q196" s="466" t="s">
        <v>1570</v>
      </c>
      <c r="R196" s="466" t="s">
        <v>1572</v>
      </c>
      <c r="S196" s="466" t="s">
        <v>1574</v>
      </c>
      <c r="T196" s="466" t="s">
        <v>1565</v>
      </c>
      <c r="U196" s="464"/>
      <c r="V196" s="464"/>
      <c r="W196" s="464"/>
      <c r="X196" s="464"/>
      <c r="Y196" s="464"/>
      <c r="Z196" s="464"/>
      <c r="AA196" s="464"/>
      <c r="AB196" s="464"/>
      <c r="AC196" s="464"/>
      <c r="AD196" s="464"/>
      <c r="AE196" s="464"/>
      <c r="AF196" s="464"/>
      <c r="AG196" s="464"/>
      <c r="AH196" s="464"/>
      <c r="AI196" s="464"/>
      <c r="AJ196" s="464"/>
      <c r="AK196" s="464"/>
      <c r="AL196" s="464"/>
      <c r="AM196" s="464"/>
      <c r="AN196" s="464"/>
      <c r="AO196" s="464"/>
      <c r="AP196" s="464"/>
      <c r="AQ196" s="464"/>
      <c r="AR196" s="464"/>
      <c r="AS196" s="464"/>
      <c r="AT196" s="464"/>
      <c r="AU196" s="464"/>
      <c r="AV196" s="464"/>
      <c r="AW196" s="464"/>
      <c r="AX196" s="464"/>
      <c r="AY196" s="464"/>
      <c r="AZ196" s="464"/>
      <c r="BA196" s="464"/>
      <c r="BB196" s="464"/>
      <c r="BC196" s="464"/>
      <c r="BD196" s="464"/>
      <c r="BE196" s="464"/>
      <c r="BF196" s="464"/>
      <c r="BG196" s="464"/>
      <c r="BH196" s="464"/>
      <c r="BI196" s="464"/>
      <c r="BJ196" s="464"/>
      <c r="BK196" s="464"/>
      <c r="BL196" s="464"/>
      <c r="BM196" s="464"/>
    </row>
    <row r="197">
      <c r="A197" s="345" t="s">
        <v>389</v>
      </c>
      <c r="B197" s="538">
        <f>B176</f>
        <v>8</v>
      </c>
      <c r="C197" s="464">
        <f t="shared" ref="C197:I197" si="370">J176</f>
        <v>2</v>
      </c>
      <c r="D197" s="464">
        <f t="shared" si="370"/>
        <v>3</v>
      </c>
      <c r="E197" s="464">
        <f t="shared" si="370"/>
        <v>1</v>
      </c>
      <c r="F197" s="464">
        <f t="shared" si="370"/>
        <v>11</v>
      </c>
      <c r="G197" s="464">
        <f t="shared" si="370"/>
        <v>4</v>
      </c>
      <c r="H197" s="464">
        <f t="shared" si="370"/>
        <v>0</v>
      </c>
      <c r="I197" s="464" t="str">
        <f t="shared" si="370"/>
        <v/>
      </c>
      <c r="J197" s="464">
        <f>J183</f>
        <v>0.7351969</v>
      </c>
      <c r="K197" s="464">
        <f>J189</f>
        <v>0.1981132075</v>
      </c>
      <c r="L197" s="464"/>
      <c r="M197" s="407" t="s">
        <v>1427</v>
      </c>
      <c r="N197" s="539">
        <v>0.31968866</v>
      </c>
      <c r="O197" s="539">
        <v>0.5717948</v>
      </c>
      <c r="P197" s="537">
        <f t="shared" ref="P197:P238" si="372">if(O197&lt;0.1,1,0)</f>
        <v>0</v>
      </c>
      <c r="Q197" s="542">
        <v>0.093576375</v>
      </c>
      <c r="R197" s="537">
        <v>0.04445176257083401</v>
      </c>
      <c r="S197" s="537">
        <v>0.0</v>
      </c>
      <c r="T197" s="537">
        <v>0.03773584905660377</v>
      </c>
      <c r="U197" s="464"/>
      <c r="V197" s="464"/>
      <c r="W197" s="464"/>
      <c r="X197" s="464"/>
      <c r="Y197" s="464"/>
      <c r="Z197" s="464"/>
      <c r="AA197" s="464"/>
      <c r="AB197" s="464"/>
      <c r="AC197" s="464"/>
      <c r="AD197" s="464"/>
      <c r="AE197" s="464"/>
      <c r="AF197" s="464"/>
      <c r="AG197" s="464"/>
      <c r="AH197" s="464"/>
      <c r="AI197" s="464"/>
      <c r="AJ197" s="464"/>
      <c r="AK197" s="464"/>
      <c r="AL197" s="464"/>
      <c r="AM197" s="464"/>
      <c r="AN197" s="464"/>
      <c r="AO197" s="464"/>
      <c r="AP197" s="464"/>
      <c r="AQ197" s="464"/>
      <c r="AR197" s="464"/>
      <c r="AS197" s="464"/>
      <c r="AT197" s="464"/>
      <c r="AU197" s="464"/>
      <c r="AV197" s="464"/>
      <c r="AW197" s="464"/>
      <c r="AX197" s="464"/>
      <c r="AY197" s="464"/>
      <c r="AZ197" s="464"/>
      <c r="BA197" s="464"/>
      <c r="BB197" s="464"/>
      <c r="BC197" s="464"/>
      <c r="BD197" s="464"/>
      <c r="BE197" s="464"/>
      <c r="BF197" s="464"/>
      <c r="BG197" s="464"/>
      <c r="BH197" s="464"/>
      <c r="BI197" s="464"/>
      <c r="BJ197" s="464"/>
      <c r="BK197" s="464"/>
      <c r="BL197" s="464"/>
      <c r="BM197" s="464"/>
    </row>
    <row r="198">
      <c r="A198" s="346" t="s">
        <v>420</v>
      </c>
      <c r="B198" s="464">
        <f>Q176</f>
        <v>2</v>
      </c>
      <c r="C198" s="538">
        <f>C176</f>
        <v>15</v>
      </c>
      <c r="D198" s="464">
        <f t="shared" ref="D198:I198" si="371">R176</f>
        <v>2</v>
      </c>
      <c r="E198" s="464">
        <f t="shared" si="371"/>
        <v>0</v>
      </c>
      <c r="F198" s="464">
        <f t="shared" si="371"/>
        <v>4</v>
      </c>
      <c r="G198" s="464">
        <f t="shared" si="371"/>
        <v>2</v>
      </c>
      <c r="H198" s="464">
        <f t="shared" si="371"/>
        <v>0</v>
      </c>
      <c r="I198" s="464" t="str">
        <f t="shared" si="371"/>
        <v/>
      </c>
      <c r="J198" s="464">
        <f>Q183</f>
        <v>0.9859553</v>
      </c>
      <c r="K198" s="464">
        <f>Q189</f>
        <v>0.09433962264</v>
      </c>
      <c r="L198" s="464"/>
      <c r="M198" s="408" t="s">
        <v>1190</v>
      </c>
      <c r="N198" s="539">
        <v>0.90976592</v>
      </c>
      <c r="O198" s="539">
        <v>0.3401765</v>
      </c>
      <c r="P198" s="537">
        <f t="shared" si="372"/>
        <v>0</v>
      </c>
      <c r="Q198" s="542">
        <v>0.132754072</v>
      </c>
      <c r="R198" s="537">
        <v>0.4754236967150748</v>
      </c>
      <c r="S198" s="537">
        <v>0.4439313889359605</v>
      </c>
      <c r="T198" s="537">
        <v>0.05660377358490566</v>
      </c>
      <c r="U198" s="464"/>
      <c r="V198" s="464"/>
      <c r="W198" s="464"/>
      <c r="X198" s="464"/>
      <c r="Y198" s="464"/>
      <c r="Z198" s="464"/>
      <c r="AA198" s="464"/>
      <c r="AB198" s="464"/>
      <c r="AC198" s="464"/>
      <c r="AD198" s="464"/>
      <c r="AE198" s="464"/>
      <c r="AF198" s="464"/>
      <c r="AG198" s="464"/>
      <c r="AH198" s="464"/>
      <c r="AI198" s="464"/>
      <c r="AJ198" s="464"/>
      <c r="AK198" s="464"/>
      <c r="AL198" s="464"/>
      <c r="AM198" s="464"/>
      <c r="AN198" s="464"/>
      <c r="AO198" s="464"/>
      <c r="AP198" s="464"/>
      <c r="AQ198" s="464"/>
      <c r="AR198" s="464"/>
      <c r="AS198" s="464"/>
      <c r="AT198" s="464"/>
      <c r="AU198" s="464"/>
      <c r="AV198" s="464"/>
      <c r="AW198" s="464"/>
      <c r="AX198" s="464"/>
      <c r="AY198" s="464"/>
      <c r="AZ198" s="464"/>
      <c r="BA198" s="464"/>
      <c r="BB198" s="464"/>
      <c r="BC198" s="464"/>
      <c r="BD198" s="464"/>
      <c r="BE198" s="464"/>
      <c r="BF198" s="464"/>
      <c r="BG198" s="464"/>
      <c r="BH198" s="464"/>
      <c r="BI198" s="464"/>
      <c r="BJ198" s="464"/>
      <c r="BK198" s="464"/>
      <c r="BL198" s="464"/>
      <c r="BM198" s="464"/>
    </row>
    <row r="199">
      <c r="A199" s="347" t="s">
        <v>358</v>
      </c>
      <c r="B199" s="464">
        <f t="shared" ref="B199:C199" si="373">X176</f>
        <v>3</v>
      </c>
      <c r="C199" s="464">
        <f t="shared" si="373"/>
        <v>2</v>
      </c>
      <c r="D199" s="538">
        <f>D176</f>
        <v>18</v>
      </c>
      <c r="E199" s="464">
        <f t="shared" ref="E199:I199" si="374">Z176</f>
        <v>0</v>
      </c>
      <c r="F199" s="464">
        <f t="shared" si="374"/>
        <v>11</v>
      </c>
      <c r="G199" s="464">
        <f t="shared" si="374"/>
        <v>6</v>
      </c>
      <c r="H199" s="464">
        <f t="shared" si="374"/>
        <v>1</v>
      </c>
      <c r="I199" s="464" t="str">
        <f t="shared" si="374"/>
        <v/>
      </c>
      <c r="J199" s="464">
        <f>X183</f>
        <v>0.4844105</v>
      </c>
      <c r="K199" s="464">
        <f>X189</f>
        <v>0.2169811321</v>
      </c>
      <c r="L199" s="464"/>
      <c r="M199" s="409" t="s">
        <v>1214</v>
      </c>
      <c r="N199" s="539">
        <v>0.03201303</v>
      </c>
      <c r="O199" s="539">
        <v>0.8579991</v>
      </c>
      <c r="P199" s="537">
        <f t="shared" si="372"/>
        <v>0</v>
      </c>
      <c r="Q199" s="542">
        <v>0.119046481</v>
      </c>
      <c r="R199" s="537">
        <v>1.343734746701095</v>
      </c>
      <c r="S199" s="537">
        <v>1.4469189829363254</v>
      </c>
      <c r="T199" s="537">
        <v>0.018867924528301886</v>
      </c>
      <c r="U199" s="464"/>
      <c r="V199" s="464"/>
      <c r="W199" s="464"/>
      <c r="X199" s="464"/>
      <c r="Y199" s="464"/>
      <c r="Z199" s="464"/>
      <c r="AA199" s="464"/>
      <c r="AB199" s="464"/>
      <c r="AC199" s="464"/>
      <c r="AD199" s="464"/>
      <c r="AE199" s="464"/>
      <c r="AF199" s="464"/>
      <c r="AG199" s="464"/>
      <c r="AH199" s="464"/>
      <c r="AI199" s="464"/>
      <c r="AJ199" s="464"/>
      <c r="AK199" s="464"/>
      <c r="AL199" s="464"/>
      <c r="AM199" s="464"/>
      <c r="AN199" s="464"/>
      <c r="AO199" s="464"/>
      <c r="AP199" s="464"/>
      <c r="AQ199" s="464"/>
      <c r="AR199" s="464"/>
      <c r="AS199" s="464"/>
      <c r="AT199" s="464"/>
      <c r="AU199" s="464"/>
      <c r="AV199" s="464"/>
      <c r="AW199" s="464"/>
      <c r="AX199" s="464"/>
      <c r="AY199" s="464"/>
      <c r="AZ199" s="464"/>
      <c r="BA199" s="464"/>
      <c r="BB199" s="464"/>
      <c r="BC199" s="464"/>
      <c r="BD199" s="464"/>
      <c r="BE199" s="464"/>
      <c r="BF199" s="464"/>
      <c r="BG199" s="464"/>
      <c r="BH199" s="464"/>
      <c r="BI199" s="464"/>
      <c r="BJ199" s="464"/>
      <c r="BK199" s="464"/>
      <c r="BL199" s="464"/>
      <c r="BM199" s="464"/>
    </row>
    <row r="200">
      <c r="A200" s="348" t="s">
        <v>363</v>
      </c>
      <c r="B200" s="464">
        <f t="shared" ref="B200:D200" si="375">AE176</f>
        <v>1</v>
      </c>
      <c r="C200" s="464">
        <f t="shared" si="375"/>
        <v>0</v>
      </c>
      <c r="D200" s="464">
        <f t="shared" si="375"/>
        <v>0</v>
      </c>
      <c r="E200" s="538">
        <f>E176</f>
        <v>4</v>
      </c>
      <c r="F200" s="464">
        <f t="shared" ref="F200:I200" si="376">AH176</f>
        <v>1</v>
      </c>
      <c r="G200" s="464">
        <f t="shared" si="376"/>
        <v>0</v>
      </c>
      <c r="H200" s="464">
        <f t="shared" si="376"/>
        <v>0</v>
      </c>
      <c r="I200" s="464" t="str">
        <f t="shared" si="376"/>
        <v/>
      </c>
      <c r="J200" s="464">
        <f>AE183</f>
        <v>0.9801557</v>
      </c>
      <c r="K200" s="464">
        <f>AE189</f>
        <v>0.01886792453</v>
      </c>
      <c r="L200" s="464"/>
      <c r="M200" s="410" t="s">
        <v>1120</v>
      </c>
      <c r="N200" s="539">
        <v>2.40093692</v>
      </c>
      <c r="O200" s="539">
        <v>0.1212626</v>
      </c>
      <c r="P200" s="537">
        <f t="shared" si="372"/>
        <v>0</v>
      </c>
      <c r="Q200" s="542">
        <v>0.094485948</v>
      </c>
      <c r="R200" s="537">
        <v>0.8157495026522776</v>
      </c>
      <c r="S200" s="537">
        <v>1.0687593255184287</v>
      </c>
      <c r="T200" s="537">
        <v>0.20754716981132076</v>
      </c>
      <c r="U200" s="464"/>
      <c r="V200" s="464"/>
      <c r="W200" s="464"/>
      <c r="X200" s="464"/>
      <c r="Y200" s="464"/>
      <c r="Z200" s="464"/>
      <c r="AA200" s="464"/>
      <c r="AB200" s="464"/>
      <c r="AC200" s="464"/>
      <c r="AD200" s="464"/>
      <c r="AE200" s="464"/>
      <c r="AF200" s="464"/>
      <c r="AG200" s="464"/>
      <c r="AH200" s="464"/>
      <c r="AI200" s="464"/>
      <c r="AJ200" s="464"/>
      <c r="AK200" s="464"/>
      <c r="AL200" s="464"/>
      <c r="AM200" s="464"/>
      <c r="AN200" s="464"/>
      <c r="AO200" s="464"/>
      <c r="AP200" s="464"/>
      <c r="AQ200" s="464"/>
      <c r="AR200" s="464"/>
      <c r="AS200" s="464"/>
      <c r="AT200" s="464"/>
      <c r="AU200" s="464"/>
      <c r="AV200" s="464"/>
      <c r="AW200" s="464"/>
      <c r="AX200" s="464"/>
      <c r="AY200" s="464"/>
      <c r="AZ200" s="464"/>
      <c r="BA200" s="464"/>
      <c r="BB200" s="464"/>
      <c r="BC200" s="464"/>
      <c r="BD200" s="464"/>
      <c r="BE200" s="464"/>
      <c r="BF200" s="464"/>
      <c r="BG200" s="464"/>
      <c r="BH200" s="464"/>
      <c r="BI200" s="464"/>
      <c r="BJ200" s="464"/>
      <c r="BK200" s="464"/>
      <c r="BL200" s="464"/>
      <c r="BM200" s="464"/>
    </row>
    <row r="201">
      <c r="A201" s="349" t="s">
        <v>413</v>
      </c>
      <c r="B201" s="523">
        <f t="shared" ref="B201:E201" si="377">AL176</f>
        <v>11</v>
      </c>
      <c r="C201" s="464">
        <f t="shared" si="377"/>
        <v>4</v>
      </c>
      <c r="D201" s="464">
        <f t="shared" si="377"/>
        <v>11</v>
      </c>
      <c r="E201" s="464">
        <f t="shared" si="377"/>
        <v>1</v>
      </c>
      <c r="F201" s="538">
        <f>F176</f>
        <v>27</v>
      </c>
      <c r="G201" s="464">
        <f t="shared" ref="G201:I201" si="378">AP176</f>
        <v>5</v>
      </c>
      <c r="H201" s="464">
        <f t="shared" si="378"/>
        <v>0</v>
      </c>
      <c r="I201" s="464" t="str">
        <f t="shared" si="378"/>
        <v/>
      </c>
      <c r="J201" s="464">
        <f>AL183</f>
        <v>0.345731</v>
      </c>
      <c r="K201" s="464">
        <f>AL189</f>
        <v>0.3018867925</v>
      </c>
      <c r="L201" s="464"/>
      <c r="M201" s="411" t="s">
        <v>1188</v>
      </c>
      <c r="N201" s="539">
        <v>0.21649557</v>
      </c>
      <c r="O201" s="539">
        <v>0.6417232</v>
      </c>
      <c r="P201" s="537">
        <f t="shared" si="372"/>
        <v>0</v>
      </c>
      <c r="Q201" s="542">
        <v>0.113842067</v>
      </c>
      <c r="R201" s="537">
        <v>0.4754236967150748</v>
      </c>
      <c r="S201" s="537">
        <v>0.5166907432183888</v>
      </c>
      <c r="T201" s="537">
        <v>0.07547169811320754</v>
      </c>
      <c r="U201" s="464"/>
      <c r="V201" s="464"/>
      <c r="W201" s="464"/>
      <c r="X201" s="464"/>
      <c r="Y201" s="464"/>
      <c r="Z201" s="464"/>
      <c r="AA201" s="464"/>
      <c r="AB201" s="464"/>
      <c r="AC201" s="464"/>
      <c r="AD201" s="464"/>
      <c r="AE201" s="464"/>
      <c r="AF201" s="464"/>
      <c r="AG201" s="464"/>
      <c r="AH201" s="464"/>
      <c r="AI201" s="464"/>
      <c r="AJ201" s="464"/>
      <c r="AK201" s="464"/>
      <c r="AL201" s="464"/>
      <c r="AM201" s="464"/>
      <c r="AN201" s="464"/>
      <c r="AO201" s="464"/>
      <c r="AP201" s="464"/>
      <c r="AQ201" s="464"/>
      <c r="AR201" s="464"/>
      <c r="AS201" s="464"/>
      <c r="AT201" s="464"/>
      <c r="AU201" s="464"/>
      <c r="AV201" s="464"/>
      <c r="AW201" s="464"/>
      <c r="AX201" s="464"/>
      <c r="AY201" s="464"/>
      <c r="AZ201" s="464"/>
      <c r="BA201" s="464"/>
      <c r="BB201" s="464"/>
      <c r="BC201" s="464"/>
      <c r="BD201" s="464"/>
      <c r="BE201" s="464"/>
      <c r="BF201" s="464"/>
      <c r="BG201" s="464"/>
      <c r="BH201" s="464"/>
      <c r="BI201" s="464"/>
      <c r="BJ201" s="464"/>
      <c r="BK201" s="464"/>
      <c r="BL201" s="464"/>
      <c r="BM201" s="464"/>
    </row>
    <row r="202">
      <c r="A202" s="350" t="s">
        <v>357</v>
      </c>
      <c r="B202" s="464">
        <f t="shared" ref="B202:F202" si="379">AS176</f>
        <v>4</v>
      </c>
      <c r="C202" s="464">
        <f t="shared" si="379"/>
        <v>2</v>
      </c>
      <c r="D202" s="464">
        <f t="shared" si="379"/>
        <v>6</v>
      </c>
      <c r="E202" s="464">
        <f t="shared" si="379"/>
        <v>0</v>
      </c>
      <c r="F202" s="464">
        <f t="shared" si="379"/>
        <v>5</v>
      </c>
      <c r="G202" s="538">
        <f>G176</f>
        <v>26</v>
      </c>
      <c r="H202" s="470">
        <f t="shared" ref="H202:I202" si="380">AX176</f>
        <v>0</v>
      </c>
      <c r="I202" s="470" t="str">
        <f t="shared" si="380"/>
        <v/>
      </c>
      <c r="J202" s="464">
        <f>AS183</f>
        <v>0.8532393</v>
      </c>
      <c r="K202" s="464">
        <f>AS189</f>
        <v>0.1603773585</v>
      </c>
      <c r="L202" s="464"/>
      <c r="M202" s="412" t="s">
        <v>1428</v>
      </c>
      <c r="N202" s="539">
        <v>0.20803552</v>
      </c>
      <c r="O202" s="539">
        <v>0.6483115</v>
      </c>
      <c r="P202" s="537">
        <f t="shared" si="372"/>
        <v>0</v>
      </c>
      <c r="Q202" s="537"/>
      <c r="R202" s="537">
        <v>3.1354942159291497</v>
      </c>
      <c r="S202" s="537">
        <v>3.5263605246161616</v>
      </c>
      <c r="T202" s="537">
        <v>0.0</v>
      </c>
      <c r="U202" s="464"/>
      <c r="V202" s="464"/>
      <c r="W202" s="464"/>
      <c r="X202" s="464"/>
      <c r="Y202" s="464"/>
      <c r="Z202" s="464"/>
      <c r="AA202" s="464"/>
      <c r="AB202" s="464"/>
      <c r="AC202" s="464"/>
      <c r="AD202" s="464"/>
      <c r="AE202" s="464"/>
      <c r="AF202" s="464"/>
      <c r="AG202" s="464"/>
      <c r="AH202" s="464"/>
      <c r="AI202" s="464"/>
      <c r="AJ202" s="464"/>
      <c r="AK202" s="464"/>
      <c r="AL202" s="464"/>
      <c r="AM202" s="464"/>
      <c r="AN202" s="464"/>
      <c r="AO202" s="464"/>
      <c r="AP202" s="464"/>
      <c r="AQ202" s="464"/>
      <c r="AR202" s="464"/>
      <c r="AS202" s="464"/>
      <c r="AT202" s="464"/>
      <c r="AU202" s="464"/>
      <c r="AV202" s="464"/>
      <c r="AW202" s="464"/>
      <c r="AX202" s="464"/>
      <c r="AY202" s="464"/>
      <c r="AZ202" s="464"/>
      <c r="BA202" s="464"/>
      <c r="BB202" s="464"/>
      <c r="BC202" s="464"/>
      <c r="BD202" s="464"/>
      <c r="BE202" s="464"/>
      <c r="BF202" s="464"/>
      <c r="BG202" s="464"/>
      <c r="BH202" s="464"/>
      <c r="BI202" s="464"/>
      <c r="BJ202" s="464"/>
      <c r="BK202" s="464"/>
      <c r="BL202" s="464"/>
      <c r="BM202" s="464"/>
    </row>
    <row r="203">
      <c r="A203" s="351" t="s">
        <v>380</v>
      </c>
      <c r="B203" s="464">
        <f t="shared" ref="B203:G203" si="381">AZ176</f>
        <v>0</v>
      </c>
      <c r="C203" s="464">
        <f t="shared" si="381"/>
        <v>0</v>
      </c>
      <c r="D203" s="464">
        <f t="shared" si="381"/>
        <v>1</v>
      </c>
      <c r="E203" s="464">
        <f t="shared" si="381"/>
        <v>0</v>
      </c>
      <c r="F203" s="464">
        <f t="shared" si="381"/>
        <v>0</v>
      </c>
      <c r="G203" s="464">
        <f t="shared" si="381"/>
        <v>0</v>
      </c>
      <c r="H203" s="538">
        <f>H176</f>
        <v>0</v>
      </c>
      <c r="I203" s="470" t="str">
        <f>BF176</f>
        <v/>
      </c>
      <c r="J203" s="464">
        <f>AZ183</f>
        <v>0.9527525</v>
      </c>
      <c r="K203" s="464">
        <f>AZ189</f>
        <v>0.009433962264</v>
      </c>
      <c r="L203" s="464"/>
      <c r="M203" s="414" t="s">
        <v>1430</v>
      </c>
      <c r="N203" s="539">
        <v>0.12232049</v>
      </c>
      <c r="O203" s="539">
        <v>0.7265312</v>
      </c>
      <c r="P203" s="537">
        <f t="shared" si="372"/>
        <v>0</v>
      </c>
      <c r="Q203" s="537">
        <v>0.093576375</v>
      </c>
      <c r="R203" s="537">
        <v>0.04445176257083392</v>
      </c>
      <c r="S203" s="537">
        <v>0.0</v>
      </c>
      <c r="T203" s="537">
        <v>0.03773584905660377</v>
      </c>
      <c r="U203" s="464"/>
      <c r="V203" s="464"/>
      <c r="W203" s="464"/>
      <c r="X203" s="464"/>
      <c r="Y203" s="464"/>
      <c r="Z203" s="464"/>
      <c r="AA203" s="464"/>
      <c r="AB203" s="464"/>
      <c r="AC203" s="464"/>
      <c r="AD203" s="464"/>
      <c r="AE203" s="464"/>
      <c r="AF203" s="464"/>
      <c r="AG203" s="464"/>
      <c r="AH203" s="464"/>
      <c r="AI203" s="464"/>
      <c r="AJ203" s="464"/>
      <c r="AK203" s="464"/>
      <c r="AL203" s="464"/>
      <c r="AM203" s="464"/>
      <c r="AN203" s="464"/>
      <c r="AO203" s="464"/>
      <c r="AP203" s="464"/>
      <c r="AQ203" s="464"/>
      <c r="AR203" s="464"/>
      <c r="AS203" s="464"/>
      <c r="AT203" s="464"/>
      <c r="AU203" s="464"/>
      <c r="AV203" s="464"/>
      <c r="AW203" s="464"/>
      <c r="AX203" s="464"/>
      <c r="AY203" s="464"/>
      <c r="AZ203" s="464"/>
      <c r="BA203" s="464"/>
      <c r="BB203" s="464"/>
      <c r="BC203" s="464"/>
      <c r="BD203" s="464"/>
      <c r="BE203" s="464"/>
      <c r="BF203" s="464"/>
      <c r="BG203" s="464"/>
      <c r="BH203" s="464"/>
      <c r="BI203" s="464"/>
      <c r="BJ203" s="464"/>
      <c r="BK203" s="464"/>
      <c r="BL203" s="464"/>
      <c r="BM203" s="464"/>
    </row>
    <row r="204">
      <c r="A204" s="352" t="s">
        <v>387</v>
      </c>
      <c r="B204" s="464" t="str">
        <f t="shared" ref="B204:H204" si="382">BG176</f>
        <v/>
      </c>
      <c r="C204" s="464" t="str">
        <f t="shared" si="382"/>
        <v/>
      </c>
      <c r="D204" s="464" t="str">
        <f t="shared" si="382"/>
        <v/>
      </c>
      <c r="E204" s="464" t="str">
        <f t="shared" si="382"/>
        <v/>
      </c>
      <c r="F204" s="464" t="str">
        <f t="shared" si="382"/>
        <v/>
      </c>
      <c r="G204" s="464" t="str">
        <f t="shared" si="382"/>
        <v/>
      </c>
      <c r="H204" s="464" t="str">
        <f t="shared" si="382"/>
        <v/>
      </c>
      <c r="I204" s="464"/>
      <c r="J204" s="464"/>
      <c r="K204" s="464"/>
      <c r="L204" s="464"/>
      <c r="M204" s="415" t="s">
        <v>1178</v>
      </c>
      <c r="N204" s="539">
        <v>0.04821229</v>
      </c>
      <c r="O204" s="539">
        <v>0.8262037</v>
      </c>
      <c r="P204" s="537">
        <f t="shared" si="372"/>
        <v>0</v>
      </c>
      <c r="Q204" s="542">
        <v>0.127417845</v>
      </c>
      <c r="R204" s="537">
        <v>0.5198754592859087</v>
      </c>
      <c r="S204" s="537">
        <v>0.4439313889359605</v>
      </c>
      <c r="T204" s="537">
        <v>0.03773584905660377</v>
      </c>
      <c r="U204" s="464"/>
      <c r="V204" s="464"/>
      <c r="W204" s="464"/>
      <c r="X204" s="464"/>
      <c r="Y204" s="464"/>
      <c r="Z204" s="464"/>
      <c r="AA204" s="464"/>
      <c r="AB204" s="464"/>
      <c r="AC204" s="464"/>
      <c r="AD204" s="464"/>
      <c r="AE204" s="464"/>
      <c r="AF204" s="464"/>
      <c r="AG204" s="464"/>
      <c r="AH204" s="464"/>
      <c r="AI204" s="464"/>
      <c r="AJ204" s="464"/>
      <c r="AK204" s="464"/>
      <c r="AL204" s="464"/>
      <c r="AM204" s="464"/>
      <c r="AN204" s="464"/>
      <c r="AO204" s="464"/>
      <c r="AP204" s="464"/>
      <c r="AQ204" s="464"/>
      <c r="AR204" s="464"/>
      <c r="AS204" s="464"/>
      <c r="AT204" s="464"/>
      <c r="AU204" s="464"/>
      <c r="AV204" s="464"/>
      <c r="AW204" s="464"/>
      <c r="AX204" s="464"/>
      <c r="AY204" s="464"/>
      <c r="AZ204" s="464"/>
      <c r="BA204" s="464"/>
      <c r="BB204" s="464"/>
      <c r="BC204" s="464"/>
      <c r="BD204" s="464"/>
      <c r="BE204" s="464"/>
      <c r="BF204" s="464"/>
      <c r="BG204" s="464"/>
      <c r="BH204" s="464"/>
      <c r="BI204" s="464"/>
      <c r="BJ204" s="464"/>
      <c r="BK204" s="464"/>
      <c r="BL204" s="464"/>
      <c r="BM204" s="464"/>
    </row>
    <row r="205">
      <c r="A205" s="466"/>
      <c r="B205" s="464"/>
      <c r="C205" s="464"/>
      <c r="D205" s="464"/>
      <c r="E205" s="464"/>
      <c r="F205" s="464"/>
      <c r="G205" s="464"/>
      <c r="H205" s="464"/>
      <c r="I205" s="464"/>
      <c r="J205" s="464"/>
      <c r="K205" s="464"/>
      <c r="L205" s="464"/>
      <c r="M205" s="416" t="s">
        <v>1145</v>
      </c>
      <c r="N205" s="539">
        <v>0.47615766</v>
      </c>
      <c r="O205" s="539">
        <v>0.4901679</v>
      </c>
      <c r="P205" s="537">
        <f t="shared" si="372"/>
        <v>0</v>
      </c>
      <c r="Q205" s="542">
        <v>0.119800592</v>
      </c>
      <c r="R205" s="537">
        <v>1.2992829841302609</v>
      </c>
      <c r="S205" s="537">
        <v>1.4469189829363254</v>
      </c>
      <c r="T205" s="537">
        <v>0.0</v>
      </c>
      <c r="U205" s="464"/>
      <c r="V205" s="464"/>
      <c r="W205" s="464"/>
      <c r="X205" s="464"/>
      <c r="Y205" s="464"/>
      <c r="Z205" s="464"/>
      <c r="AA205" s="464"/>
      <c r="AB205" s="464"/>
      <c r="AC205" s="464"/>
      <c r="AD205" s="464"/>
      <c r="AE205" s="464"/>
      <c r="AF205" s="464"/>
      <c r="AG205" s="464"/>
      <c r="AH205" s="464"/>
      <c r="AI205" s="464"/>
      <c r="AJ205" s="464"/>
      <c r="AK205" s="464"/>
      <c r="AL205" s="464"/>
      <c r="AM205" s="464"/>
      <c r="AN205" s="464"/>
      <c r="AO205" s="464"/>
      <c r="AP205" s="464"/>
      <c r="AQ205" s="464"/>
      <c r="AR205" s="464"/>
      <c r="AS205" s="464"/>
      <c r="AT205" s="464"/>
      <c r="AU205" s="464"/>
      <c r="AV205" s="464"/>
      <c r="AW205" s="464"/>
      <c r="AX205" s="464"/>
      <c r="AY205" s="464"/>
      <c r="AZ205" s="464"/>
      <c r="BA205" s="464"/>
      <c r="BB205" s="464"/>
      <c r="BC205" s="464"/>
      <c r="BD205" s="464"/>
      <c r="BE205" s="464"/>
      <c r="BF205" s="464"/>
      <c r="BG205" s="464"/>
      <c r="BH205" s="464"/>
      <c r="BI205" s="464"/>
      <c r="BJ205" s="464"/>
      <c r="BK205" s="464"/>
      <c r="BL205" s="464"/>
      <c r="BM205" s="464"/>
    </row>
    <row r="206">
      <c r="A206" s="464"/>
      <c r="B206" s="345" t="s">
        <v>389</v>
      </c>
      <c r="C206" s="346" t="s">
        <v>420</v>
      </c>
      <c r="D206" s="347" t="s">
        <v>358</v>
      </c>
      <c r="E206" s="348" t="s">
        <v>363</v>
      </c>
      <c r="F206" s="349" t="s">
        <v>413</v>
      </c>
      <c r="G206" s="350" t="s">
        <v>357</v>
      </c>
      <c r="H206" s="351" t="s">
        <v>380</v>
      </c>
      <c r="I206" s="352" t="s">
        <v>387</v>
      </c>
      <c r="J206" s="464"/>
      <c r="K206" s="464"/>
      <c r="L206" s="464"/>
      <c r="M206" s="417" t="s">
        <v>1301</v>
      </c>
      <c r="N206" s="539">
        <v>0.11791199</v>
      </c>
      <c r="O206" s="539">
        <v>0.7313102</v>
      </c>
      <c r="P206" s="537">
        <f t="shared" si="372"/>
        <v>0</v>
      </c>
      <c r="Q206" s="542">
        <v>0.069170507</v>
      </c>
      <c r="R206" s="537">
        <v>0.8602012652231115</v>
      </c>
      <c r="S206" s="537">
        <v>1.0687593255184287</v>
      </c>
      <c r="T206" s="537">
        <v>0.07547169811320754</v>
      </c>
      <c r="U206" s="464"/>
      <c r="V206" s="464"/>
      <c r="W206" s="464"/>
      <c r="X206" s="464"/>
      <c r="Y206" s="464"/>
      <c r="Z206" s="464"/>
      <c r="AA206" s="464"/>
      <c r="AB206" s="464"/>
      <c r="AC206" s="464"/>
      <c r="AD206" s="464"/>
      <c r="AE206" s="464"/>
      <c r="AF206" s="464"/>
      <c r="AG206" s="464"/>
      <c r="AH206" s="464"/>
      <c r="AI206" s="464"/>
      <c r="AJ206" s="464"/>
      <c r="AK206" s="464"/>
      <c r="AL206" s="464"/>
      <c r="AM206" s="464"/>
      <c r="AN206" s="464"/>
      <c r="AO206" s="464"/>
      <c r="AP206" s="464"/>
      <c r="AQ206" s="464"/>
      <c r="AR206" s="464"/>
      <c r="AS206" s="464"/>
      <c r="AT206" s="464"/>
      <c r="AU206" s="464"/>
      <c r="AV206" s="464"/>
      <c r="AW206" s="464"/>
      <c r="AX206" s="464"/>
      <c r="AY206" s="464"/>
      <c r="AZ206" s="464"/>
      <c r="BA206" s="464"/>
      <c r="BB206" s="464"/>
      <c r="BC206" s="464"/>
      <c r="BD206" s="464"/>
      <c r="BE206" s="464"/>
      <c r="BF206" s="464"/>
      <c r="BG206" s="464"/>
      <c r="BH206" s="464"/>
      <c r="BI206" s="464"/>
      <c r="BJ206" s="464"/>
      <c r="BK206" s="464"/>
      <c r="BL206" s="464"/>
      <c r="BM206" s="464"/>
    </row>
    <row r="207">
      <c r="A207" s="345" t="s">
        <v>389</v>
      </c>
      <c r="B207" s="464"/>
      <c r="C207" s="506">
        <f t="shared" ref="C207:H207" si="383">(sum(C$197:C$203)/(512-$B$197))*(sum($B$197:$B$203)-$B$197)</f>
        <v>1.041666667</v>
      </c>
      <c r="D207" s="506">
        <f t="shared" si="383"/>
        <v>1.708333333</v>
      </c>
      <c r="E207" s="506">
        <f t="shared" si="383"/>
        <v>0.25</v>
      </c>
      <c r="F207" s="506">
        <f t="shared" si="383"/>
        <v>2.458333333</v>
      </c>
      <c r="G207" s="506">
        <f t="shared" si="383"/>
        <v>1.791666667</v>
      </c>
      <c r="H207" s="506">
        <f t="shared" si="383"/>
        <v>0.04166666667</v>
      </c>
      <c r="I207" s="464"/>
      <c r="J207" s="464">
        <f t="shared" ref="J207:J214" si="385">sum(B207:I207)</f>
        <v>7.291666667</v>
      </c>
      <c r="K207" s="464">
        <v>21.0</v>
      </c>
      <c r="L207" s="464"/>
      <c r="M207" s="418" t="s">
        <v>1130</v>
      </c>
      <c r="N207" s="539">
        <v>0.04821229</v>
      </c>
      <c r="O207" s="539">
        <v>0.8262037</v>
      </c>
      <c r="P207" s="537">
        <f t="shared" si="372"/>
        <v>0</v>
      </c>
      <c r="Q207" s="542">
        <v>0.117149808</v>
      </c>
      <c r="R207" s="537">
        <v>0.5198754592859087</v>
      </c>
      <c r="S207" s="537">
        <v>0.5166907432183888</v>
      </c>
      <c r="T207" s="537">
        <v>0.03773584905660377</v>
      </c>
      <c r="U207" s="464"/>
      <c r="V207" s="464"/>
      <c r="W207" s="464"/>
      <c r="X207" s="464"/>
      <c r="Y207" s="464"/>
      <c r="Z207" s="464"/>
      <c r="AA207" s="464"/>
      <c r="AB207" s="464"/>
      <c r="AC207" s="464"/>
      <c r="AD207" s="464"/>
      <c r="AE207" s="464"/>
      <c r="AF207" s="464"/>
      <c r="AG207" s="464"/>
      <c r="AH207" s="464"/>
      <c r="AI207" s="464"/>
      <c r="AJ207" s="464"/>
      <c r="AK207" s="464"/>
      <c r="AL207" s="464"/>
      <c r="AM207" s="464"/>
      <c r="AN207" s="464"/>
      <c r="AO207" s="464"/>
      <c r="AP207" s="464"/>
      <c r="AQ207" s="464"/>
      <c r="AR207" s="464"/>
      <c r="AS207" s="464"/>
      <c r="AT207" s="464"/>
      <c r="AU207" s="464"/>
      <c r="AV207" s="464"/>
      <c r="AW207" s="464"/>
      <c r="AX207" s="464"/>
      <c r="AY207" s="464"/>
      <c r="AZ207" s="464"/>
      <c r="BA207" s="464"/>
      <c r="BB207" s="464"/>
      <c r="BC207" s="464"/>
      <c r="BD207" s="464"/>
      <c r="BE207" s="464"/>
      <c r="BF207" s="464"/>
      <c r="BG207" s="464"/>
      <c r="BH207" s="464"/>
      <c r="BI207" s="464"/>
      <c r="BJ207" s="464"/>
      <c r="BK207" s="464"/>
      <c r="BL207" s="464"/>
      <c r="BM207" s="464"/>
    </row>
    <row r="208">
      <c r="A208" s="346" t="s">
        <v>420</v>
      </c>
      <c r="B208" s="506">
        <f>(sum(B$197:B$203)/(512-$C$198))*(sum($C$197:$C$203)-$C$198)</f>
        <v>0.583501006</v>
      </c>
      <c r="C208" s="464"/>
      <c r="D208" s="506">
        <f t="shared" ref="D208:H208" si="384">(sum(D$197:D$203)/(512-$C$198))*(sum($C$197:$C$203)-$C$198)</f>
        <v>0.8249496982</v>
      </c>
      <c r="E208" s="506">
        <f t="shared" si="384"/>
        <v>0.1207243461</v>
      </c>
      <c r="F208" s="506">
        <f t="shared" si="384"/>
        <v>1.187122736</v>
      </c>
      <c r="G208" s="506">
        <f t="shared" si="384"/>
        <v>0.8651911469</v>
      </c>
      <c r="H208" s="506">
        <f t="shared" si="384"/>
        <v>0.02012072435</v>
      </c>
      <c r="I208" s="464"/>
      <c r="J208" s="464">
        <f t="shared" si="385"/>
        <v>3.601609658</v>
      </c>
      <c r="K208" s="464">
        <v>10.0</v>
      </c>
      <c r="L208" s="464"/>
      <c r="M208" s="419" t="s">
        <v>1314</v>
      </c>
      <c r="N208" s="539">
        <v>0.07807399</v>
      </c>
      <c r="O208" s="539">
        <v>0.7799246</v>
      </c>
      <c r="P208" s="537">
        <f t="shared" si="372"/>
        <v>0</v>
      </c>
      <c r="Q208" s="537"/>
      <c r="R208" s="537">
        <v>3.091042453358316</v>
      </c>
      <c r="S208" s="537">
        <v>3.5263605246161616</v>
      </c>
      <c r="T208" s="537">
        <v>0.0</v>
      </c>
      <c r="U208" s="464"/>
      <c r="V208" s="464"/>
      <c r="W208" s="464"/>
      <c r="X208" s="464"/>
      <c r="Y208" s="464"/>
      <c r="Z208" s="464"/>
      <c r="AA208" s="464"/>
      <c r="AB208" s="464"/>
      <c r="AC208" s="464"/>
      <c r="AD208" s="464"/>
      <c r="AE208" s="464"/>
      <c r="AF208" s="464"/>
      <c r="AG208" s="464"/>
      <c r="AH208" s="464"/>
      <c r="AI208" s="464"/>
      <c r="AJ208" s="464"/>
      <c r="AK208" s="464"/>
      <c r="AL208" s="464"/>
      <c r="AM208" s="464"/>
      <c r="AN208" s="464"/>
      <c r="AO208" s="464"/>
      <c r="AP208" s="464"/>
      <c r="AQ208" s="464"/>
      <c r="AR208" s="464"/>
      <c r="AS208" s="464"/>
      <c r="AT208" s="464"/>
      <c r="AU208" s="464"/>
      <c r="AV208" s="464"/>
      <c r="AW208" s="464"/>
      <c r="AX208" s="464"/>
      <c r="AY208" s="464"/>
      <c r="AZ208" s="464"/>
      <c r="BA208" s="464"/>
      <c r="BB208" s="464"/>
      <c r="BC208" s="464"/>
      <c r="BD208" s="464"/>
      <c r="BE208" s="464"/>
      <c r="BF208" s="464"/>
      <c r="BG208" s="464"/>
      <c r="BH208" s="464"/>
      <c r="BI208" s="464"/>
      <c r="BJ208" s="464"/>
      <c r="BK208" s="464"/>
      <c r="BL208" s="464"/>
      <c r="BM208" s="464"/>
    </row>
    <row r="209">
      <c r="A209" s="347" t="s">
        <v>358</v>
      </c>
      <c r="B209" s="506">
        <f t="shared" ref="B209:C209" si="386">(sum(B$197:B$203)/(512-$D$199))*(sum($D$197:$D$203)-$D$199)</f>
        <v>1.350202429</v>
      </c>
      <c r="C209" s="506">
        <f t="shared" si="386"/>
        <v>1.163967611</v>
      </c>
      <c r="D209" s="464"/>
      <c r="E209" s="506">
        <f t="shared" ref="E209:H209" si="387">(sum(E$197:E$203)/(512-$D$199))*(sum($D$197:$D$203)-$D$199)</f>
        <v>0.2793522267</v>
      </c>
      <c r="F209" s="506">
        <f t="shared" si="387"/>
        <v>2.746963563</v>
      </c>
      <c r="G209" s="506">
        <f t="shared" si="387"/>
        <v>2.002024291</v>
      </c>
      <c r="H209" s="506">
        <f t="shared" si="387"/>
        <v>0.04655870445</v>
      </c>
      <c r="I209" s="464"/>
      <c r="J209" s="464">
        <f t="shared" si="385"/>
        <v>7.589068826</v>
      </c>
      <c r="K209" s="464">
        <v>23.0</v>
      </c>
      <c r="L209" s="464"/>
      <c r="M209" s="421" t="s">
        <v>1432</v>
      </c>
      <c r="N209" s="539">
        <v>0.1517775815</v>
      </c>
      <c r="O209" s="539">
        <v>0.6968424</v>
      </c>
      <c r="P209" s="537">
        <f t="shared" si="372"/>
        <v>0</v>
      </c>
      <c r="Q209" s="537">
        <v>0.132754072</v>
      </c>
      <c r="R209" s="537">
        <v>0.4754236967150748</v>
      </c>
      <c r="S209" s="537">
        <v>0.44393138893596046</v>
      </c>
      <c r="T209" s="537">
        <v>0.05660377358490566</v>
      </c>
      <c r="U209" s="464"/>
      <c r="V209" s="464"/>
      <c r="W209" s="464"/>
      <c r="X209" s="464"/>
      <c r="Y209" s="464"/>
      <c r="Z209" s="464"/>
      <c r="AA209" s="464"/>
      <c r="AB209" s="464"/>
      <c r="AC209" s="464"/>
      <c r="AD209" s="464"/>
      <c r="AE209" s="464"/>
      <c r="AF209" s="464"/>
      <c r="AG209" s="464"/>
      <c r="AH209" s="464"/>
      <c r="AI209" s="464"/>
      <c r="AJ209" s="464"/>
      <c r="AK209" s="464"/>
      <c r="AL209" s="464"/>
      <c r="AM209" s="464"/>
      <c r="AN209" s="464"/>
      <c r="AO209" s="464"/>
      <c r="AP209" s="464"/>
      <c r="AQ209" s="464"/>
      <c r="AR209" s="464"/>
      <c r="AS209" s="464"/>
      <c r="AT209" s="464"/>
      <c r="AU209" s="464"/>
      <c r="AV209" s="464"/>
      <c r="AW209" s="464"/>
      <c r="AX209" s="464"/>
      <c r="AY209" s="464"/>
      <c r="AZ209" s="464"/>
      <c r="BA209" s="464"/>
      <c r="BB209" s="464"/>
      <c r="BC209" s="464"/>
      <c r="BD209" s="464"/>
      <c r="BE209" s="464"/>
      <c r="BF209" s="464"/>
      <c r="BG209" s="464"/>
      <c r="BH209" s="464"/>
      <c r="BI209" s="464"/>
      <c r="BJ209" s="464"/>
      <c r="BK209" s="464"/>
      <c r="BL209" s="464"/>
      <c r="BM209" s="464"/>
    </row>
    <row r="210">
      <c r="A210" s="348" t="s">
        <v>363</v>
      </c>
      <c r="B210" s="506">
        <f t="shared" ref="B210:D210" si="388">(sum(B$197:B$203)/(512-$E$200))*(sum($E$197:$E$203)-$E$200)</f>
        <v>0.1141732283</v>
      </c>
      <c r="C210" s="506">
        <f t="shared" si="388"/>
        <v>0.09842519685</v>
      </c>
      <c r="D210" s="506">
        <f t="shared" si="388"/>
        <v>0.1614173228</v>
      </c>
      <c r="E210" s="464"/>
      <c r="F210" s="506">
        <f t="shared" ref="F210:H210" si="389">(sum(F$197:F$203)/(512-$E$200))*(sum($E$197:$E$203)-$E$200)</f>
        <v>0.2322834646</v>
      </c>
      <c r="G210" s="506">
        <f t="shared" si="389"/>
        <v>0.1692913386</v>
      </c>
      <c r="H210" s="506">
        <f t="shared" si="389"/>
        <v>0.003937007874</v>
      </c>
      <c r="I210" s="464"/>
      <c r="J210" s="464">
        <f t="shared" si="385"/>
        <v>0.7795275591</v>
      </c>
      <c r="K210" s="464">
        <v>2.0</v>
      </c>
      <c r="L210" s="464"/>
      <c r="M210" s="422" t="s">
        <v>1433</v>
      </c>
      <c r="N210" s="539">
        <v>0.7678103295</v>
      </c>
      <c r="O210" s="539">
        <v>0.3808953</v>
      </c>
      <c r="P210" s="537">
        <f t="shared" si="372"/>
        <v>0</v>
      </c>
      <c r="Q210" s="537">
        <v>0.127417845</v>
      </c>
      <c r="R210" s="537">
        <v>0.5198754592859086</v>
      </c>
      <c r="S210" s="537">
        <v>0.44393138893596046</v>
      </c>
      <c r="T210" s="537">
        <v>0.03773584905660377</v>
      </c>
      <c r="U210" s="464"/>
      <c r="V210" s="464"/>
      <c r="W210" s="464"/>
      <c r="X210" s="464"/>
      <c r="Y210" s="464"/>
      <c r="Z210" s="464"/>
      <c r="AA210" s="464"/>
      <c r="AB210" s="464"/>
      <c r="AC210" s="464"/>
      <c r="AD210" s="464"/>
      <c r="AE210" s="464"/>
      <c r="AF210" s="464"/>
      <c r="AG210" s="464"/>
      <c r="AH210" s="464"/>
      <c r="AI210" s="464"/>
      <c r="AJ210" s="464"/>
      <c r="AK210" s="464"/>
      <c r="AL210" s="464"/>
      <c r="AM210" s="464"/>
      <c r="AN210" s="464"/>
      <c r="AO210" s="464"/>
      <c r="AP210" s="464"/>
      <c r="AQ210" s="464"/>
      <c r="AR210" s="464"/>
      <c r="AS210" s="464"/>
      <c r="AT210" s="464"/>
      <c r="AU210" s="464"/>
      <c r="AV210" s="464"/>
      <c r="AW210" s="464"/>
      <c r="AX210" s="464"/>
      <c r="AY210" s="464"/>
      <c r="AZ210" s="464"/>
      <c r="BA210" s="464"/>
      <c r="BB210" s="464"/>
      <c r="BC210" s="464"/>
      <c r="BD210" s="464"/>
      <c r="BE210" s="464"/>
      <c r="BF210" s="464"/>
      <c r="BG210" s="464"/>
      <c r="BH210" s="464"/>
      <c r="BI210" s="464"/>
      <c r="BJ210" s="464"/>
      <c r="BK210" s="464"/>
      <c r="BL210" s="464"/>
      <c r="BM210" s="464"/>
    </row>
    <row r="211">
      <c r="A211" s="349" t="s">
        <v>413</v>
      </c>
      <c r="B211" s="506">
        <f t="shared" ref="B211:E211" si="390">(sum(B$197:B$203)/(512-$F$201))*(sum($F$197:$F$203)-$F$201)</f>
        <v>1.913402062</v>
      </c>
      <c r="C211" s="506">
        <f t="shared" si="390"/>
        <v>1.649484536</v>
      </c>
      <c r="D211" s="506">
        <f t="shared" si="390"/>
        <v>2.705154639</v>
      </c>
      <c r="E211" s="506">
        <f t="shared" si="390"/>
        <v>0.3958762887</v>
      </c>
      <c r="F211" s="464"/>
      <c r="G211" s="506">
        <f t="shared" ref="G211:H211" si="391">(sum(G$197:G$203)/(512-$F$201))*(sum($F$197:$F$203)-$F$201)</f>
        <v>2.837113402</v>
      </c>
      <c r="H211" s="506">
        <f t="shared" si="391"/>
        <v>0.06597938144</v>
      </c>
      <c r="I211" s="464"/>
      <c r="J211" s="464">
        <f t="shared" si="385"/>
        <v>9.567010309</v>
      </c>
      <c r="K211" s="464">
        <v>32.0</v>
      </c>
      <c r="L211" s="464"/>
      <c r="M211" s="423" t="s">
        <v>1095</v>
      </c>
      <c r="N211" s="539">
        <v>1.5909152913</v>
      </c>
      <c r="O211" s="539">
        <v>0.2071954</v>
      </c>
      <c r="P211" s="537">
        <f t="shared" si="372"/>
        <v>0</v>
      </c>
      <c r="Q211" s="542">
        <v>0.139073207</v>
      </c>
      <c r="R211" s="537">
        <v>1.8191584434161694</v>
      </c>
      <c r="S211" s="537">
        <v>1.890850371872286</v>
      </c>
      <c r="T211" s="537">
        <v>0.0</v>
      </c>
      <c r="U211" s="464"/>
      <c r="V211" s="464"/>
      <c r="W211" s="464"/>
      <c r="X211" s="464"/>
      <c r="Y211" s="464"/>
      <c r="Z211" s="464"/>
      <c r="AA211" s="464"/>
      <c r="AB211" s="464"/>
      <c r="AC211" s="464"/>
      <c r="AD211" s="464"/>
      <c r="AE211" s="464"/>
      <c r="AF211" s="464"/>
      <c r="AG211" s="464"/>
      <c r="AH211" s="464"/>
      <c r="AI211" s="464"/>
      <c r="AJ211" s="464"/>
      <c r="AK211" s="464"/>
      <c r="AL211" s="464"/>
      <c r="AM211" s="464"/>
      <c r="AN211" s="464"/>
      <c r="AO211" s="464"/>
      <c r="AP211" s="464"/>
      <c r="AQ211" s="464"/>
      <c r="AR211" s="464"/>
      <c r="AS211" s="464"/>
      <c r="AT211" s="464"/>
      <c r="AU211" s="464"/>
      <c r="AV211" s="464"/>
      <c r="AW211" s="464"/>
      <c r="AX211" s="464"/>
      <c r="AY211" s="464"/>
      <c r="AZ211" s="464"/>
      <c r="BA211" s="464"/>
      <c r="BB211" s="464"/>
      <c r="BC211" s="464"/>
      <c r="BD211" s="464"/>
      <c r="BE211" s="464"/>
      <c r="BF211" s="464"/>
      <c r="BG211" s="464"/>
      <c r="BH211" s="464"/>
      <c r="BI211" s="464"/>
      <c r="BJ211" s="464"/>
      <c r="BK211" s="464"/>
      <c r="BL211" s="464"/>
      <c r="BM211" s="464"/>
    </row>
    <row r="212">
      <c r="A212" s="350" t="s">
        <v>357</v>
      </c>
      <c r="B212" s="506">
        <f t="shared" ref="B212:F212" si="392">(sum(B$197:B$203)/(512-$G$202))*(sum($G$197:$G$203)-$G$202)</f>
        <v>1.014403292</v>
      </c>
      <c r="C212" s="506">
        <f t="shared" si="392"/>
        <v>0.8744855967</v>
      </c>
      <c r="D212" s="506">
        <f t="shared" si="392"/>
        <v>1.434156379</v>
      </c>
      <c r="E212" s="506">
        <f t="shared" si="392"/>
        <v>0.2098765432</v>
      </c>
      <c r="F212" s="506">
        <f t="shared" si="392"/>
        <v>2.063786008</v>
      </c>
      <c r="G212" s="464"/>
      <c r="H212" s="506">
        <f>(sum(H$197:H$203)/(512-$G$202))*(sum($G$197:$G$203)-$G$202)</f>
        <v>0.03497942387</v>
      </c>
      <c r="I212" s="464"/>
      <c r="J212" s="464">
        <f t="shared" si="385"/>
        <v>5.631687243</v>
      </c>
      <c r="K212" s="464">
        <v>17.0</v>
      </c>
      <c r="L212" s="464"/>
      <c r="M212" s="424" t="s">
        <v>1103</v>
      </c>
      <c r="N212" s="539">
        <v>0.9122795287</v>
      </c>
      <c r="O212" s="539">
        <v>0.3395103</v>
      </c>
      <c r="P212" s="537">
        <f t="shared" si="372"/>
        <v>0</v>
      </c>
      <c r="Q212" s="542">
        <v>0.127087183</v>
      </c>
      <c r="R212" s="537">
        <v>0.34032580593720285</v>
      </c>
      <c r="S212" s="537">
        <v>0.624827936582468</v>
      </c>
      <c r="T212" s="537">
        <v>0.20754716981132076</v>
      </c>
      <c r="U212" s="464"/>
      <c r="V212" s="464"/>
      <c r="W212" s="464"/>
      <c r="X212" s="464"/>
      <c r="Y212" s="464"/>
      <c r="Z212" s="464"/>
      <c r="AA212" s="464"/>
      <c r="AB212" s="464"/>
      <c r="AC212" s="464"/>
      <c r="AD212" s="464"/>
      <c r="AE212" s="464"/>
      <c r="AF212" s="464"/>
      <c r="AG212" s="464"/>
      <c r="AH212" s="464"/>
      <c r="AI212" s="464"/>
      <c r="AJ212" s="464"/>
      <c r="AK212" s="464"/>
      <c r="AL212" s="464"/>
      <c r="AM212" s="464"/>
      <c r="AN212" s="464"/>
      <c r="AO212" s="464"/>
      <c r="AP212" s="464"/>
      <c r="AQ212" s="464"/>
      <c r="AR212" s="464"/>
      <c r="AS212" s="464"/>
      <c r="AT212" s="464"/>
      <c r="AU212" s="464"/>
      <c r="AV212" s="464"/>
      <c r="AW212" s="464"/>
      <c r="AX212" s="464"/>
      <c r="AY212" s="464"/>
      <c r="AZ212" s="464"/>
      <c r="BA212" s="464"/>
      <c r="BB212" s="464"/>
      <c r="BC212" s="464"/>
      <c r="BD212" s="464"/>
      <c r="BE212" s="464"/>
      <c r="BF212" s="464"/>
      <c r="BG212" s="464"/>
      <c r="BH212" s="464"/>
      <c r="BI212" s="464"/>
      <c r="BJ212" s="464"/>
      <c r="BK212" s="464"/>
      <c r="BL212" s="464"/>
      <c r="BM212" s="464"/>
    </row>
    <row r="213">
      <c r="A213" s="351" t="s">
        <v>380</v>
      </c>
      <c r="B213" s="506">
        <f t="shared" ref="B213:G213" si="393">(sum(B$197:B$203)/(512-$H$203))*(sum($H$197:$H$203)-$H$203)</f>
        <v>0.056640625</v>
      </c>
      <c r="C213" s="506">
        <f t="shared" si="393"/>
        <v>0.048828125</v>
      </c>
      <c r="D213" s="506">
        <f t="shared" si="393"/>
        <v>0.080078125</v>
      </c>
      <c r="E213" s="506">
        <f t="shared" si="393"/>
        <v>0.01171875</v>
      </c>
      <c r="F213" s="506">
        <f t="shared" si="393"/>
        <v>0.115234375</v>
      </c>
      <c r="G213" s="506">
        <f t="shared" si="393"/>
        <v>0.083984375</v>
      </c>
      <c r="H213" s="464"/>
      <c r="I213" s="464"/>
      <c r="J213" s="464">
        <f t="shared" si="385"/>
        <v>0.396484375</v>
      </c>
      <c r="K213" s="464">
        <v>1.0</v>
      </c>
      <c r="L213" s="464"/>
      <c r="M213" s="425" t="s">
        <v>1090</v>
      </c>
      <c r="N213" s="539">
        <v>2.249444E-4</v>
      </c>
      <c r="O213" s="539">
        <v>0.9880337</v>
      </c>
      <c r="P213" s="537">
        <f t="shared" si="372"/>
        <v>0</v>
      </c>
      <c r="Q213" s="542">
        <v>0.132499419</v>
      </c>
      <c r="R213" s="537">
        <v>0.0</v>
      </c>
      <c r="S213" s="537">
        <v>0.07275935428242832</v>
      </c>
      <c r="T213" s="537">
        <v>0.11320754716981132</v>
      </c>
      <c r="U213" s="464"/>
      <c r="V213" s="464"/>
      <c r="W213" s="464"/>
      <c r="X213" s="464"/>
      <c r="Y213" s="464"/>
      <c r="Z213" s="464"/>
      <c r="AA213" s="464"/>
      <c r="AB213" s="464"/>
      <c r="AC213" s="464"/>
      <c r="AD213" s="464"/>
      <c r="AE213" s="464"/>
      <c r="AF213" s="464"/>
      <c r="AG213" s="464"/>
      <c r="AH213" s="464"/>
      <c r="AI213" s="464"/>
      <c r="AJ213" s="464"/>
      <c r="AK213" s="464"/>
      <c r="AL213" s="464"/>
      <c r="AM213" s="464"/>
      <c r="AN213" s="464"/>
      <c r="AO213" s="464"/>
      <c r="AP213" s="464"/>
      <c r="AQ213" s="464"/>
      <c r="AR213" s="464"/>
      <c r="AS213" s="464"/>
      <c r="AT213" s="464"/>
      <c r="AU213" s="464"/>
      <c r="AV213" s="464"/>
      <c r="AW213" s="464"/>
      <c r="AX213" s="464"/>
      <c r="AY213" s="464"/>
      <c r="AZ213" s="464"/>
      <c r="BA213" s="464"/>
      <c r="BB213" s="464"/>
      <c r="BC213" s="464"/>
      <c r="BD213" s="464"/>
      <c r="BE213" s="464"/>
      <c r="BF213" s="464"/>
      <c r="BG213" s="464"/>
      <c r="BH213" s="464"/>
      <c r="BI213" s="464"/>
      <c r="BJ213" s="464"/>
      <c r="BK213" s="464"/>
      <c r="BL213" s="464"/>
      <c r="BM213" s="464"/>
    </row>
    <row r="214">
      <c r="A214" s="352" t="s">
        <v>387</v>
      </c>
      <c r="B214" s="464"/>
      <c r="C214" s="464"/>
      <c r="D214" s="464"/>
      <c r="E214" s="464"/>
      <c r="F214" s="464"/>
      <c r="G214" s="464"/>
      <c r="H214" s="464"/>
      <c r="I214" s="464"/>
      <c r="J214" s="464">
        <f t="shared" si="385"/>
        <v>0</v>
      </c>
      <c r="K214" s="464">
        <v>0.0</v>
      </c>
      <c r="L214" s="464"/>
      <c r="M214" s="426" t="s">
        <v>1296</v>
      </c>
      <c r="N214" s="539">
        <v>1.5777980568</v>
      </c>
      <c r="O214" s="539">
        <v>0.2090782</v>
      </c>
      <c r="P214" s="537">
        <f t="shared" si="372"/>
        <v>0</v>
      </c>
      <c r="Q214" s="537"/>
      <c r="R214" s="537">
        <v>3.6109179126442243</v>
      </c>
      <c r="S214" s="537">
        <v>3.970291913552122</v>
      </c>
      <c r="T214" s="537">
        <v>0.018867924528301886</v>
      </c>
      <c r="U214" s="464"/>
      <c r="V214" s="464"/>
      <c r="W214" s="464"/>
      <c r="X214" s="464"/>
      <c r="Y214" s="464"/>
      <c r="Z214" s="464"/>
      <c r="AA214" s="464"/>
      <c r="AB214" s="464"/>
      <c r="AC214" s="464"/>
      <c r="AD214" s="464"/>
      <c r="AE214" s="464"/>
      <c r="AF214" s="464"/>
      <c r="AG214" s="464"/>
      <c r="AH214" s="464"/>
      <c r="AI214" s="464"/>
      <c r="AJ214" s="464"/>
      <c r="AK214" s="464"/>
      <c r="AL214" s="464"/>
      <c r="AM214" s="464"/>
      <c r="AN214" s="464"/>
      <c r="AO214" s="464"/>
      <c r="AP214" s="464"/>
      <c r="AQ214" s="464"/>
      <c r="AR214" s="464"/>
      <c r="AS214" s="464"/>
      <c r="AT214" s="464"/>
      <c r="AU214" s="464"/>
      <c r="AV214" s="464"/>
      <c r="AW214" s="464"/>
      <c r="AX214" s="464"/>
      <c r="AY214" s="464"/>
      <c r="AZ214" s="464"/>
      <c r="BA214" s="464"/>
      <c r="BB214" s="464"/>
      <c r="BC214" s="464"/>
      <c r="BD214" s="464"/>
      <c r="BE214" s="464"/>
      <c r="BF214" s="464"/>
      <c r="BG214" s="464"/>
      <c r="BH214" s="464"/>
      <c r="BI214" s="464"/>
      <c r="BJ214" s="464"/>
      <c r="BK214" s="464"/>
      <c r="BL214" s="464"/>
      <c r="BM214" s="464"/>
    </row>
    <row r="215">
      <c r="A215" s="464"/>
      <c r="B215" s="464"/>
      <c r="C215" s="464"/>
      <c r="D215" s="464"/>
      <c r="E215" s="464"/>
      <c r="F215" s="464"/>
      <c r="G215" s="464"/>
      <c r="H215" s="464"/>
      <c r="I215" s="466"/>
      <c r="J215" s="464"/>
      <c r="K215" s="464"/>
      <c r="L215" s="464"/>
      <c r="M215" s="428" t="s">
        <v>1434</v>
      </c>
      <c r="N215" s="539">
        <v>0.36356821</v>
      </c>
      <c r="O215" s="539">
        <v>0.5465312</v>
      </c>
      <c r="P215" s="537">
        <f t="shared" si="372"/>
        <v>0</v>
      </c>
      <c r="Q215" s="537">
        <v>0.119046481</v>
      </c>
      <c r="R215" s="537">
        <v>1.3437347467010947</v>
      </c>
      <c r="S215" s="537">
        <v>1.4469189829363254</v>
      </c>
      <c r="T215" s="537">
        <v>0.018867924528301886</v>
      </c>
      <c r="U215" s="464"/>
      <c r="V215" s="464"/>
      <c r="W215" s="464"/>
      <c r="X215" s="464"/>
      <c r="Y215" s="464"/>
      <c r="Z215" s="464"/>
      <c r="AA215" s="464"/>
      <c r="AB215" s="464"/>
      <c r="AC215" s="464"/>
      <c r="AD215" s="464"/>
      <c r="AE215" s="464"/>
      <c r="AF215" s="464"/>
      <c r="AG215" s="464"/>
      <c r="AH215" s="464"/>
      <c r="AI215" s="464"/>
      <c r="AJ215" s="464"/>
      <c r="AK215" s="464"/>
      <c r="AL215" s="464"/>
      <c r="AM215" s="464"/>
      <c r="AN215" s="464"/>
      <c r="AO215" s="464"/>
      <c r="AP215" s="464"/>
      <c r="AQ215" s="464"/>
      <c r="AR215" s="464"/>
      <c r="AS215" s="464"/>
      <c r="AT215" s="464"/>
      <c r="AU215" s="464"/>
      <c r="AV215" s="464"/>
      <c r="AW215" s="464"/>
      <c r="AX215" s="464"/>
      <c r="AY215" s="464"/>
      <c r="AZ215" s="464"/>
      <c r="BA215" s="464"/>
      <c r="BB215" s="464"/>
      <c r="BC215" s="464"/>
      <c r="BD215" s="464"/>
      <c r="BE215" s="464"/>
      <c r="BF215" s="464"/>
      <c r="BG215" s="464"/>
      <c r="BH215" s="464"/>
      <c r="BI215" s="464"/>
      <c r="BJ215" s="464"/>
      <c r="BK215" s="464"/>
      <c r="BL215" s="464"/>
      <c r="BM215" s="464"/>
    </row>
    <row r="216">
      <c r="A216" s="464"/>
      <c r="B216" s="345" t="s">
        <v>389</v>
      </c>
      <c r="C216" s="346" t="s">
        <v>420</v>
      </c>
      <c r="D216" s="347" t="s">
        <v>358</v>
      </c>
      <c r="E216" s="348" t="s">
        <v>363</v>
      </c>
      <c r="F216" s="349" t="s">
        <v>413</v>
      </c>
      <c r="G216" s="350" t="s">
        <v>357</v>
      </c>
      <c r="H216" s="351" t="s">
        <v>380</v>
      </c>
      <c r="I216" s="352" t="s">
        <v>387</v>
      </c>
      <c r="J216" s="466" t="s">
        <v>1497</v>
      </c>
      <c r="K216" s="464"/>
      <c r="L216" s="464"/>
      <c r="M216" s="429" t="s">
        <v>1435</v>
      </c>
      <c r="N216" s="539">
        <v>0.12936597</v>
      </c>
      <c r="O216" s="539">
        <v>0.7190903</v>
      </c>
      <c r="P216" s="537">
        <f t="shared" si="372"/>
        <v>0</v>
      </c>
      <c r="Q216" s="537">
        <v>0.119800592</v>
      </c>
      <c r="R216" s="537">
        <v>1.2992829841302609</v>
      </c>
      <c r="S216" s="537">
        <v>1.4469189829363254</v>
      </c>
      <c r="T216" s="537">
        <v>0.0</v>
      </c>
      <c r="U216" s="464"/>
      <c r="V216" s="464"/>
      <c r="W216" s="464"/>
      <c r="X216" s="464"/>
      <c r="Y216" s="464"/>
      <c r="Z216" s="464"/>
      <c r="AA216" s="464"/>
      <c r="AB216" s="464"/>
      <c r="AC216" s="464"/>
      <c r="AD216" s="464"/>
      <c r="AE216" s="464"/>
      <c r="AF216" s="464"/>
      <c r="AG216" s="464"/>
      <c r="AH216" s="464"/>
      <c r="AI216" s="464"/>
      <c r="AJ216" s="464"/>
      <c r="AK216" s="464"/>
      <c r="AL216" s="464"/>
      <c r="AM216" s="464"/>
      <c r="AN216" s="464"/>
      <c r="AO216" s="464"/>
      <c r="AP216" s="464"/>
      <c r="AQ216" s="464"/>
      <c r="AR216" s="464"/>
      <c r="AS216" s="464"/>
      <c r="AT216" s="464"/>
      <c r="AU216" s="464"/>
      <c r="AV216" s="464"/>
      <c r="AW216" s="464"/>
      <c r="AX216" s="464"/>
      <c r="AY216" s="464"/>
      <c r="AZ216" s="464"/>
      <c r="BA216" s="464"/>
      <c r="BB216" s="464"/>
      <c r="BC216" s="464"/>
      <c r="BD216" s="464"/>
      <c r="BE216" s="464"/>
      <c r="BF216" s="464"/>
      <c r="BG216" s="464"/>
      <c r="BH216" s="464"/>
      <c r="BI216" s="464"/>
      <c r="BJ216" s="464"/>
      <c r="BK216" s="464"/>
      <c r="BL216" s="464"/>
      <c r="BM216" s="464"/>
    </row>
    <row r="217">
      <c r="A217" s="466" t="s">
        <v>1478</v>
      </c>
      <c r="B217" s="464">
        <f t="shared" ref="B217:H217" si="394">SUM(B12:B15)</f>
        <v>8</v>
      </c>
      <c r="C217" s="464">
        <f t="shared" si="394"/>
        <v>15</v>
      </c>
      <c r="D217" s="464">
        <f t="shared" si="394"/>
        <v>18</v>
      </c>
      <c r="E217" s="464">
        <f t="shared" si="394"/>
        <v>4</v>
      </c>
      <c r="F217" s="464">
        <f t="shared" si="394"/>
        <v>27</v>
      </c>
      <c r="G217" s="464">
        <f t="shared" si="394"/>
        <v>26</v>
      </c>
      <c r="H217" s="464">
        <f t="shared" si="394"/>
        <v>0</v>
      </c>
      <c r="I217" s="464"/>
      <c r="J217" s="467">
        <f>CORREL(B217:I217,B219:I219)</f>
        <v>0.9215033442</v>
      </c>
      <c r="K217" s="464"/>
      <c r="L217" s="464"/>
      <c r="M217" s="430" t="s">
        <v>1436</v>
      </c>
      <c r="N217" s="539">
        <v>0.22895786</v>
      </c>
      <c r="O217" s="539">
        <v>0.6322976</v>
      </c>
      <c r="P217" s="537">
        <f t="shared" si="372"/>
        <v>0</v>
      </c>
      <c r="Q217" s="537">
        <v>0.139073207</v>
      </c>
      <c r="R217" s="537">
        <v>1.8191584434161696</v>
      </c>
      <c r="S217" s="537">
        <v>1.890850371872286</v>
      </c>
      <c r="T217" s="537">
        <v>0.0</v>
      </c>
      <c r="U217" s="464"/>
      <c r="V217" s="464"/>
      <c r="W217" s="464"/>
      <c r="X217" s="464"/>
      <c r="Y217" s="464"/>
      <c r="Z217" s="464"/>
      <c r="AA217" s="464"/>
      <c r="AB217" s="464"/>
      <c r="AC217" s="464"/>
      <c r="AD217" s="464"/>
      <c r="AE217" s="464"/>
      <c r="AF217" s="464"/>
      <c r="AG217" s="464"/>
      <c r="AH217" s="464"/>
      <c r="AI217" s="464"/>
      <c r="AJ217" s="464"/>
      <c r="AK217" s="464"/>
      <c r="AL217" s="464"/>
      <c r="AM217" s="464"/>
      <c r="AN217" s="464"/>
      <c r="AO217" s="464"/>
      <c r="AP217" s="464"/>
      <c r="AQ217" s="464"/>
      <c r="AR217" s="464"/>
      <c r="AS217" s="464"/>
      <c r="AT217" s="464"/>
      <c r="AU217" s="464"/>
      <c r="AV217" s="464"/>
      <c r="AW217" s="464"/>
      <c r="AX217" s="464"/>
      <c r="AY217" s="464"/>
      <c r="AZ217" s="464"/>
      <c r="BA217" s="464"/>
      <c r="BB217" s="464"/>
      <c r="BC217" s="464"/>
      <c r="BD217" s="464"/>
      <c r="BE217" s="464"/>
      <c r="BF217" s="464"/>
      <c r="BG217" s="464"/>
      <c r="BH217" s="464"/>
      <c r="BI217" s="464"/>
      <c r="BJ217" s="464"/>
      <c r="BK217" s="464"/>
      <c r="BL217" s="464"/>
      <c r="BM217" s="464"/>
    </row>
    <row r="218">
      <c r="A218" s="466" t="s">
        <v>1586</v>
      </c>
      <c r="B218" s="464">
        <f t="shared" ref="B218:H218" si="395">B217/SUM($B$217:$I$217)</f>
        <v>0.08163265306</v>
      </c>
      <c r="C218" s="464">
        <f t="shared" si="395"/>
        <v>0.1530612245</v>
      </c>
      <c r="D218" s="464">
        <f t="shared" si="395"/>
        <v>0.1836734694</v>
      </c>
      <c r="E218" s="464">
        <f t="shared" si="395"/>
        <v>0.04081632653</v>
      </c>
      <c r="F218" s="464">
        <f t="shared" si="395"/>
        <v>0.2755102041</v>
      </c>
      <c r="G218" s="464">
        <f t="shared" si="395"/>
        <v>0.2653061224</v>
      </c>
      <c r="H218" s="464">
        <f t="shared" si="395"/>
        <v>0</v>
      </c>
      <c r="I218" s="464"/>
      <c r="J218" s="464"/>
      <c r="K218" s="464"/>
      <c r="L218" s="464"/>
      <c r="M218" s="431" t="s">
        <v>1115</v>
      </c>
      <c r="N218" s="539">
        <v>0.08032682</v>
      </c>
      <c r="O218" s="539">
        <v>0.776855</v>
      </c>
      <c r="P218" s="537">
        <f t="shared" si="372"/>
        <v>0</v>
      </c>
      <c r="Q218" s="542">
        <v>0.120082535</v>
      </c>
      <c r="R218" s="537">
        <v>2.159484249353372</v>
      </c>
      <c r="S218" s="537">
        <v>2.515678308454754</v>
      </c>
      <c r="T218" s="537">
        <v>0.018867924528301886</v>
      </c>
      <c r="U218" s="464"/>
      <c r="V218" s="464"/>
      <c r="W218" s="464"/>
      <c r="X218" s="464"/>
      <c r="Y218" s="464"/>
      <c r="Z218" s="464"/>
      <c r="AA218" s="464"/>
      <c r="AB218" s="464"/>
      <c r="AC218" s="464"/>
      <c r="AD218" s="464"/>
      <c r="AE218" s="464"/>
      <c r="AF218" s="464"/>
      <c r="AG218" s="464"/>
      <c r="AH218" s="464"/>
      <c r="AI218" s="464"/>
      <c r="AJ218" s="464"/>
      <c r="AK218" s="464"/>
      <c r="AL218" s="464"/>
      <c r="AM218" s="464"/>
      <c r="AN218" s="464"/>
      <c r="AO218" s="464"/>
      <c r="AP218" s="464"/>
      <c r="AQ218" s="464"/>
      <c r="AR218" s="464"/>
      <c r="AS218" s="464"/>
      <c r="AT218" s="464"/>
      <c r="AU218" s="464"/>
      <c r="AV218" s="464"/>
      <c r="AW218" s="464"/>
      <c r="AX218" s="464"/>
      <c r="AY218" s="464"/>
      <c r="AZ218" s="464"/>
      <c r="BA218" s="464"/>
      <c r="BB218" s="464"/>
      <c r="BC218" s="464"/>
      <c r="BD218" s="464"/>
      <c r="BE218" s="464"/>
      <c r="BF218" s="464"/>
      <c r="BG218" s="464"/>
      <c r="BH218" s="464"/>
      <c r="BI218" s="464"/>
      <c r="BJ218" s="464"/>
      <c r="BK218" s="464"/>
      <c r="BL218" s="464"/>
      <c r="BM218" s="464"/>
    </row>
    <row r="219">
      <c r="A219" s="466" t="s">
        <v>1587</v>
      </c>
      <c r="B219" s="464">
        <f>SUM('01-17-12'!AK90,'01-31-12'!AO92,'02-14-12'!AJ93,'03-15-12'!AJ86)</f>
        <v>34</v>
      </c>
      <c r="C219" s="464">
        <f>SUM('01-17-12'!AL90,'01-31-12'!AP92,'02-14-12'!AK93,'03-15-12'!AK86)</f>
        <v>34</v>
      </c>
      <c r="D219" s="464">
        <f>SUM('01-17-12'!AM90,'01-31-12'!AQ92,'02-14-12'!AL93,'03-15-12'!AL86)</f>
        <v>53</v>
      </c>
      <c r="E219" s="464">
        <f>SUM('01-17-12'!AN90,'01-31-12'!AR92,'02-14-12'!AM93,'03-15-12'!AM86)</f>
        <v>8</v>
      </c>
      <c r="F219" s="464">
        <f>SUM('01-17-12'!AO90,'01-31-12'!AS92,'02-14-12'!AN93,'03-15-12'!AN86)</f>
        <v>99</v>
      </c>
      <c r="G219" s="464">
        <f>SUM('01-17-12'!AP90,'01-31-12'!AT92,'02-14-12'!AO93,'03-15-12'!AO86)</f>
        <v>57</v>
      </c>
      <c r="H219" s="464">
        <f>SUM('01-17-12'!AQ90,'01-31-12'!AU92,'02-14-12'!AP93,'03-15-12'!AP86)</f>
        <v>1</v>
      </c>
      <c r="I219" s="464"/>
      <c r="J219" s="464"/>
      <c r="K219" s="464"/>
      <c r="L219" s="464"/>
      <c r="M219" s="432" t="s">
        <v>1089</v>
      </c>
      <c r="N219" s="539">
        <v>0.22895786</v>
      </c>
      <c r="O219" s="539">
        <v>0.6322976</v>
      </c>
      <c r="P219" s="537">
        <f t="shared" si="372"/>
        <v>0</v>
      </c>
      <c r="Q219" s="542">
        <v>0.11648931</v>
      </c>
      <c r="R219" s="537">
        <v>1.8191584434161696</v>
      </c>
      <c r="S219" s="537">
        <v>1.9636097261547143</v>
      </c>
      <c r="T219" s="537">
        <v>0.0</v>
      </c>
      <c r="U219" s="464"/>
      <c r="V219" s="464"/>
      <c r="W219" s="464"/>
      <c r="X219" s="464"/>
      <c r="Y219" s="464"/>
      <c r="Z219" s="464"/>
      <c r="AA219" s="464"/>
      <c r="AB219" s="464"/>
      <c r="AC219" s="464"/>
      <c r="AD219" s="464"/>
      <c r="AE219" s="464"/>
      <c r="AF219" s="464"/>
      <c r="AG219" s="464"/>
      <c r="AH219" s="464"/>
      <c r="AI219" s="464"/>
      <c r="AJ219" s="464"/>
      <c r="AK219" s="464"/>
      <c r="AL219" s="464"/>
      <c r="AM219" s="464"/>
      <c r="AN219" s="464"/>
      <c r="AO219" s="464"/>
      <c r="AP219" s="464"/>
      <c r="AQ219" s="464"/>
      <c r="AR219" s="464"/>
      <c r="AS219" s="464"/>
      <c r="AT219" s="464"/>
      <c r="AU219" s="464"/>
      <c r="AV219" s="464"/>
      <c r="AW219" s="464"/>
      <c r="AX219" s="464"/>
      <c r="AY219" s="464"/>
      <c r="AZ219" s="464"/>
      <c r="BA219" s="464"/>
      <c r="BB219" s="464"/>
      <c r="BC219" s="464"/>
      <c r="BD219" s="464"/>
      <c r="BE219" s="464"/>
      <c r="BF219" s="464"/>
      <c r="BG219" s="464"/>
      <c r="BH219" s="464"/>
      <c r="BI219" s="464"/>
      <c r="BJ219" s="464"/>
      <c r="BK219" s="464"/>
      <c r="BL219" s="464"/>
      <c r="BM219" s="464"/>
    </row>
    <row r="220">
      <c r="A220" s="466" t="s">
        <v>1588</v>
      </c>
      <c r="B220" s="464">
        <f t="shared" ref="B220:H220" si="396">B219/SUM($B$219:$I$219)</f>
        <v>0.1188811189</v>
      </c>
      <c r="C220" s="464">
        <f t="shared" si="396"/>
        <v>0.1188811189</v>
      </c>
      <c r="D220" s="464">
        <f t="shared" si="396"/>
        <v>0.1853146853</v>
      </c>
      <c r="E220" s="464">
        <f t="shared" si="396"/>
        <v>0.02797202797</v>
      </c>
      <c r="F220" s="464">
        <f t="shared" si="396"/>
        <v>0.3461538462</v>
      </c>
      <c r="G220" s="464">
        <f t="shared" si="396"/>
        <v>0.1993006993</v>
      </c>
      <c r="H220" s="464">
        <f t="shared" si="396"/>
        <v>0.003496503497</v>
      </c>
      <c r="I220" s="464"/>
      <c r="J220" s="464"/>
      <c r="K220" s="464"/>
      <c r="L220" s="464"/>
      <c r="M220" s="433" t="s">
        <v>1182</v>
      </c>
      <c r="N220" s="539">
        <v>0.00551167</v>
      </c>
      <c r="O220" s="539">
        <v>0.9408189</v>
      </c>
      <c r="P220" s="537">
        <f t="shared" si="372"/>
        <v>0</v>
      </c>
      <c r="Q220" s="537"/>
      <c r="R220" s="537">
        <v>1.791759469228055</v>
      </c>
      <c r="S220" s="537">
        <v>2.0794415416798357</v>
      </c>
      <c r="T220" s="537">
        <v>0.0</v>
      </c>
      <c r="U220" s="464"/>
      <c r="V220" s="464"/>
      <c r="W220" s="464"/>
      <c r="X220" s="464"/>
      <c r="Y220" s="464"/>
      <c r="Z220" s="464"/>
      <c r="AA220" s="464"/>
      <c r="AB220" s="464"/>
      <c r="AC220" s="464"/>
      <c r="AD220" s="464"/>
      <c r="AE220" s="464"/>
      <c r="AF220" s="464"/>
      <c r="AG220" s="464"/>
      <c r="AH220" s="464"/>
      <c r="AI220" s="464"/>
      <c r="AJ220" s="464"/>
      <c r="AK220" s="464"/>
      <c r="AL220" s="464"/>
      <c r="AM220" s="464"/>
      <c r="AN220" s="464"/>
      <c r="AO220" s="464"/>
      <c r="AP220" s="464"/>
      <c r="AQ220" s="464"/>
      <c r="AR220" s="464"/>
      <c r="AS220" s="464"/>
      <c r="AT220" s="464"/>
      <c r="AU220" s="464"/>
      <c r="AV220" s="464"/>
      <c r="AW220" s="464"/>
      <c r="AX220" s="464"/>
      <c r="AY220" s="464"/>
      <c r="AZ220" s="464"/>
      <c r="BA220" s="464"/>
      <c r="BB220" s="464"/>
      <c r="BC220" s="464"/>
      <c r="BD220" s="464"/>
      <c r="BE220" s="464"/>
      <c r="BF220" s="464"/>
      <c r="BG220" s="464"/>
      <c r="BH220" s="464"/>
      <c r="BI220" s="464"/>
      <c r="BJ220" s="464"/>
      <c r="BK220" s="464"/>
      <c r="BL220" s="464"/>
      <c r="BM220" s="464"/>
    </row>
    <row r="221">
      <c r="A221" s="464"/>
      <c r="B221" s="464"/>
      <c r="C221" s="464"/>
      <c r="D221" s="464"/>
      <c r="E221" s="464"/>
      <c r="F221" s="464"/>
      <c r="G221" s="464"/>
      <c r="H221" s="464"/>
      <c r="I221" s="464"/>
      <c r="J221" s="464"/>
      <c r="K221" s="464"/>
      <c r="L221" s="464"/>
      <c r="M221" s="435" t="s">
        <v>1437</v>
      </c>
      <c r="N221" s="473">
        <v>4.0313341</v>
      </c>
      <c r="O221" s="473">
        <v>0.04466261</v>
      </c>
      <c r="P221" s="537">
        <f t="shared" si="372"/>
        <v>1</v>
      </c>
      <c r="Q221" s="537">
        <v>0.094485948</v>
      </c>
      <c r="R221" s="537">
        <v>0.8157495026522776</v>
      </c>
      <c r="S221" s="537">
        <v>1.0687593255184284</v>
      </c>
      <c r="T221" s="537">
        <v>0.20754716981132076</v>
      </c>
      <c r="U221" s="464"/>
      <c r="V221" s="464"/>
      <c r="W221" s="464"/>
      <c r="X221" s="464"/>
      <c r="Y221" s="464"/>
      <c r="Z221" s="464"/>
      <c r="AA221" s="464"/>
      <c r="AB221" s="464"/>
      <c r="AC221" s="464"/>
      <c r="AD221" s="464"/>
      <c r="AE221" s="464"/>
      <c r="AF221" s="464"/>
      <c r="AG221" s="464"/>
      <c r="AH221" s="464"/>
      <c r="AI221" s="464"/>
      <c r="AJ221" s="464"/>
      <c r="AK221" s="464"/>
      <c r="AL221" s="464"/>
      <c r="AM221" s="464"/>
      <c r="AN221" s="464"/>
      <c r="AO221" s="464"/>
      <c r="AP221" s="464"/>
      <c r="AQ221" s="464"/>
      <c r="AR221" s="464"/>
      <c r="AS221" s="464"/>
      <c r="AT221" s="464"/>
      <c r="AU221" s="464"/>
      <c r="AV221" s="464"/>
      <c r="AW221" s="464"/>
      <c r="AX221" s="464"/>
      <c r="AY221" s="464"/>
      <c r="AZ221" s="464"/>
      <c r="BA221" s="464"/>
      <c r="BB221" s="464"/>
      <c r="BC221" s="464"/>
      <c r="BD221" s="464"/>
      <c r="BE221" s="464"/>
      <c r="BF221" s="464"/>
      <c r="BG221" s="464"/>
      <c r="BH221" s="464"/>
      <c r="BI221" s="464"/>
      <c r="BJ221" s="464"/>
      <c r="BK221" s="464"/>
      <c r="BL221" s="464"/>
      <c r="BM221" s="464"/>
    </row>
    <row r="222">
      <c r="A222" s="466" t="s">
        <v>1571</v>
      </c>
      <c r="B222" s="345" t="s">
        <v>389</v>
      </c>
      <c r="C222" s="346" t="s">
        <v>420</v>
      </c>
      <c r="D222" s="347" t="s">
        <v>358</v>
      </c>
      <c r="E222" s="348" t="s">
        <v>363</v>
      </c>
      <c r="F222" s="349" t="s">
        <v>413</v>
      </c>
      <c r="G222" s="350" t="s">
        <v>357</v>
      </c>
      <c r="H222" s="351" t="s">
        <v>380</v>
      </c>
      <c r="I222" s="352" t="s">
        <v>387</v>
      </c>
      <c r="J222" s="464"/>
      <c r="K222" s="464"/>
      <c r="L222" s="464"/>
      <c r="M222" s="436" t="s">
        <v>1438</v>
      </c>
      <c r="N222" s="539">
        <v>0.510038</v>
      </c>
      <c r="O222" s="539">
        <v>0.4751224</v>
      </c>
      <c r="P222" s="537">
        <f t="shared" si="372"/>
        <v>0</v>
      </c>
      <c r="Q222" s="537">
        <v>0.069170507</v>
      </c>
      <c r="R222" s="537">
        <v>0.8602012652231116</v>
      </c>
      <c r="S222" s="537">
        <v>1.0687593255184284</v>
      </c>
      <c r="T222" s="537">
        <v>0.07547169811320754</v>
      </c>
      <c r="U222" s="464"/>
      <c r="V222" s="464"/>
      <c r="W222" s="464"/>
      <c r="X222" s="464"/>
      <c r="Y222" s="464"/>
      <c r="Z222" s="464"/>
      <c r="AA222" s="464"/>
      <c r="AB222" s="464"/>
      <c r="AC222" s="464"/>
      <c r="AD222" s="464"/>
      <c r="AE222" s="464"/>
      <c r="AF222" s="464"/>
      <c r="AG222" s="464"/>
      <c r="AH222" s="464"/>
      <c r="AI222" s="464"/>
      <c r="AJ222" s="464"/>
      <c r="AK222" s="464"/>
      <c r="AL222" s="464"/>
      <c r="AM222" s="464"/>
      <c r="AN222" s="464"/>
      <c r="AO222" s="464"/>
      <c r="AP222" s="464"/>
      <c r="AQ222" s="464"/>
      <c r="AR222" s="464"/>
      <c r="AS222" s="464"/>
      <c r="AT222" s="464"/>
      <c r="AU222" s="464"/>
      <c r="AV222" s="464"/>
      <c r="AW222" s="464"/>
      <c r="AX222" s="464"/>
      <c r="AY222" s="464"/>
      <c r="AZ222" s="464"/>
      <c r="BA222" s="464"/>
      <c r="BB222" s="464"/>
      <c r="BC222" s="464"/>
      <c r="BD222" s="464"/>
      <c r="BE222" s="464"/>
      <c r="BF222" s="464"/>
      <c r="BG222" s="464"/>
      <c r="BH222" s="464"/>
      <c r="BI222" s="464"/>
      <c r="BJ222" s="464"/>
      <c r="BK222" s="464"/>
      <c r="BL222" s="464"/>
      <c r="BM222" s="464"/>
    </row>
    <row r="223">
      <c r="A223" s="345" t="s">
        <v>389</v>
      </c>
      <c r="B223" s="464"/>
      <c r="C223" s="464">
        <f t="shared" ref="C223:H223" si="397">$B$218/C218</f>
        <v>0.5333333333</v>
      </c>
      <c r="D223" s="464">
        <f t="shared" si="397"/>
        <v>0.4444444444</v>
      </c>
      <c r="E223" s="464">
        <f t="shared" si="397"/>
        <v>2</v>
      </c>
      <c r="F223" s="464">
        <f t="shared" si="397"/>
        <v>0.2962962963</v>
      </c>
      <c r="G223" s="464">
        <f t="shared" si="397"/>
        <v>0.3076923077</v>
      </c>
      <c r="H223" s="464" t="str">
        <f t="shared" si="397"/>
        <v>#DIV/0!</v>
      </c>
      <c r="I223" s="464"/>
      <c r="J223" s="464"/>
      <c r="K223" s="464"/>
      <c r="L223" s="464"/>
      <c r="M223" s="437" t="s">
        <v>1439</v>
      </c>
      <c r="N223" s="539">
        <v>0.3222782</v>
      </c>
      <c r="O223" s="539">
        <v>0.57024172</v>
      </c>
      <c r="P223" s="537">
        <f t="shared" si="372"/>
        <v>0</v>
      </c>
      <c r="Q223" s="537">
        <v>0.127087183</v>
      </c>
      <c r="R223" s="537">
        <v>0.3403258059372028</v>
      </c>
      <c r="S223" s="537">
        <v>0.624827936582468</v>
      </c>
      <c r="T223" s="537">
        <v>0.20754716981132076</v>
      </c>
      <c r="U223" s="464"/>
      <c r="V223" s="464"/>
      <c r="W223" s="464"/>
      <c r="X223" s="464"/>
      <c r="Y223" s="464"/>
      <c r="Z223" s="464"/>
      <c r="AA223" s="464"/>
      <c r="AB223" s="464"/>
      <c r="AC223" s="464"/>
      <c r="AD223" s="464"/>
      <c r="AE223" s="464"/>
      <c r="AF223" s="464"/>
      <c r="AG223" s="464"/>
      <c r="AH223" s="464"/>
      <c r="AI223" s="464"/>
      <c r="AJ223" s="464"/>
      <c r="AK223" s="464"/>
      <c r="AL223" s="464"/>
      <c r="AM223" s="464"/>
      <c r="AN223" s="464"/>
      <c r="AO223" s="464"/>
      <c r="AP223" s="464"/>
      <c r="AQ223" s="464"/>
      <c r="AR223" s="464"/>
      <c r="AS223" s="464"/>
      <c r="AT223" s="464"/>
      <c r="AU223" s="464"/>
      <c r="AV223" s="464"/>
      <c r="AW223" s="464"/>
      <c r="AX223" s="464"/>
      <c r="AY223" s="464"/>
      <c r="AZ223" s="464"/>
      <c r="BA223" s="464"/>
      <c r="BB223" s="464"/>
      <c r="BC223" s="464"/>
      <c r="BD223" s="464"/>
      <c r="BE223" s="464"/>
      <c r="BF223" s="464"/>
      <c r="BG223" s="464"/>
      <c r="BH223" s="464"/>
      <c r="BI223" s="464"/>
      <c r="BJ223" s="464"/>
      <c r="BK223" s="464"/>
      <c r="BL223" s="464"/>
      <c r="BM223" s="464"/>
    </row>
    <row r="224">
      <c r="A224" s="346" t="s">
        <v>420</v>
      </c>
      <c r="B224" s="464">
        <f>$C$218/B218</f>
        <v>1.875</v>
      </c>
      <c r="C224" s="464"/>
      <c r="D224" s="464">
        <f t="shared" ref="D224:H224" si="398">$C$218/D218</f>
        <v>0.8333333333</v>
      </c>
      <c r="E224" s="464">
        <f t="shared" si="398"/>
        <v>3.75</v>
      </c>
      <c r="F224" s="464">
        <f t="shared" si="398"/>
        <v>0.5555555556</v>
      </c>
      <c r="G224" s="464">
        <f t="shared" si="398"/>
        <v>0.5769230769</v>
      </c>
      <c r="H224" s="464" t="str">
        <f t="shared" si="398"/>
        <v>#DIV/0!</v>
      </c>
      <c r="I224" s="464"/>
      <c r="J224" s="464"/>
      <c r="K224" s="464"/>
      <c r="L224" s="464"/>
      <c r="M224" s="438" t="s">
        <v>1440</v>
      </c>
      <c r="N224" s="539">
        <v>0.1837133</v>
      </c>
      <c r="O224" s="539">
        <v>0.66820131</v>
      </c>
      <c r="P224" s="537">
        <f t="shared" si="372"/>
        <v>0</v>
      </c>
      <c r="Q224" s="537">
        <v>0.120082535</v>
      </c>
      <c r="R224" s="537">
        <v>2.159484249353372</v>
      </c>
      <c r="S224" s="537">
        <v>2.515678308454754</v>
      </c>
      <c r="T224" s="537">
        <v>0.018867924528301886</v>
      </c>
      <c r="U224" s="464"/>
      <c r="V224" s="464"/>
      <c r="W224" s="464"/>
      <c r="X224" s="464"/>
      <c r="Y224" s="464"/>
      <c r="Z224" s="464"/>
      <c r="AA224" s="464"/>
      <c r="AB224" s="464"/>
      <c r="AC224" s="464"/>
      <c r="AD224" s="464"/>
      <c r="AE224" s="464"/>
      <c r="AF224" s="464"/>
      <c r="AG224" s="464"/>
      <c r="AH224" s="464"/>
      <c r="AI224" s="464"/>
      <c r="AJ224" s="464"/>
      <c r="AK224" s="464"/>
      <c r="AL224" s="464"/>
      <c r="AM224" s="464"/>
      <c r="AN224" s="464"/>
      <c r="AO224" s="464"/>
      <c r="AP224" s="464"/>
      <c r="AQ224" s="464"/>
      <c r="AR224" s="464"/>
      <c r="AS224" s="464"/>
      <c r="AT224" s="464"/>
      <c r="AU224" s="464"/>
      <c r="AV224" s="464"/>
      <c r="AW224" s="464"/>
      <c r="AX224" s="464"/>
      <c r="AY224" s="464"/>
      <c r="AZ224" s="464"/>
      <c r="BA224" s="464"/>
      <c r="BB224" s="464"/>
      <c r="BC224" s="464"/>
      <c r="BD224" s="464"/>
      <c r="BE224" s="464"/>
      <c r="BF224" s="464"/>
      <c r="BG224" s="464"/>
      <c r="BH224" s="464"/>
      <c r="BI224" s="464"/>
      <c r="BJ224" s="464"/>
      <c r="BK224" s="464"/>
      <c r="BL224" s="464"/>
      <c r="BM224" s="464"/>
    </row>
    <row r="225">
      <c r="A225" s="347" t="s">
        <v>358</v>
      </c>
      <c r="B225" s="464">
        <f t="shared" ref="B225:C225" si="399">$D$218/B218</f>
        <v>2.25</v>
      </c>
      <c r="C225" s="464">
        <f t="shared" si="399"/>
        <v>1.2</v>
      </c>
      <c r="D225" s="464"/>
      <c r="E225" s="464">
        <f t="shared" ref="E225:H225" si="400">$D$218/E218</f>
        <v>4.5</v>
      </c>
      <c r="F225" s="464">
        <f t="shared" si="400"/>
        <v>0.6666666667</v>
      </c>
      <c r="G225" s="464">
        <f t="shared" si="400"/>
        <v>0.6923076923</v>
      </c>
      <c r="H225" s="464" t="str">
        <f t="shared" si="400"/>
        <v>#DIV/0!</v>
      </c>
      <c r="I225" s="464"/>
      <c r="J225" s="464"/>
      <c r="K225" s="464"/>
      <c r="L225" s="464"/>
      <c r="M225" s="439" t="s">
        <v>1163</v>
      </c>
      <c r="N225" s="474">
        <v>2.8215962</v>
      </c>
      <c r="O225" s="474">
        <v>0.09300388</v>
      </c>
      <c r="P225" s="537">
        <f t="shared" si="372"/>
        <v>1</v>
      </c>
      <c r="Q225" s="542">
        <v>0.119967925</v>
      </c>
      <c r="R225" s="537">
        <v>0.3403258059372028</v>
      </c>
      <c r="S225" s="537">
        <v>0.5520685823000399</v>
      </c>
      <c r="T225" s="537">
        <v>0.09433962264150944</v>
      </c>
      <c r="U225" s="464"/>
      <c r="V225" s="464"/>
      <c r="W225" s="464"/>
      <c r="X225" s="464"/>
      <c r="Y225" s="464"/>
      <c r="Z225" s="464"/>
      <c r="AA225" s="464"/>
      <c r="AB225" s="464"/>
      <c r="AC225" s="464"/>
      <c r="AD225" s="464"/>
      <c r="AE225" s="464"/>
      <c r="AF225" s="464"/>
      <c r="AG225" s="464"/>
      <c r="AH225" s="464"/>
      <c r="AI225" s="464"/>
      <c r="AJ225" s="464"/>
      <c r="AK225" s="464"/>
      <c r="AL225" s="464"/>
      <c r="AM225" s="464"/>
      <c r="AN225" s="464"/>
      <c r="AO225" s="464"/>
      <c r="AP225" s="464"/>
      <c r="AQ225" s="464"/>
      <c r="AR225" s="464"/>
      <c r="AS225" s="464"/>
      <c r="AT225" s="464"/>
      <c r="AU225" s="464"/>
      <c r="AV225" s="464"/>
      <c r="AW225" s="464"/>
      <c r="AX225" s="464"/>
      <c r="AY225" s="464"/>
      <c r="AZ225" s="464"/>
      <c r="BA225" s="464"/>
      <c r="BB225" s="464"/>
      <c r="BC225" s="464"/>
      <c r="BD225" s="464"/>
      <c r="BE225" s="464"/>
      <c r="BF225" s="464"/>
      <c r="BG225" s="464"/>
      <c r="BH225" s="464"/>
      <c r="BI225" s="464"/>
      <c r="BJ225" s="464"/>
      <c r="BK225" s="464"/>
      <c r="BL225" s="464"/>
      <c r="BM225" s="464"/>
    </row>
    <row r="226">
      <c r="A226" s="348" t="s">
        <v>363</v>
      </c>
      <c r="B226" s="464">
        <f t="shared" ref="B226:D226" si="401">$E$218/B218</f>
        <v>0.5</v>
      </c>
      <c r="C226" s="464">
        <f t="shared" si="401"/>
        <v>0.2666666667</v>
      </c>
      <c r="D226" s="464">
        <f t="shared" si="401"/>
        <v>0.2222222222</v>
      </c>
      <c r="E226" s="464"/>
      <c r="F226" s="464">
        <f t="shared" ref="F226:H226" si="402">$E$218/F218</f>
        <v>0.1481481481</v>
      </c>
      <c r="G226" s="464">
        <f t="shared" si="402"/>
        <v>0.1538461538</v>
      </c>
      <c r="H226" s="464" t="str">
        <f t="shared" si="402"/>
        <v>#DIV/0!</v>
      </c>
      <c r="I226" s="464"/>
      <c r="J226" s="464"/>
      <c r="K226" s="464"/>
      <c r="L226" s="464"/>
      <c r="M226" s="440" t="s">
        <v>1223</v>
      </c>
      <c r="N226" s="539">
        <v>0.4374953</v>
      </c>
      <c r="O226" s="539">
        <v>0.50833387</v>
      </c>
      <c r="P226" s="537">
        <f t="shared" si="372"/>
        <v>0</v>
      </c>
      <c r="Q226" s="537"/>
      <c r="R226" s="537">
        <v>3.9512437185814275</v>
      </c>
      <c r="S226" s="537">
        <v>4.59511985013459</v>
      </c>
      <c r="T226" s="537">
        <v>0.0</v>
      </c>
      <c r="U226" s="464"/>
      <c r="V226" s="464"/>
      <c r="W226" s="464"/>
      <c r="X226" s="464"/>
      <c r="Y226" s="464"/>
      <c r="Z226" s="464"/>
      <c r="AA226" s="464"/>
      <c r="AB226" s="464"/>
      <c r="AC226" s="464"/>
      <c r="AD226" s="464"/>
      <c r="AE226" s="464"/>
      <c r="AF226" s="464"/>
      <c r="AG226" s="464"/>
      <c r="AH226" s="464"/>
      <c r="AI226" s="464"/>
      <c r="AJ226" s="464"/>
      <c r="AK226" s="464"/>
      <c r="AL226" s="464"/>
      <c r="AM226" s="464"/>
      <c r="AN226" s="464"/>
      <c r="AO226" s="464"/>
      <c r="AP226" s="464"/>
      <c r="AQ226" s="464"/>
      <c r="AR226" s="464"/>
      <c r="AS226" s="464"/>
      <c r="AT226" s="464"/>
      <c r="AU226" s="464"/>
      <c r="AV226" s="464"/>
      <c r="AW226" s="464"/>
      <c r="AX226" s="464"/>
      <c r="AY226" s="464"/>
      <c r="AZ226" s="464"/>
      <c r="BA226" s="464"/>
      <c r="BB226" s="464"/>
      <c r="BC226" s="464"/>
      <c r="BD226" s="464"/>
      <c r="BE226" s="464"/>
      <c r="BF226" s="464"/>
      <c r="BG226" s="464"/>
      <c r="BH226" s="464"/>
      <c r="BI226" s="464"/>
      <c r="BJ226" s="464"/>
      <c r="BK226" s="464"/>
      <c r="BL226" s="464"/>
      <c r="BM226" s="464"/>
    </row>
    <row r="227">
      <c r="A227" s="349" t="s">
        <v>413</v>
      </c>
      <c r="B227" s="464">
        <f t="shared" ref="B227:E227" si="403">$F$218/B218</f>
        <v>3.375</v>
      </c>
      <c r="C227" s="464">
        <f t="shared" si="403"/>
        <v>1.8</v>
      </c>
      <c r="D227" s="464">
        <f t="shared" si="403"/>
        <v>1.5</v>
      </c>
      <c r="E227" s="464">
        <f t="shared" si="403"/>
        <v>6.75</v>
      </c>
      <c r="F227" s="464"/>
      <c r="G227" s="464">
        <f t="shared" ref="G227:H227" si="404">$F$218/G218</f>
        <v>1.038461538</v>
      </c>
      <c r="H227" s="464" t="str">
        <f t="shared" si="404"/>
        <v>#DIV/0!</v>
      </c>
      <c r="I227" s="464"/>
      <c r="J227" s="464"/>
      <c r="K227" s="464"/>
      <c r="L227" s="464"/>
      <c r="M227" s="442" t="s">
        <v>1442</v>
      </c>
      <c r="N227" s="539">
        <v>0.4345675</v>
      </c>
      <c r="O227" s="539">
        <v>0.5097562</v>
      </c>
      <c r="P227" s="537">
        <f t="shared" si="372"/>
        <v>0</v>
      </c>
      <c r="Q227" s="537">
        <v>0.113842067</v>
      </c>
      <c r="R227" s="537">
        <v>0.4754236967150748</v>
      </c>
      <c r="S227" s="537">
        <v>0.5166907432183888</v>
      </c>
      <c r="T227" s="537">
        <v>0.07547169811320754</v>
      </c>
      <c r="U227" s="464"/>
      <c r="V227" s="464"/>
      <c r="W227" s="464"/>
      <c r="X227" s="464"/>
      <c r="Y227" s="464"/>
      <c r="Z227" s="464"/>
      <c r="AA227" s="464"/>
      <c r="AB227" s="464"/>
      <c r="AC227" s="464"/>
      <c r="AD227" s="464"/>
      <c r="AE227" s="464"/>
      <c r="AF227" s="464"/>
      <c r="AG227" s="464"/>
      <c r="AH227" s="464"/>
      <c r="AI227" s="464"/>
      <c r="AJ227" s="464"/>
      <c r="AK227" s="464"/>
      <c r="AL227" s="464"/>
      <c r="AM227" s="464"/>
      <c r="AN227" s="464"/>
      <c r="AO227" s="464"/>
      <c r="AP227" s="464"/>
      <c r="AQ227" s="464"/>
      <c r="AR227" s="464"/>
      <c r="AS227" s="464"/>
      <c r="AT227" s="464"/>
      <c r="AU227" s="464"/>
      <c r="AV227" s="464"/>
      <c r="AW227" s="464"/>
      <c r="AX227" s="464"/>
      <c r="AY227" s="464"/>
      <c r="AZ227" s="464"/>
      <c r="BA227" s="464"/>
      <c r="BB227" s="464"/>
      <c r="BC227" s="464"/>
      <c r="BD227" s="464"/>
      <c r="BE227" s="464"/>
      <c r="BF227" s="464"/>
      <c r="BG227" s="464"/>
      <c r="BH227" s="464"/>
      <c r="BI227" s="464"/>
      <c r="BJ227" s="464"/>
      <c r="BK227" s="464"/>
      <c r="BL227" s="464"/>
      <c r="BM227" s="464"/>
    </row>
    <row r="228">
      <c r="A228" s="350" t="s">
        <v>357</v>
      </c>
      <c r="B228" s="464">
        <f t="shared" ref="B228:F228" si="405">$G$218/B218</f>
        <v>3.25</v>
      </c>
      <c r="C228" s="464">
        <f t="shared" si="405"/>
        <v>1.733333333</v>
      </c>
      <c r="D228" s="464">
        <f t="shared" si="405"/>
        <v>1.444444444</v>
      </c>
      <c r="E228" s="464">
        <f t="shared" si="405"/>
        <v>6.5</v>
      </c>
      <c r="F228" s="464">
        <f t="shared" si="405"/>
        <v>0.962962963</v>
      </c>
      <c r="G228" s="464"/>
      <c r="H228" s="464" t="str">
        <f>$G$218/H218</f>
        <v>#DIV/0!</v>
      </c>
      <c r="I228" s="464"/>
      <c r="J228" s="464"/>
      <c r="K228" s="464"/>
      <c r="L228" s="464"/>
      <c r="M228" s="443" t="s">
        <v>1443</v>
      </c>
      <c r="N228" s="539">
        <v>0.1519127</v>
      </c>
      <c r="O228" s="539">
        <v>0.6967142</v>
      </c>
      <c r="P228" s="537">
        <f t="shared" si="372"/>
        <v>0</v>
      </c>
      <c r="Q228" s="537">
        <v>0.117149808</v>
      </c>
      <c r="R228" s="537">
        <v>0.5198754592859086</v>
      </c>
      <c r="S228" s="537">
        <v>0.5166907432183888</v>
      </c>
      <c r="T228" s="537">
        <v>0.03773584905660377</v>
      </c>
      <c r="U228" s="464"/>
      <c r="V228" s="464"/>
      <c r="W228" s="464"/>
      <c r="X228" s="464"/>
      <c r="Y228" s="464"/>
      <c r="Z228" s="464"/>
      <c r="AA228" s="464"/>
      <c r="AB228" s="464"/>
      <c r="AC228" s="464"/>
      <c r="AD228" s="464"/>
      <c r="AE228" s="464"/>
      <c r="AF228" s="464"/>
      <c r="AG228" s="464"/>
      <c r="AH228" s="464"/>
      <c r="AI228" s="464"/>
      <c r="AJ228" s="464"/>
      <c r="AK228" s="464"/>
      <c r="AL228" s="464"/>
      <c r="AM228" s="464"/>
      <c r="AN228" s="464"/>
      <c r="AO228" s="464"/>
      <c r="AP228" s="464"/>
      <c r="AQ228" s="464"/>
      <c r="AR228" s="464"/>
      <c r="AS228" s="464"/>
      <c r="AT228" s="464"/>
      <c r="AU228" s="464"/>
      <c r="AV228" s="464"/>
      <c r="AW228" s="464"/>
      <c r="AX228" s="464"/>
      <c r="AY228" s="464"/>
      <c r="AZ228" s="464"/>
      <c r="BA228" s="464"/>
      <c r="BB228" s="464"/>
      <c r="BC228" s="464"/>
      <c r="BD228" s="464"/>
      <c r="BE228" s="464"/>
      <c r="BF228" s="464"/>
      <c r="BG228" s="464"/>
      <c r="BH228" s="464"/>
      <c r="BI228" s="464"/>
      <c r="BJ228" s="464"/>
      <c r="BK228" s="464"/>
      <c r="BL228" s="464"/>
      <c r="BM228" s="464"/>
    </row>
    <row r="229">
      <c r="A229" s="351" t="s">
        <v>380</v>
      </c>
      <c r="B229" s="464">
        <f t="shared" ref="B229:G229" si="406">$H$218/B218</f>
        <v>0</v>
      </c>
      <c r="C229" s="464">
        <f t="shared" si="406"/>
        <v>0</v>
      </c>
      <c r="D229" s="464">
        <f t="shared" si="406"/>
        <v>0</v>
      </c>
      <c r="E229" s="464">
        <f t="shared" si="406"/>
        <v>0</v>
      </c>
      <c r="F229" s="464">
        <f t="shared" si="406"/>
        <v>0</v>
      </c>
      <c r="G229" s="464">
        <f t="shared" si="406"/>
        <v>0</v>
      </c>
      <c r="H229" s="464"/>
      <c r="I229" s="464"/>
      <c r="J229" s="464"/>
      <c r="K229" s="464"/>
      <c r="L229" s="464"/>
      <c r="M229" s="444" t="s">
        <v>1444</v>
      </c>
      <c r="N229" s="539">
        <v>0.5012589</v>
      </c>
      <c r="O229" s="539">
        <v>0.4789475</v>
      </c>
      <c r="P229" s="537">
        <f t="shared" si="372"/>
        <v>0</v>
      </c>
      <c r="Q229" s="537">
        <v>0.132499419</v>
      </c>
      <c r="R229" s="537">
        <v>0.0</v>
      </c>
      <c r="S229" s="537">
        <v>0.0727593542824283</v>
      </c>
      <c r="T229" s="537">
        <v>0.11320754716981132</v>
      </c>
      <c r="U229" s="464"/>
      <c r="V229" s="464"/>
      <c r="W229" s="464"/>
      <c r="X229" s="464"/>
      <c r="Y229" s="464"/>
      <c r="Z229" s="464"/>
      <c r="AA229" s="464"/>
      <c r="AB229" s="464"/>
      <c r="AC229" s="464"/>
      <c r="AD229" s="464"/>
      <c r="AE229" s="464"/>
      <c r="AF229" s="464"/>
      <c r="AG229" s="464"/>
      <c r="AH229" s="464"/>
      <c r="AI229" s="464"/>
      <c r="AJ229" s="464"/>
      <c r="AK229" s="464"/>
      <c r="AL229" s="464"/>
      <c r="AM229" s="464"/>
      <c r="AN229" s="464"/>
      <c r="AO229" s="464"/>
      <c r="AP229" s="464"/>
      <c r="AQ229" s="464"/>
      <c r="AR229" s="464"/>
      <c r="AS229" s="464"/>
      <c r="AT229" s="464"/>
      <c r="AU229" s="464"/>
      <c r="AV229" s="464"/>
      <c r="AW229" s="464"/>
      <c r="AX229" s="464"/>
      <c r="AY229" s="464"/>
      <c r="AZ229" s="464"/>
      <c r="BA229" s="464"/>
      <c r="BB229" s="464"/>
      <c r="BC229" s="464"/>
      <c r="BD229" s="464"/>
      <c r="BE229" s="464"/>
      <c r="BF229" s="464"/>
      <c r="BG229" s="464"/>
      <c r="BH229" s="464"/>
      <c r="BI229" s="464"/>
      <c r="BJ229" s="464"/>
      <c r="BK229" s="464"/>
      <c r="BL229" s="464"/>
      <c r="BM229" s="464"/>
    </row>
    <row r="230">
      <c r="A230" s="352" t="s">
        <v>387</v>
      </c>
      <c r="B230" s="464"/>
      <c r="C230" s="464"/>
      <c r="D230" s="464"/>
      <c r="E230" s="464"/>
      <c r="F230" s="464"/>
      <c r="G230" s="464"/>
      <c r="H230" s="464"/>
      <c r="I230" s="464"/>
      <c r="J230" s="464"/>
      <c r="K230" s="464"/>
      <c r="L230" s="464"/>
      <c r="M230" s="445" t="s">
        <v>1445</v>
      </c>
      <c r="N230" s="539">
        <v>1.0966749</v>
      </c>
      <c r="O230" s="539">
        <v>0.294997</v>
      </c>
      <c r="P230" s="537">
        <f t="shared" si="372"/>
        <v>0</v>
      </c>
      <c r="Q230" s="537">
        <v>0.11648931</v>
      </c>
      <c r="R230" s="537">
        <v>1.8191584434161694</v>
      </c>
      <c r="S230" s="537">
        <v>1.9636097261547143</v>
      </c>
      <c r="T230" s="537">
        <v>0.0</v>
      </c>
      <c r="U230" s="464"/>
      <c r="V230" s="464"/>
      <c r="W230" s="464"/>
      <c r="X230" s="464"/>
      <c r="Y230" s="464"/>
      <c r="Z230" s="464"/>
      <c r="AA230" s="464"/>
      <c r="AB230" s="464"/>
      <c r="AC230" s="464"/>
      <c r="AD230" s="464"/>
      <c r="AE230" s="464"/>
      <c r="AF230" s="464"/>
      <c r="AG230" s="464"/>
      <c r="AH230" s="464"/>
      <c r="AI230" s="464"/>
      <c r="AJ230" s="464"/>
      <c r="AK230" s="464"/>
      <c r="AL230" s="464"/>
      <c r="AM230" s="464"/>
      <c r="AN230" s="464"/>
      <c r="AO230" s="464"/>
      <c r="AP230" s="464"/>
      <c r="AQ230" s="464"/>
      <c r="AR230" s="464"/>
      <c r="AS230" s="464"/>
      <c r="AT230" s="464"/>
      <c r="AU230" s="464"/>
      <c r="AV230" s="464"/>
      <c r="AW230" s="464"/>
      <c r="AX230" s="464"/>
      <c r="AY230" s="464"/>
      <c r="AZ230" s="464"/>
      <c r="BA230" s="464"/>
      <c r="BB230" s="464"/>
      <c r="BC230" s="464"/>
      <c r="BD230" s="464"/>
      <c r="BE230" s="464"/>
      <c r="BF230" s="464"/>
      <c r="BG230" s="464"/>
      <c r="BH230" s="464"/>
      <c r="BI230" s="464"/>
      <c r="BJ230" s="464"/>
      <c r="BK230" s="464"/>
      <c r="BL230" s="464"/>
      <c r="BM230" s="464"/>
    </row>
    <row r="231">
      <c r="A231" s="398"/>
      <c r="B231" s="464"/>
      <c r="C231" s="464"/>
      <c r="D231" s="464"/>
      <c r="E231" s="464"/>
      <c r="F231" s="464"/>
      <c r="G231" s="464"/>
      <c r="H231" s="464"/>
      <c r="I231" s="464"/>
      <c r="J231" s="464"/>
      <c r="K231" s="464"/>
      <c r="L231" s="464"/>
      <c r="M231" s="446" t="s">
        <v>1446</v>
      </c>
      <c r="N231" s="539">
        <v>0.3122857</v>
      </c>
      <c r="O231" s="539">
        <v>0.576281</v>
      </c>
      <c r="P231" s="537">
        <f t="shared" si="372"/>
        <v>0</v>
      </c>
      <c r="Q231" s="537">
        <v>0.119967925</v>
      </c>
      <c r="R231" s="537">
        <v>0.34032580593720285</v>
      </c>
      <c r="S231" s="537">
        <v>0.5520685823000397</v>
      </c>
      <c r="T231" s="537">
        <v>0.09433962264150944</v>
      </c>
      <c r="U231" s="464"/>
      <c r="V231" s="464"/>
      <c r="W231" s="464"/>
      <c r="X231" s="464"/>
      <c r="Y231" s="464"/>
      <c r="Z231" s="464"/>
      <c r="AA231" s="464"/>
      <c r="AB231" s="464"/>
      <c r="AC231" s="464"/>
      <c r="AD231" s="464"/>
      <c r="AE231" s="464"/>
      <c r="AF231" s="464"/>
      <c r="AG231" s="464"/>
      <c r="AH231" s="464"/>
      <c r="AI231" s="464"/>
      <c r="AJ231" s="464"/>
      <c r="AK231" s="464"/>
      <c r="AL231" s="464"/>
      <c r="AM231" s="464"/>
      <c r="AN231" s="464"/>
      <c r="AO231" s="464"/>
      <c r="AP231" s="464"/>
      <c r="AQ231" s="464"/>
      <c r="AR231" s="464"/>
      <c r="AS231" s="464"/>
      <c r="AT231" s="464"/>
      <c r="AU231" s="464"/>
      <c r="AV231" s="464"/>
      <c r="AW231" s="464"/>
      <c r="AX231" s="464"/>
      <c r="AY231" s="464"/>
      <c r="AZ231" s="464"/>
      <c r="BA231" s="464"/>
      <c r="BB231" s="464"/>
      <c r="BC231" s="464"/>
      <c r="BD231" s="464"/>
      <c r="BE231" s="464"/>
      <c r="BF231" s="464"/>
      <c r="BG231" s="464"/>
      <c r="BH231" s="464"/>
      <c r="BI231" s="464"/>
      <c r="BJ231" s="464"/>
      <c r="BK231" s="464"/>
      <c r="BL231" s="464"/>
      <c r="BM231" s="464"/>
    </row>
    <row r="232">
      <c r="A232" s="466" t="s">
        <v>1573</v>
      </c>
      <c r="B232" s="345" t="s">
        <v>389</v>
      </c>
      <c r="C232" s="346" t="s">
        <v>420</v>
      </c>
      <c r="D232" s="347" t="s">
        <v>358</v>
      </c>
      <c r="E232" s="348" t="s">
        <v>363</v>
      </c>
      <c r="F232" s="349" t="s">
        <v>413</v>
      </c>
      <c r="G232" s="350" t="s">
        <v>357</v>
      </c>
      <c r="H232" s="351" t="s">
        <v>380</v>
      </c>
      <c r="I232" s="352" t="s">
        <v>387</v>
      </c>
      <c r="J232" s="464"/>
      <c r="K232" s="464"/>
      <c r="L232" s="464"/>
      <c r="M232" s="447" t="s">
        <v>1129</v>
      </c>
      <c r="N232" s="539">
        <v>0.1794993</v>
      </c>
      <c r="O232" s="539">
        <v>0.6718039</v>
      </c>
      <c r="P232" s="537">
        <f t="shared" si="372"/>
        <v>0</v>
      </c>
      <c r="Q232" s="537"/>
      <c r="R232" s="537">
        <v>3.6109179126442243</v>
      </c>
      <c r="S232" s="537">
        <v>4.04305126783455</v>
      </c>
      <c r="T232" s="537">
        <v>0.0</v>
      </c>
      <c r="U232" s="464"/>
      <c r="V232" s="464"/>
      <c r="W232" s="464"/>
      <c r="X232" s="464"/>
      <c r="Y232" s="464"/>
      <c r="Z232" s="464"/>
      <c r="AA232" s="464"/>
      <c r="AB232" s="464"/>
      <c r="AC232" s="464"/>
      <c r="AD232" s="464"/>
      <c r="AE232" s="464"/>
      <c r="AF232" s="464"/>
      <c r="AG232" s="464"/>
      <c r="AH232" s="464"/>
      <c r="AI232" s="464"/>
      <c r="AJ232" s="464"/>
      <c r="AK232" s="464"/>
      <c r="AL232" s="464"/>
      <c r="AM232" s="464"/>
      <c r="AN232" s="464"/>
      <c r="AO232" s="464"/>
      <c r="AP232" s="464"/>
      <c r="AQ232" s="464"/>
      <c r="AR232" s="464"/>
      <c r="AS232" s="464"/>
      <c r="AT232" s="464"/>
      <c r="AU232" s="464"/>
      <c r="AV232" s="464"/>
      <c r="AW232" s="464"/>
      <c r="AX232" s="464"/>
      <c r="AY232" s="464"/>
      <c r="AZ232" s="464"/>
      <c r="BA232" s="464"/>
      <c r="BB232" s="464"/>
      <c r="BC232" s="464"/>
      <c r="BD232" s="464"/>
      <c r="BE232" s="464"/>
      <c r="BF232" s="464"/>
      <c r="BG232" s="464"/>
      <c r="BH232" s="464"/>
      <c r="BI232" s="464"/>
      <c r="BJ232" s="464"/>
      <c r="BK232" s="464"/>
      <c r="BL232" s="464"/>
      <c r="BM232" s="464"/>
    </row>
    <row r="233">
      <c r="A233" s="345" t="s">
        <v>389</v>
      </c>
      <c r="B233" s="464"/>
      <c r="C233" s="464">
        <f t="shared" ref="C233:H233" si="407">$B$220/C220</f>
        <v>1</v>
      </c>
      <c r="D233" s="464">
        <f t="shared" si="407"/>
        <v>0.641509434</v>
      </c>
      <c r="E233" s="464">
        <f t="shared" si="407"/>
        <v>4.25</v>
      </c>
      <c r="F233" s="464">
        <f t="shared" si="407"/>
        <v>0.3434343434</v>
      </c>
      <c r="G233" s="464">
        <f t="shared" si="407"/>
        <v>0.5964912281</v>
      </c>
      <c r="H233" s="464">
        <f t="shared" si="407"/>
        <v>34</v>
      </c>
      <c r="I233" s="464"/>
      <c r="J233" s="464"/>
      <c r="K233" s="464"/>
      <c r="L233" s="464"/>
      <c r="M233" s="449" t="s">
        <v>1448</v>
      </c>
      <c r="N233" s="539">
        <v>0.10158827</v>
      </c>
      <c r="O233" s="539">
        <v>0.7499319</v>
      </c>
      <c r="P233" s="537">
        <f t="shared" si="372"/>
        <v>0</v>
      </c>
      <c r="Q233" s="537"/>
      <c r="R233" s="537">
        <v>3.1354942159291497</v>
      </c>
      <c r="S233" s="537">
        <v>3.5263605246161616</v>
      </c>
      <c r="T233" s="537">
        <v>0.0</v>
      </c>
      <c r="U233" s="464"/>
      <c r="V233" s="464"/>
      <c r="W233" s="464"/>
      <c r="X233" s="464"/>
      <c r="Y233" s="464"/>
      <c r="Z233" s="464"/>
      <c r="AA233" s="464"/>
      <c r="AB233" s="464"/>
      <c r="AC233" s="464"/>
      <c r="AD233" s="464"/>
      <c r="AE233" s="464"/>
      <c r="AF233" s="464"/>
      <c r="AG233" s="464"/>
      <c r="AH233" s="464"/>
      <c r="AI233" s="464"/>
      <c r="AJ233" s="464"/>
      <c r="AK233" s="464"/>
      <c r="AL233" s="464"/>
      <c r="AM233" s="464"/>
      <c r="AN233" s="464"/>
      <c r="AO233" s="464"/>
      <c r="AP233" s="464"/>
      <c r="AQ233" s="464"/>
      <c r="AR233" s="464"/>
      <c r="AS233" s="464"/>
      <c r="AT233" s="464"/>
      <c r="AU233" s="464"/>
      <c r="AV233" s="464"/>
      <c r="AW233" s="464"/>
      <c r="AX233" s="464"/>
      <c r="AY233" s="464"/>
      <c r="AZ233" s="464"/>
      <c r="BA233" s="464"/>
      <c r="BB233" s="464"/>
      <c r="BC233" s="464"/>
      <c r="BD233" s="464"/>
      <c r="BE233" s="464"/>
      <c r="BF233" s="464"/>
      <c r="BG233" s="464"/>
      <c r="BH233" s="464"/>
      <c r="BI233" s="464"/>
      <c r="BJ233" s="464"/>
      <c r="BK233" s="464"/>
      <c r="BL233" s="464"/>
      <c r="BM233" s="464"/>
    </row>
    <row r="234">
      <c r="A234" s="346" t="s">
        <v>420</v>
      </c>
      <c r="B234" s="464">
        <f>$C$220/B220</f>
        <v>1</v>
      </c>
      <c r="C234" s="464"/>
      <c r="D234" s="464">
        <f t="shared" ref="D234:H234" si="408">$C$220/D220</f>
        <v>0.641509434</v>
      </c>
      <c r="E234" s="464">
        <f t="shared" si="408"/>
        <v>4.25</v>
      </c>
      <c r="F234" s="464">
        <f t="shared" si="408"/>
        <v>0.3434343434</v>
      </c>
      <c r="G234" s="464">
        <f t="shared" si="408"/>
        <v>0.5964912281</v>
      </c>
      <c r="H234" s="464">
        <f t="shared" si="408"/>
        <v>34</v>
      </c>
      <c r="I234" s="464"/>
      <c r="J234" s="464"/>
      <c r="K234" s="464"/>
      <c r="L234" s="464"/>
      <c r="M234" s="450" t="s">
        <v>1449</v>
      </c>
      <c r="N234" s="539">
        <v>0.09686453</v>
      </c>
      <c r="O234" s="539">
        <v>0.7556253</v>
      </c>
      <c r="P234" s="537">
        <f t="shared" si="372"/>
        <v>0</v>
      </c>
      <c r="Q234" s="537"/>
      <c r="R234" s="537">
        <v>3.091042453358316</v>
      </c>
      <c r="S234" s="537">
        <v>3.5263605246161616</v>
      </c>
      <c r="T234" s="537">
        <v>0.0</v>
      </c>
      <c r="U234" s="464"/>
      <c r="V234" s="464"/>
      <c r="W234" s="464"/>
      <c r="X234" s="464"/>
      <c r="Y234" s="464"/>
      <c r="Z234" s="464"/>
      <c r="AA234" s="464"/>
      <c r="AB234" s="464"/>
      <c r="AC234" s="464"/>
      <c r="AD234" s="464"/>
      <c r="AE234" s="464"/>
      <c r="AF234" s="464"/>
      <c r="AG234" s="464"/>
      <c r="AH234" s="464"/>
      <c r="AI234" s="464"/>
      <c r="AJ234" s="464"/>
      <c r="AK234" s="464"/>
      <c r="AL234" s="464"/>
      <c r="AM234" s="464"/>
      <c r="AN234" s="464"/>
      <c r="AO234" s="464"/>
      <c r="AP234" s="464"/>
      <c r="AQ234" s="464"/>
      <c r="AR234" s="464"/>
      <c r="AS234" s="464"/>
      <c r="AT234" s="464"/>
      <c r="AU234" s="464"/>
      <c r="AV234" s="464"/>
      <c r="AW234" s="464"/>
      <c r="AX234" s="464"/>
      <c r="AY234" s="464"/>
      <c r="AZ234" s="464"/>
      <c r="BA234" s="464"/>
      <c r="BB234" s="464"/>
      <c r="BC234" s="464"/>
      <c r="BD234" s="464"/>
      <c r="BE234" s="464"/>
      <c r="BF234" s="464"/>
      <c r="BG234" s="464"/>
      <c r="BH234" s="464"/>
      <c r="BI234" s="464"/>
      <c r="BJ234" s="464"/>
      <c r="BK234" s="464"/>
      <c r="BL234" s="464"/>
      <c r="BM234" s="464"/>
    </row>
    <row r="235">
      <c r="A235" s="347" t="s">
        <v>358</v>
      </c>
      <c r="B235" s="464">
        <f t="shared" ref="B235:C235" si="409">$D$220/B220</f>
        <v>1.558823529</v>
      </c>
      <c r="C235" s="464">
        <f t="shared" si="409"/>
        <v>1.558823529</v>
      </c>
      <c r="D235" s="464"/>
      <c r="E235" s="464">
        <f t="shared" ref="E235:H235" si="410">$D$220/E220</f>
        <v>6.625</v>
      </c>
      <c r="F235" s="464">
        <f t="shared" si="410"/>
        <v>0.5353535354</v>
      </c>
      <c r="G235" s="464">
        <f t="shared" si="410"/>
        <v>0.9298245614</v>
      </c>
      <c r="H235" s="464">
        <f t="shared" si="410"/>
        <v>53</v>
      </c>
      <c r="I235" s="464"/>
      <c r="J235" s="464"/>
      <c r="K235" s="464"/>
      <c r="L235" s="464"/>
      <c r="M235" s="451" t="s">
        <v>1450</v>
      </c>
      <c r="N235" s="539">
        <v>1.14233098</v>
      </c>
      <c r="O235" s="539">
        <v>0.2851603</v>
      </c>
      <c r="P235" s="537">
        <f t="shared" si="372"/>
        <v>0</v>
      </c>
      <c r="Q235" s="537"/>
      <c r="R235" s="537">
        <v>3.6109179126442243</v>
      </c>
      <c r="S235" s="537">
        <v>3.970291913552122</v>
      </c>
      <c r="T235" s="537">
        <v>0.018867924528301886</v>
      </c>
      <c r="U235" s="464"/>
      <c r="V235" s="464"/>
      <c r="W235" s="464"/>
      <c r="X235" s="464"/>
      <c r="Y235" s="464"/>
      <c r="Z235" s="464"/>
      <c r="AA235" s="464"/>
      <c r="AB235" s="464"/>
      <c r="AC235" s="464"/>
      <c r="AD235" s="464"/>
      <c r="AE235" s="464"/>
      <c r="AF235" s="464"/>
      <c r="AG235" s="464"/>
      <c r="AH235" s="464"/>
      <c r="AI235" s="464"/>
      <c r="AJ235" s="464"/>
      <c r="AK235" s="464"/>
      <c r="AL235" s="464"/>
      <c r="AM235" s="464"/>
      <c r="AN235" s="464"/>
      <c r="AO235" s="464"/>
      <c r="AP235" s="464"/>
      <c r="AQ235" s="464"/>
      <c r="AR235" s="464"/>
      <c r="AS235" s="464"/>
      <c r="AT235" s="464"/>
      <c r="AU235" s="464"/>
      <c r="AV235" s="464"/>
      <c r="AW235" s="464"/>
      <c r="AX235" s="464"/>
      <c r="AY235" s="464"/>
      <c r="AZ235" s="464"/>
      <c r="BA235" s="464"/>
      <c r="BB235" s="464"/>
      <c r="BC235" s="464"/>
      <c r="BD235" s="464"/>
      <c r="BE235" s="464"/>
      <c r="BF235" s="464"/>
      <c r="BG235" s="464"/>
      <c r="BH235" s="464"/>
      <c r="BI235" s="464"/>
      <c r="BJ235" s="464"/>
      <c r="BK235" s="464"/>
      <c r="BL235" s="464"/>
      <c r="BM235" s="464"/>
    </row>
    <row r="236">
      <c r="A236" s="348" t="s">
        <v>363</v>
      </c>
      <c r="B236" s="464">
        <f t="shared" ref="B236:D236" si="411">$E$220/B220</f>
        <v>0.2352941176</v>
      </c>
      <c r="C236" s="464">
        <f t="shared" si="411"/>
        <v>0.2352941176</v>
      </c>
      <c r="D236" s="464">
        <f t="shared" si="411"/>
        <v>0.1509433962</v>
      </c>
      <c r="E236" s="464"/>
      <c r="F236" s="464">
        <f t="shared" ref="F236:H236" si="412">$E$220/F220</f>
        <v>0.08080808081</v>
      </c>
      <c r="G236" s="464">
        <f t="shared" si="412"/>
        <v>0.1403508772</v>
      </c>
      <c r="H236" s="464">
        <f t="shared" si="412"/>
        <v>8</v>
      </c>
      <c r="I236" s="464"/>
      <c r="J236" s="464"/>
      <c r="K236" s="464"/>
      <c r="L236" s="464"/>
      <c r="M236" s="452" t="s">
        <v>1451</v>
      </c>
      <c r="N236" s="539">
        <v>0.02516856</v>
      </c>
      <c r="O236" s="539">
        <v>0.8739478</v>
      </c>
      <c r="P236" s="537">
        <f t="shared" si="372"/>
        <v>0</v>
      </c>
      <c r="Q236" s="537"/>
      <c r="R236" s="537">
        <v>1.791759469228055</v>
      </c>
      <c r="S236" s="537">
        <v>2.0794415416798357</v>
      </c>
      <c r="T236" s="537">
        <v>0.0</v>
      </c>
      <c r="U236" s="464"/>
      <c r="V236" s="464"/>
      <c r="W236" s="464"/>
      <c r="X236" s="464"/>
      <c r="Y236" s="464"/>
      <c r="Z236" s="464"/>
      <c r="AA236" s="464"/>
      <c r="AB236" s="464"/>
      <c r="AC236" s="464"/>
      <c r="AD236" s="464"/>
      <c r="AE236" s="464"/>
      <c r="AF236" s="464"/>
      <c r="AG236" s="464"/>
      <c r="AH236" s="464"/>
      <c r="AI236" s="464"/>
      <c r="AJ236" s="464"/>
      <c r="AK236" s="464"/>
      <c r="AL236" s="464"/>
      <c r="AM236" s="464"/>
      <c r="AN236" s="464"/>
      <c r="AO236" s="464"/>
      <c r="AP236" s="464"/>
      <c r="AQ236" s="464"/>
      <c r="AR236" s="464"/>
      <c r="AS236" s="464"/>
      <c r="AT236" s="464"/>
      <c r="AU236" s="464"/>
      <c r="AV236" s="464"/>
      <c r="AW236" s="464"/>
      <c r="AX236" s="464"/>
      <c r="AY236" s="464"/>
      <c r="AZ236" s="464"/>
      <c r="BA236" s="464"/>
      <c r="BB236" s="464"/>
      <c r="BC236" s="464"/>
      <c r="BD236" s="464"/>
      <c r="BE236" s="464"/>
      <c r="BF236" s="464"/>
      <c r="BG236" s="464"/>
      <c r="BH236" s="464"/>
      <c r="BI236" s="464"/>
      <c r="BJ236" s="464"/>
      <c r="BK236" s="464"/>
      <c r="BL236" s="464"/>
      <c r="BM236" s="464"/>
    </row>
    <row r="237">
      <c r="A237" s="349" t="s">
        <v>413</v>
      </c>
      <c r="B237" s="464">
        <f t="shared" ref="B237:E237" si="413">$F$220/B220</f>
        <v>2.911764706</v>
      </c>
      <c r="C237" s="464">
        <f t="shared" si="413"/>
        <v>2.911764706</v>
      </c>
      <c r="D237" s="464">
        <f t="shared" si="413"/>
        <v>1.867924528</v>
      </c>
      <c r="E237" s="464">
        <f t="shared" si="413"/>
        <v>12.375</v>
      </c>
      <c r="F237" s="464"/>
      <c r="G237" s="464">
        <f t="shared" ref="G237:H237" si="414">$F$220/G220</f>
        <v>1.736842105</v>
      </c>
      <c r="H237" s="464">
        <f t="shared" si="414"/>
        <v>99</v>
      </c>
      <c r="I237" s="464"/>
      <c r="J237" s="464"/>
      <c r="K237" s="464"/>
      <c r="L237" s="464"/>
      <c r="M237" s="453" t="s">
        <v>1452</v>
      </c>
      <c r="N237" s="539">
        <v>0.25385622</v>
      </c>
      <c r="O237" s="539">
        <v>0.6143728</v>
      </c>
      <c r="P237" s="537">
        <f t="shared" si="372"/>
        <v>0</v>
      </c>
      <c r="Q237" s="537"/>
      <c r="R237" s="537">
        <v>3.951243718581427</v>
      </c>
      <c r="S237" s="537">
        <v>4.59511985013459</v>
      </c>
      <c r="T237" s="537">
        <v>0.0</v>
      </c>
      <c r="U237" s="464"/>
      <c r="V237" s="464"/>
      <c r="W237" s="464"/>
      <c r="X237" s="464"/>
      <c r="Y237" s="464"/>
      <c r="Z237" s="464"/>
      <c r="AA237" s="464"/>
      <c r="AB237" s="464"/>
      <c r="AC237" s="464"/>
      <c r="AD237" s="464"/>
      <c r="AE237" s="464"/>
      <c r="AF237" s="464"/>
      <c r="AG237" s="464"/>
      <c r="AH237" s="464"/>
      <c r="AI237" s="464"/>
      <c r="AJ237" s="464"/>
      <c r="AK237" s="464"/>
      <c r="AL237" s="464"/>
      <c r="AM237" s="464"/>
      <c r="AN237" s="464"/>
      <c r="AO237" s="464"/>
      <c r="AP237" s="464"/>
      <c r="AQ237" s="464"/>
      <c r="AR237" s="464"/>
      <c r="AS237" s="464"/>
      <c r="AT237" s="464"/>
      <c r="AU237" s="464"/>
      <c r="AV237" s="464"/>
      <c r="AW237" s="464"/>
      <c r="AX237" s="464"/>
      <c r="AY237" s="464"/>
      <c r="AZ237" s="464"/>
      <c r="BA237" s="464"/>
      <c r="BB237" s="464"/>
      <c r="BC237" s="464"/>
      <c r="BD237" s="464"/>
      <c r="BE237" s="464"/>
      <c r="BF237" s="464"/>
      <c r="BG237" s="464"/>
      <c r="BH237" s="464"/>
      <c r="BI237" s="464"/>
      <c r="BJ237" s="464"/>
      <c r="BK237" s="464"/>
      <c r="BL237" s="464"/>
      <c r="BM237" s="464"/>
    </row>
    <row r="238">
      <c r="A238" s="350" t="s">
        <v>357</v>
      </c>
      <c r="B238" s="464">
        <f t="shared" ref="B238:F238" si="415">$G$220/B220</f>
        <v>1.676470588</v>
      </c>
      <c r="C238" s="464">
        <f t="shared" si="415"/>
        <v>1.676470588</v>
      </c>
      <c r="D238" s="464">
        <f t="shared" si="415"/>
        <v>1.075471698</v>
      </c>
      <c r="E238" s="464">
        <f t="shared" si="415"/>
        <v>7.125</v>
      </c>
      <c r="F238" s="464">
        <f t="shared" si="415"/>
        <v>0.5757575758</v>
      </c>
      <c r="G238" s="464"/>
      <c r="H238" s="464">
        <f>$G$220/H220</f>
        <v>57</v>
      </c>
      <c r="I238" s="464"/>
      <c r="J238" s="464"/>
      <c r="K238" s="464"/>
      <c r="L238" s="464"/>
      <c r="M238" s="454" t="s">
        <v>1453</v>
      </c>
      <c r="N238" s="539">
        <v>0.17114715</v>
      </c>
      <c r="O238" s="539">
        <v>0.6790943</v>
      </c>
      <c r="P238" s="537">
        <f t="shared" si="372"/>
        <v>0</v>
      </c>
      <c r="Q238" s="537"/>
      <c r="R238" s="537">
        <v>3.6109179126442243</v>
      </c>
      <c r="S238" s="537">
        <v>4.04305126783455</v>
      </c>
      <c r="T238" s="537">
        <v>0.0</v>
      </c>
      <c r="U238" s="464"/>
      <c r="V238" s="464"/>
      <c r="W238" s="464"/>
      <c r="X238" s="464"/>
      <c r="Y238" s="464"/>
      <c r="Z238" s="464"/>
      <c r="AA238" s="464"/>
      <c r="AB238" s="464"/>
      <c r="AC238" s="464"/>
      <c r="AD238" s="464"/>
      <c r="AE238" s="464"/>
      <c r="AF238" s="464"/>
      <c r="AG238" s="464"/>
      <c r="AH238" s="464"/>
      <c r="AI238" s="464"/>
      <c r="AJ238" s="464"/>
      <c r="AK238" s="464"/>
      <c r="AL238" s="464"/>
      <c r="AM238" s="464"/>
      <c r="AN238" s="464"/>
      <c r="AO238" s="464"/>
      <c r="AP238" s="464"/>
      <c r="AQ238" s="464"/>
      <c r="AR238" s="464"/>
      <c r="AS238" s="464"/>
      <c r="AT238" s="464"/>
      <c r="AU238" s="464"/>
      <c r="AV238" s="464"/>
      <c r="AW238" s="464"/>
      <c r="AX238" s="464"/>
      <c r="AY238" s="464"/>
      <c r="AZ238" s="464"/>
      <c r="BA238" s="464"/>
      <c r="BB238" s="464"/>
      <c r="BC238" s="464"/>
      <c r="BD238" s="464"/>
      <c r="BE238" s="464"/>
      <c r="BF238" s="464"/>
      <c r="BG238" s="464"/>
      <c r="BH238" s="464"/>
      <c r="BI238" s="464"/>
      <c r="BJ238" s="464"/>
      <c r="BK238" s="464"/>
      <c r="BL238" s="464"/>
      <c r="BM238" s="464"/>
    </row>
    <row r="239">
      <c r="A239" s="351" t="s">
        <v>380</v>
      </c>
      <c r="B239" s="464">
        <f t="shared" ref="B239:G239" si="416">$H$220/B220</f>
        <v>0.02941176471</v>
      </c>
      <c r="C239" s="464">
        <f t="shared" si="416"/>
        <v>0.02941176471</v>
      </c>
      <c r="D239" s="464">
        <f t="shared" si="416"/>
        <v>0.01886792453</v>
      </c>
      <c r="E239" s="464">
        <f t="shared" si="416"/>
        <v>0.125</v>
      </c>
      <c r="F239" s="464">
        <f t="shared" si="416"/>
        <v>0.0101010101</v>
      </c>
      <c r="G239" s="464">
        <f t="shared" si="416"/>
        <v>0.01754385965</v>
      </c>
      <c r="H239" s="464"/>
      <c r="I239" s="464"/>
      <c r="J239" s="464"/>
      <c r="K239" s="464"/>
      <c r="L239" s="464"/>
      <c r="M239" s="464"/>
      <c r="N239" s="464"/>
      <c r="O239" s="464"/>
      <c r="P239" s="464"/>
      <c r="Q239" s="464"/>
      <c r="R239" s="464"/>
      <c r="T239" s="464"/>
      <c r="U239" s="464"/>
      <c r="V239" s="464"/>
      <c r="W239" s="464"/>
      <c r="X239" s="464"/>
      <c r="Y239" s="464"/>
      <c r="Z239" s="464"/>
      <c r="AA239" s="464"/>
      <c r="AB239" s="464"/>
      <c r="AC239" s="464"/>
      <c r="AD239" s="464"/>
      <c r="AE239" s="464"/>
      <c r="AF239" s="464"/>
      <c r="AG239" s="464"/>
      <c r="AH239" s="464"/>
      <c r="AI239" s="464"/>
      <c r="AJ239" s="464"/>
      <c r="AK239" s="464"/>
      <c r="AL239" s="464"/>
      <c r="AM239" s="464"/>
      <c r="AN239" s="464"/>
      <c r="AO239" s="464"/>
      <c r="AP239" s="464"/>
      <c r="AQ239" s="464"/>
      <c r="AR239" s="464"/>
      <c r="AS239" s="464"/>
      <c r="AT239" s="464"/>
      <c r="AU239" s="464"/>
      <c r="AV239" s="464"/>
      <c r="AW239" s="464"/>
      <c r="AX239" s="464"/>
      <c r="AY239" s="464"/>
      <c r="AZ239" s="464"/>
      <c r="BA239" s="464"/>
      <c r="BB239" s="464"/>
      <c r="BC239" s="464"/>
      <c r="BD239" s="464"/>
      <c r="BE239" s="464"/>
      <c r="BF239" s="464"/>
      <c r="BG239" s="464"/>
      <c r="BH239" s="464"/>
      <c r="BI239" s="464"/>
      <c r="BJ239" s="464"/>
      <c r="BK239" s="464"/>
      <c r="BL239" s="464"/>
      <c r="BM239" s="464"/>
    </row>
    <row r="240">
      <c r="A240" s="352" t="s">
        <v>387</v>
      </c>
      <c r="B240" s="464"/>
      <c r="C240" s="464"/>
      <c r="D240" s="464"/>
      <c r="E240" s="464"/>
      <c r="F240" s="464"/>
      <c r="G240" s="464"/>
      <c r="H240" s="464"/>
      <c r="I240" s="464"/>
      <c r="J240" s="464"/>
      <c r="K240" s="464"/>
      <c r="L240" s="464"/>
      <c r="M240" s="464"/>
      <c r="N240" s="464"/>
      <c r="O240" s="464"/>
      <c r="P240" s="464"/>
      <c r="Q240" s="464"/>
      <c r="R240" s="464"/>
      <c r="T240" s="464"/>
      <c r="U240" s="464"/>
      <c r="V240" s="464"/>
      <c r="W240" s="464"/>
      <c r="X240" s="464"/>
      <c r="Y240" s="464"/>
      <c r="Z240" s="464"/>
      <c r="AA240" s="464"/>
      <c r="AB240" s="464"/>
      <c r="AC240" s="464"/>
      <c r="AD240" s="464"/>
      <c r="AE240" s="464"/>
      <c r="AF240" s="464"/>
      <c r="AG240" s="464"/>
      <c r="AH240" s="464"/>
      <c r="AI240" s="464"/>
      <c r="AJ240" s="464"/>
      <c r="AK240" s="464"/>
      <c r="AL240" s="464"/>
      <c r="AM240" s="464"/>
      <c r="AN240" s="464"/>
      <c r="AO240" s="464"/>
      <c r="AP240" s="464"/>
      <c r="AQ240" s="464"/>
      <c r="AR240" s="464"/>
      <c r="AS240" s="464"/>
      <c r="AT240" s="464"/>
      <c r="AU240" s="464"/>
      <c r="AV240" s="464"/>
      <c r="AW240" s="464"/>
      <c r="AX240" s="464"/>
      <c r="AY240" s="464"/>
      <c r="AZ240" s="464"/>
      <c r="BA240" s="464"/>
      <c r="BB240" s="464"/>
      <c r="BC240" s="464"/>
      <c r="BD240" s="464"/>
      <c r="BE240" s="464"/>
      <c r="BF240" s="464"/>
      <c r="BG240" s="464"/>
      <c r="BH240" s="464"/>
      <c r="BI240" s="464"/>
      <c r="BJ240" s="464"/>
      <c r="BK240" s="464"/>
      <c r="BL240" s="464"/>
      <c r="BM240" s="464"/>
    </row>
    <row r="241">
      <c r="A241" s="464"/>
      <c r="B241" s="464"/>
      <c r="C241" s="464"/>
      <c r="D241" s="464"/>
      <c r="E241" s="464"/>
      <c r="F241" s="464"/>
      <c r="G241" s="464"/>
      <c r="H241" s="464"/>
      <c r="I241" s="464"/>
      <c r="J241" s="464"/>
      <c r="K241" s="464"/>
      <c r="L241" s="464"/>
      <c r="M241" s="464"/>
      <c r="N241" s="464"/>
      <c r="O241" s="464"/>
      <c r="P241" s="464"/>
      <c r="Q241" s="464"/>
      <c r="R241" s="464"/>
      <c r="T241" s="464"/>
      <c r="U241" s="464"/>
      <c r="V241" s="464"/>
      <c r="W241" s="464"/>
      <c r="X241" s="464"/>
      <c r="Y241" s="464"/>
      <c r="Z241" s="464"/>
      <c r="AA241" s="464"/>
      <c r="AB241" s="464"/>
      <c r="AC241" s="464"/>
      <c r="AD241" s="464"/>
      <c r="AE241" s="464"/>
      <c r="AF241" s="464"/>
      <c r="AG241" s="464"/>
      <c r="AH241" s="464"/>
      <c r="AI241" s="464"/>
      <c r="AJ241" s="464"/>
      <c r="AK241" s="464"/>
      <c r="AL241" s="464"/>
      <c r="AM241" s="464"/>
      <c r="AN241" s="464"/>
      <c r="AO241" s="464"/>
      <c r="AP241" s="464"/>
      <c r="AQ241" s="464"/>
      <c r="AR241" s="464"/>
      <c r="AS241" s="464"/>
      <c r="AT241" s="464"/>
      <c r="AU241" s="464"/>
      <c r="AV241" s="464"/>
      <c r="AW241" s="464"/>
      <c r="AX241" s="464"/>
      <c r="AY241" s="464"/>
      <c r="AZ241" s="464"/>
      <c r="BA241" s="464"/>
      <c r="BB241" s="464"/>
      <c r="BC241" s="464"/>
      <c r="BD241" s="464"/>
      <c r="BE241" s="464"/>
      <c r="BF241" s="464"/>
      <c r="BG241" s="464"/>
      <c r="BH241" s="464"/>
      <c r="BI241" s="464"/>
      <c r="BJ241" s="464"/>
      <c r="BK241" s="464"/>
      <c r="BL241" s="464"/>
      <c r="BM241" s="464"/>
    </row>
    <row r="242">
      <c r="A242" s="464"/>
      <c r="B242" s="464"/>
      <c r="C242" s="464"/>
      <c r="D242" s="464"/>
      <c r="E242" s="464"/>
      <c r="F242" s="464"/>
      <c r="G242" s="464"/>
      <c r="H242" s="464"/>
      <c r="I242" s="464"/>
      <c r="J242" s="464"/>
      <c r="K242" s="464"/>
      <c r="L242" s="464"/>
      <c r="M242" s="464"/>
      <c r="N242" s="464"/>
      <c r="O242" s="464"/>
      <c r="P242" s="464"/>
      <c r="Q242" s="464"/>
      <c r="R242" s="464"/>
      <c r="T242" s="464"/>
      <c r="U242" s="464"/>
      <c r="V242" s="464"/>
      <c r="W242" s="464"/>
      <c r="X242" s="464"/>
      <c r="Y242" s="464"/>
      <c r="Z242" s="464"/>
      <c r="AA242" s="464"/>
      <c r="AB242" s="464"/>
      <c r="AC242" s="464"/>
      <c r="AD242" s="464"/>
      <c r="AE242" s="464"/>
      <c r="AF242" s="464"/>
      <c r="AG242" s="464"/>
      <c r="AH242" s="464"/>
      <c r="AI242" s="464"/>
      <c r="AJ242" s="464"/>
      <c r="AK242" s="464"/>
      <c r="AL242" s="464"/>
      <c r="AM242" s="464"/>
      <c r="AN242" s="464"/>
      <c r="AO242" s="464"/>
      <c r="AP242" s="464"/>
      <c r="AQ242" s="464"/>
      <c r="AR242" s="464"/>
      <c r="AS242" s="464"/>
      <c r="AT242" s="464"/>
      <c r="AU242" s="464"/>
      <c r="AV242" s="464"/>
      <c r="AW242" s="464"/>
      <c r="AX242" s="464"/>
      <c r="AY242" s="464"/>
      <c r="AZ242" s="464"/>
      <c r="BA242" s="464"/>
      <c r="BB242" s="464"/>
      <c r="BC242" s="464"/>
      <c r="BD242" s="464"/>
      <c r="BE242" s="464"/>
      <c r="BF242" s="464"/>
      <c r="BG242" s="464"/>
      <c r="BH242" s="464"/>
      <c r="BI242" s="464"/>
      <c r="BJ242" s="464"/>
      <c r="BK242" s="464"/>
      <c r="BL242" s="464"/>
      <c r="BM242" s="464"/>
    </row>
    <row r="243">
      <c r="A243" s="464"/>
      <c r="B243" s="521">
        <v>1.0</v>
      </c>
      <c r="C243" s="521">
        <v>4.0</v>
      </c>
      <c r="D243" s="521">
        <v>2.0</v>
      </c>
      <c r="E243" s="521">
        <v>3.0</v>
      </c>
      <c r="F243" s="521">
        <v>5.0</v>
      </c>
      <c r="G243" s="521">
        <v>1.0</v>
      </c>
      <c r="H243" s="521">
        <v>2.0</v>
      </c>
      <c r="I243" s="464">
        <v>1.0</v>
      </c>
      <c r="J243" s="464">
        <v>5.0</v>
      </c>
      <c r="K243" s="464">
        <v>3.0</v>
      </c>
      <c r="L243" s="464">
        <v>4.0</v>
      </c>
      <c r="M243" s="464">
        <v>6.0</v>
      </c>
      <c r="N243" s="464">
        <v>2.0</v>
      </c>
      <c r="O243" s="464">
        <v>1.0</v>
      </c>
      <c r="P243" s="464">
        <v>4.0</v>
      </c>
      <c r="Q243" s="464">
        <v>5.0</v>
      </c>
      <c r="R243" s="464">
        <v>2.0</v>
      </c>
      <c r="S243">
        <v>1.0</v>
      </c>
      <c r="T243" s="464">
        <v>1.0</v>
      </c>
      <c r="U243" s="464">
        <v>3.0</v>
      </c>
      <c r="V243" s="464">
        <v>6.0</v>
      </c>
      <c r="W243" s="464">
        <v>2.0</v>
      </c>
      <c r="X243" s="464">
        <v>3.0</v>
      </c>
      <c r="Y243" s="464">
        <v>2.0</v>
      </c>
      <c r="Z243" s="464">
        <v>1.0</v>
      </c>
      <c r="AA243" s="464">
        <v>3.0</v>
      </c>
      <c r="AB243" s="464">
        <v>1.0</v>
      </c>
      <c r="AC243" s="464">
        <v>4.0</v>
      </c>
      <c r="AD243" s="464">
        <v>3.0</v>
      </c>
      <c r="AE243" s="464">
        <v>4.0</v>
      </c>
      <c r="AF243" s="464">
        <v>1.0</v>
      </c>
      <c r="AG243" s="464">
        <v>1.0</v>
      </c>
      <c r="AH243" s="464">
        <v>2.0</v>
      </c>
      <c r="AI243" s="464">
        <v>2.0</v>
      </c>
      <c r="AJ243" s="464">
        <v>5.0</v>
      </c>
      <c r="AK243" s="464">
        <v>5.0</v>
      </c>
      <c r="AL243" s="464">
        <v>6.0</v>
      </c>
      <c r="AM243" s="464">
        <v>1.0</v>
      </c>
      <c r="AN243" s="464">
        <v>3.0</v>
      </c>
      <c r="AO243" s="464">
        <v>2.0</v>
      </c>
      <c r="AP243" s="464">
        <v>4.0</v>
      </c>
      <c r="AQ243" s="464">
        <v>7.0</v>
      </c>
      <c r="AR243" s="464">
        <v>1.0</v>
      </c>
      <c r="AS243" s="464">
        <v>2.0</v>
      </c>
      <c r="AT243" s="464">
        <v>3.0</v>
      </c>
      <c r="AU243" s="464">
        <v>1.0</v>
      </c>
      <c r="AV243" s="464">
        <v>2.0</v>
      </c>
      <c r="AW243" s="464">
        <v>4.0</v>
      </c>
      <c r="AX243" s="464">
        <v>3.0</v>
      </c>
      <c r="AY243" s="464">
        <v>2.0</v>
      </c>
      <c r="AZ243" s="464">
        <v>1.0</v>
      </c>
      <c r="BA243" s="464">
        <v>6.0</v>
      </c>
      <c r="BB243" s="464">
        <v>4.0</v>
      </c>
      <c r="BC243" s="464">
        <v>5.0</v>
      </c>
      <c r="BD243" s="464">
        <v>7.0</v>
      </c>
      <c r="BE243" s="464">
        <v>3.0</v>
      </c>
      <c r="BF243" s="464"/>
      <c r="BG243" s="464"/>
      <c r="BH243" s="464"/>
      <c r="BI243" s="464"/>
      <c r="BJ243" s="464"/>
      <c r="BK243" s="464"/>
      <c r="BL243" s="464"/>
      <c r="BM243" s="464"/>
    </row>
  </sheetData>
  <autoFilter ref="$M$38:$T$94"/>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7.29" defaultRowHeight="15.0"/>
  <cols>
    <col customWidth="1" min="1" max="3" width="9.14"/>
    <col customWidth="1" min="4" max="4" width="8.14"/>
    <col customWidth="1" min="5" max="5" width="9.57"/>
    <col customWidth="1" min="6" max="6" width="13.71"/>
    <col customWidth="1" min="7" max="7" width="6.86"/>
    <col customWidth="1" min="8" max="8" width="4.0"/>
    <col customWidth="1" min="9" max="9" width="15.14"/>
    <col customWidth="1" min="10" max="10" width="10.0"/>
    <col customWidth="1" min="11" max="11" width="5.0"/>
    <col customWidth="1" min="12" max="12" width="8.29"/>
    <col customWidth="1" min="13" max="13" width="6.86"/>
    <col customWidth="1" min="14" max="15" width="8.43"/>
    <col customWidth="1" min="16" max="16" width="9.57"/>
    <col customWidth="1" min="17" max="17" width="12.29"/>
    <col customWidth="1" min="18" max="18" width="19.57"/>
    <col customWidth="1" min="19" max="19" width="10.71"/>
    <col customWidth="1" min="20" max="20" width="16.14"/>
    <col customWidth="1" min="21" max="21" width="14.57"/>
    <col customWidth="1" min="22" max="22" width="20.86"/>
    <col customWidth="1" min="23" max="23" width="13.0"/>
    <col customWidth="1" min="24" max="24" width="8.71"/>
    <col customWidth="1" min="25" max="25" width="14.71"/>
    <col customWidth="1" min="26" max="26" width="9.71"/>
    <col customWidth="1" min="27" max="27" width="15.0"/>
    <col customWidth="1" min="28" max="28" width="10.0"/>
    <col customWidth="1" min="29" max="29" width="12.14"/>
    <col customWidth="1" min="30" max="30" width="10.57"/>
    <col customWidth="1" min="31" max="31" width="8.86"/>
    <col customWidth="1" min="32" max="34" width="9.57"/>
    <col customWidth="1" min="35" max="35" width="8.71"/>
    <col customWidth="1" min="36" max="36" width="6.14"/>
    <col customWidth="1" min="37" max="37" width="6.57"/>
    <col customWidth="1" min="38" max="39" width="8.71"/>
    <col customWidth="1" min="40" max="40" width="6.57"/>
    <col customWidth="1" min="41" max="42" width="8.71"/>
    <col customWidth="1" min="43" max="44" width="9.29"/>
    <col customWidth="1" min="45" max="45" width="11.43"/>
  </cols>
  <sheetData>
    <row r="1">
      <c r="A1" s="340" t="s">
        <v>1355</v>
      </c>
      <c r="B1" s="372" t="s">
        <v>0</v>
      </c>
      <c r="C1" s="372" t="s">
        <v>1356</v>
      </c>
      <c r="D1" s="372" t="s">
        <v>1246</v>
      </c>
      <c r="E1" s="310" t="s">
        <v>331</v>
      </c>
      <c r="F1" s="340" t="s">
        <v>1357</v>
      </c>
      <c r="G1" s="372" t="s">
        <v>1</v>
      </c>
      <c r="H1" s="372" t="s">
        <v>4</v>
      </c>
      <c r="I1" s="340" t="s">
        <v>1358</v>
      </c>
      <c r="J1" s="310" t="s">
        <v>336</v>
      </c>
      <c r="K1" s="310" t="s">
        <v>337</v>
      </c>
      <c r="L1" s="311" t="s">
        <v>332</v>
      </c>
      <c r="M1" s="311" t="s">
        <v>1360</v>
      </c>
      <c r="N1" s="311" t="s">
        <v>1593</v>
      </c>
      <c r="O1" s="311" t="s">
        <v>1594</v>
      </c>
      <c r="P1" s="311" t="s">
        <v>1595</v>
      </c>
      <c r="Q1" s="543" t="s">
        <v>339</v>
      </c>
      <c r="R1" s="339" t="s">
        <v>1361</v>
      </c>
      <c r="S1" s="339" t="s">
        <v>1596</v>
      </c>
      <c r="T1" s="339" t="s">
        <v>1362</v>
      </c>
      <c r="U1" s="339" t="s">
        <v>1364</v>
      </c>
      <c r="V1" s="340" t="s">
        <v>1407</v>
      </c>
      <c r="W1" s="339" t="s">
        <v>1597</v>
      </c>
      <c r="X1" s="339" t="s">
        <v>1598</v>
      </c>
      <c r="Y1" s="341" t="s">
        <v>1368</v>
      </c>
      <c r="Z1" s="341" t="s">
        <v>1369</v>
      </c>
      <c r="AA1" s="342" t="s">
        <v>1370</v>
      </c>
      <c r="AB1" s="342" t="s">
        <v>1371</v>
      </c>
      <c r="AC1" s="343" t="s">
        <v>1372</v>
      </c>
      <c r="AD1" s="344" t="s">
        <v>1373</v>
      </c>
      <c r="AE1" s="378" t="s">
        <v>1374</v>
      </c>
      <c r="AF1" s="544"/>
      <c r="AG1" s="182"/>
      <c r="AH1" s="182"/>
      <c r="AI1" s="182"/>
      <c r="AJ1" s="412" t="s">
        <v>389</v>
      </c>
      <c r="AK1" s="419" t="s">
        <v>420</v>
      </c>
      <c r="AL1" s="426" t="s">
        <v>358</v>
      </c>
      <c r="AM1" s="433" t="s">
        <v>363</v>
      </c>
      <c r="AN1" s="440" t="s">
        <v>413</v>
      </c>
      <c r="AO1" s="447" t="s">
        <v>357</v>
      </c>
      <c r="AP1" s="489" t="s">
        <v>380</v>
      </c>
      <c r="AQ1" s="490" t="s">
        <v>387</v>
      </c>
      <c r="AR1" s="310" t="s">
        <v>1375</v>
      </c>
      <c r="AS1" s="310" t="s">
        <v>1376</v>
      </c>
    </row>
    <row r="2">
      <c r="A2" s="49">
        <v>1.0</v>
      </c>
      <c r="B2" s="46" t="s">
        <v>5</v>
      </c>
      <c r="C2" s="49" t="s">
        <v>9</v>
      </c>
      <c r="D2" s="46" t="s">
        <v>6</v>
      </c>
      <c r="E2" s="18" t="s">
        <v>1599</v>
      </c>
      <c r="F2" s="545">
        <v>40022.0</v>
      </c>
      <c r="G2" s="46">
        <v>1.0</v>
      </c>
      <c r="H2" s="46" t="s">
        <v>8</v>
      </c>
      <c r="I2" s="46" t="s">
        <v>7</v>
      </c>
      <c r="J2" s="235" t="s">
        <v>354</v>
      </c>
      <c r="K2" s="235">
        <v>0.0</v>
      </c>
      <c r="L2" s="546">
        <v>118.0</v>
      </c>
      <c r="M2" s="546">
        <v>240.0</v>
      </c>
      <c r="N2" s="546">
        <v>66.0</v>
      </c>
      <c r="O2" s="546">
        <v>190.0</v>
      </c>
      <c r="P2" s="214">
        <v>0.0</v>
      </c>
      <c r="Q2" s="546" t="s">
        <v>1600</v>
      </c>
      <c r="R2" s="547">
        <v>35.55</v>
      </c>
      <c r="S2" s="26" t="s">
        <v>357</v>
      </c>
      <c r="T2" s="166">
        <v>0.0</v>
      </c>
      <c r="U2" s="166">
        <v>0.0</v>
      </c>
      <c r="V2" s="166">
        <v>0.0</v>
      </c>
      <c r="W2" s="166" t="s">
        <v>356</v>
      </c>
      <c r="X2" s="166" t="s">
        <v>354</v>
      </c>
      <c r="Y2" s="548" t="s">
        <v>365</v>
      </c>
      <c r="Z2" s="88" t="s">
        <v>358</v>
      </c>
      <c r="AA2" s="549" t="s">
        <v>365</v>
      </c>
      <c r="AB2" s="106" t="s">
        <v>358</v>
      </c>
      <c r="AC2" s="36" t="s">
        <v>365</v>
      </c>
      <c r="AD2" s="23" t="s">
        <v>1601</v>
      </c>
      <c r="AE2" s="357">
        <f t="shared" ref="AE2:AE15" si="1">sum(COUNTIF(Y2:AD2,"POS"),countif(R2,"&gt;0"))</f>
        <v>4</v>
      </c>
      <c r="AF2" s="182"/>
      <c r="AG2" s="182"/>
      <c r="AH2" s="182"/>
      <c r="AI2" s="182"/>
      <c r="AJ2" s="235">
        <v>0.0</v>
      </c>
      <c r="AK2" s="235">
        <v>0.0</v>
      </c>
      <c r="AL2" s="235">
        <v>3.0</v>
      </c>
      <c r="AM2" s="235">
        <v>0.0</v>
      </c>
      <c r="AN2" s="235">
        <v>0.0</v>
      </c>
      <c r="AO2" s="235">
        <v>1.0</v>
      </c>
      <c r="AP2" s="235">
        <v>0.0</v>
      </c>
      <c r="AQ2" s="235">
        <v>0.0</v>
      </c>
      <c r="AR2" s="358">
        <f t="shared" ref="AR2:AR15" si="2">sum(AJ2:AQ2)</f>
        <v>4</v>
      </c>
      <c r="AS2" s="358">
        <f t="shared" ref="AS2:AS13" si="3">countif(AJ2:AQ2,"&gt;0")</f>
        <v>2</v>
      </c>
    </row>
    <row r="3">
      <c r="A3" s="49">
        <v>2.0</v>
      </c>
      <c r="B3" s="46" t="s">
        <v>12</v>
      </c>
      <c r="C3" s="49" t="s">
        <v>14</v>
      </c>
      <c r="D3" s="46" t="s">
        <v>13</v>
      </c>
      <c r="E3" s="18" t="s">
        <v>374</v>
      </c>
      <c r="F3" s="545">
        <v>40022.0</v>
      </c>
      <c r="G3" s="46">
        <v>1.0</v>
      </c>
      <c r="H3" s="46" t="s">
        <v>8</v>
      </c>
      <c r="I3" s="46" t="s">
        <v>7</v>
      </c>
      <c r="J3" s="235" t="s">
        <v>354</v>
      </c>
      <c r="K3" s="235">
        <v>0.0</v>
      </c>
      <c r="L3" s="546">
        <v>124.0</v>
      </c>
      <c r="M3" s="546">
        <v>280.0</v>
      </c>
      <c r="N3" s="546">
        <v>1335.0</v>
      </c>
      <c r="O3" s="546">
        <v>2118.0</v>
      </c>
      <c r="P3" s="214">
        <v>1.0</v>
      </c>
      <c r="Q3" s="550" t="s">
        <v>354</v>
      </c>
      <c r="R3" s="551">
        <v>0.0</v>
      </c>
      <c r="S3" s="166" t="s">
        <v>354</v>
      </c>
      <c r="T3" s="166">
        <v>0.0</v>
      </c>
      <c r="U3" s="166">
        <v>0.0</v>
      </c>
      <c r="V3" s="166">
        <v>0.0</v>
      </c>
      <c r="W3" s="166" t="s">
        <v>356</v>
      </c>
      <c r="X3" s="552" t="s">
        <v>365</v>
      </c>
      <c r="Y3" s="553" t="s">
        <v>356</v>
      </c>
      <c r="Z3" s="554" t="s">
        <v>354</v>
      </c>
      <c r="AA3" s="555" t="s">
        <v>356</v>
      </c>
      <c r="AB3" s="556" t="s">
        <v>354</v>
      </c>
      <c r="AC3" s="36" t="s">
        <v>365</v>
      </c>
      <c r="AD3" s="51" t="s">
        <v>1602</v>
      </c>
      <c r="AE3" s="357">
        <f t="shared" si="1"/>
        <v>1</v>
      </c>
      <c r="AF3" s="182"/>
      <c r="AG3" s="182"/>
      <c r="AH3" s="182"/>
      <c r="AI3" s="182"/>
      <c r="AJ3" s="235">
        <v>0.0</v>
      </c>
      <c r="AK3" s="235">
        <v>0.0</v>
      </c>
      <c r="AL3" s="235">
        <v>1.0</v>
      </c>
      <c r="AM3" s="235">
        <v>0.0</v>
      </c>
      <c r="AN3" s="235">
        <v>0.0</v>
      </c>
      <c r="AO3" s="235">
        <v>0.0</v>
      </c>
      <c r="AP3" s="235">
        <v>0.0</v>
      </c>
      <c r="AQ3" s="235">
        <v>0.0</v>
      </c>
      <c r="AR3" s="363">
        <f t="shared" si="2"/>
        <v>1</v>
      </c>
      <c r="AS3" s="363">
        <f t="shared" si="3"/>
        <v>1</v>
      </c>
    </row>
    <row r="4">
      <c r="A4" s="49">
        <v>3.0</v>
      </c>
      <c r="B4" s="46" t="s">
        <v>18</v>
      </c>
      <c r="C4" s="49" t="s">
        <v>20</v>
      </c>
      <c r="D4" s="46" t="s">
        <v>19</v>
      </c>
      <c r="E4" s="18" t="s">
        <v>383</v>
      </c>
      <c r="F4" s="545">
        <v>40022.0</v>
      </c>
      <c r="G4" s="46">
        <v>1.0</v>
      </c>
      <c r="H4" s="46" t="s">
        <v>8</v>
      </c>
      <c r="I4" s="46" t="s">
        <v>7</v>
      </c>
      <c r="J4" s="235" t="s">
        <v>354</v>
      </c>
      <c r="K4" s="235">
        <v>0.0</v>
      </c>
      <c r="L4" s="546">
        <v>126.0</v>
      </c>
      <c r="M4" s="546">
        <v>290.0</v>
      </c>
      <c r="N4" s="546">
        <v>1117.5</v>
      </c>
      <c r="O4" s="546">
        <v>2558.0</v>
      </c>
      <c r="P4" s="214">
        <v>1.0</v>
      </c>
      <c r="Q4" s="546" t="s">
        <v>384</v>
      </c>
      <c r="R4" s="557">
        <v>41.0</v>
      </c>
      <c r="S4" s="166" t="s">
        <v>354</v>
      </c>
      <c r="T4" s="166">
        <v>0.0</v>
      </c>
      <c r="U4" s="166">
        <v>0.0</v>
      </c>
      <c r="V4" s="166">
        <v>0.0</v>
      </c>
      <c r="W4" s="166" t="s">
        <v>356</v>
      </c>
      <c r="X4" s="166" t="s">
        <v>354</v>
      </c>
      <c r="Y4" s="548" t="s">
        <v>365</v>
      </c>
      <c r="Z4" s="88" t="s">
        <v>358</v>
      </c>
      <c r="AA4" s="549" t="s">
        <v>365</v>
      </c>
      <c r="AB4" s="111" t="s">
        <v>363</v>
      </c>
      <c r="AC4" s="36" t="s">
        <v>365</v>
      </c>
      <c r="AD4" s="43" t="s">
        <v>1603</v>
      </c>
      <c r="AE4" s="357">
        <f t="shared" si="1"/>
        <v>4</v>
      </c>
      <c r="AF4" s="182"/>
      <c r="AG4" s="182"/>
      <c r="AH4" s="182"/>
      <c r="AI4" s="182"/>
      <c r="AJ4" s="235">
        <v>0.0</v>
      </c>
      <c r="AK4" s="235">
        <v>0.0</v>
      </c>
      <c r="AL4" s="235">
        <v>2.0</v>
      </c>
      <c r="AM4" s="235">
        <v>2.0</v>
      </c>
      <c r="AN4" s="235">
        <v>0.0</v>
      </c>
      <c r="AO4" s="235">
        <v>0.0</v>
      </c>
      <c r="AP4" s="235">
        <v>0.0</v>
      </c>
      <c r="AQ4" s="235">
        <v>0.0</v>
      </c>
      <c r="AR4" s="358">
        <f t="shared" si="2"/>
        <v>4</v>
      </c>
      <c r="AS4" s="358">
        <f t="shared" si="3"/>
        <v>2</v>
      </c>
    </row>
    <row r="5">
      <c r="A5" s="49">
        <v>4.0</v>
      </c>
      <c r="B5" s="46" t="s">
        <v>23</v>
      </c>
      <c r="C5" s="49" t="s">
        <v>25</v>
      </c>
      <c r="D5" s="46" t="s">
        <v>24</v>
      </c>
      <c r="E5" s="18" t="s">
        <v>391</v>
      </c>
      <c r="F5" s="545">
        <v>40022.0</v>
      </c>
      <c r="G5" s="46">
        <v>1.0</v>
      </c>
      <c r="H5" s="46" t="s">
        <v>8</v>
      </c>
      <c r="I5" s="46" t="s">
        <v>7</v>
      </c>
      <c r="J5" s="235" t="s">
        <v>354</v>
      </c>
      <c r="K5" s="235">
        <v>0.0</v>
      </c>
      <c r="L5" s="546">
        <v>127.0</v>
      </c>
      <c r="M5" s="546">
        <v>270.0</v>
      </c>
      <c r="N5" s="546">
        <v>17.0</v>
      </c>
      <c r="O5" s="546">
        <v>30.5</v>
      </c>
      <c r="P5" s="214">
        <v>0.0</v>
      </c>
      <c r="Q5" s="72" t="s">
        <v>392</v>
      </c>
      <c r="R5" s="551">
        <v>0.0</v>
      </c>
      <c r="S5" s="166" t="s">
        <v>354</v>
      </c>
      <c r="T5" s="166">
        <v>0.0</v>
      </c>
      <c r="U5" s="166">
        <v>0.0</v>
      </c>
      <c r="V5" s="166">
        <v>0.0</v>
      </c>
      <c r="W5" s="166" t="s">
        <v>356</v>
      </c>
      <c r="X5" s="166" t="s">
        <v>354</v>
      </c>
      <c r="Y5" s="548" t="s">
        <v>365</v>
      </c>
      <c r="Z5" s="73" t="s">
        <v>357</v>
      </c>
      <c r="AA5" s="558" t="s">
        <v>356</v>
      </c>
      <c r="AB5" s="556" t="s">
        <v>354</v>
      </c>
      <c r="AC5" s="23" t="s">
        <v>356</v>
      </c>
      <c r="AD5" s="19" t="s">
        <v>354</v>
      </c>
      <c r="AE5" s="357">
        <f t="shared" si="1"/>
        <v>1</v>
      </c>
      <c r="AF5" s="182"/>
      <c r="AG5" s="182"/>
      <c r="AH5" s="182"/>
      <c r="AI5" s="182"/>
      <c r="AJ5" s="235">
        <v>0.0</v>
      </c>
      <c r="AK5" s="235">
        <v>0.0</v>
      </c>
      <c r="AL5" s="235">
        <v>0.0</v>
      </c>
      <c r="AM5" s="235">
        <v>0.0</v>
      </c>
      <c r="AN5" s="235">
        <v>0.0</v>
      </c>
      <c r="AO5" s="235">
        <v>1.0</v>
      </c>
      <c r="AP5" s="235">
        <v>0.0</v>
      </c>
      <c r="AQ5" s="235">
        <v>0.0</v>
      </c>
      <c r="AR5" s="363">
        <f t="shared" si="2"/>
        <v>1</v>
      </c>
      <c r="AS5" s="363">
        <f t="shared" si="3"/>
        <v>1</v>
      </c>
    </row>
    <row r="6">
      <c r="A6" s="49">
        <v>5.0</v>
      </c>
      <c r="B6" s="46" t="s">
        <v>28</v>
      </c>
      <c r="C6" s="49" t="s">
        <v>30</v>
      </c>
      <c r="D6" s="46" t="s">
        <v>29</v>
      </c>
      <c r="E6" s="18" t="s">
        <v>401</v>
      </c>
      <c r="F6" s="545">
        <v>40022.0</v>
      </c>
      <c r="G6" s="46">
        <v>1.0</v>
      </c>
      <c r="H6" s="46" t="s">
        <v>8</v>
      </c>
      <c r="I6" s="46" t="s">
        <v>7</v>
      </c>
      <c r="J6" s="235" t="s">
        <v>354</v>
      </c>
      <c r="K6" s="235">
        <v>0.0</v>
      </c>
      <c r="L6" s="546">
        <v>118.0</v>
      </c>
      <c r="M6" s="546">
        <v>240.0</v>
      </c>
      <c r="N6" s="546">
        <v>142.0</v>
      </c>
      <c r="O6" s="546">
        <v>298.0</v>
      </c>
      <c r="P6" s="214">
        <v>0.0</v>
      </c>
      <c r="Q6" s="235" t="s">
        <v>354</v>
      </c>
      <c r="R6" s="551">
        <v>0.0</v>
      </c>
      <c r="S6" s="166" t="s">
        <v>354</v>
      </c>
      <c r="T6" s="166">
        <v>0.0</v>
      </c>
      <c r="U6" s="166">
        <v>0.0</v>
      </c>
      <c r="V6" s="166">
        <v>0.0</v>
      </c>
      <c r="W6" s="166" t="s">
        <v>356</v>
      </c>
      <c r="X6" s="552" t="s">
        <v>365</v>
      </c>
      <c r="Y6" s="548" t="s">
        <v>365</v>
      </c>
      <c r="Z6" s="73" t="s">
        <v>357</v>
      </c>
      <c r="AA6" s="558" t="s">
        <v>356</v>
      </c>
      <c r="AB6" s="556" t="s">
        <v>354</v>
      </c>
      <c r="AC6" s="36" t="s">
        <v>365</v>
      </c>
      <c r="AD6" s="51" t="s">
        <v>1602</v>
      </c>
      <c r="AE6" s="357">
        <f t="shared" si="1"/>
        <v>2</v>
      </c>
      <c r="AF6" s="182"/>
      <c r="AG6" s="182"/>
      <c r="AH6" s="182"/>
      <c r="AI6" s="182"/>
      <c r="AJ6" s="235">
        <v>0.0</v>
      </c>
      <c r="AK6" s="235">
        <v>0.0</v>
      </c>
      <c r="AL6" s="235">
        <v>1.0</v>
      </c>
      <c r="AM6" s="235">
        <v>0.0</v>
      </c>
      <c r="AN6" s="235">
        <v>0.0</v>
      </c>
      <c r="AO6" s="235">
        <v>1.0</v>
      </c>
      <c r="AP6" s="235">
        <v>0.0</v>
      </c>
      <c r="AQ6" s="235">
        <v>0.0</v>
      </c>
      <c r="AR6" s="358">
        <f t="shared" si="2"/>
        <v>2</v>
      </c>
      <c r="AS6" s="358">
        <f t="shared" si="3"/>
        <v>2</v>
      </c>
    </row>
    <row r="7">
      <c r="A7" s="49">
        <v>6.0</v>
      </c>
      <c r="B7" s="46" t="s">
        <v>33</v>
      </c>
      <c r="C7" s="49" t="s">
        <v>34</v>
      </c>
      <c r="D7" s="49" t="s">
        <v>408</v>
      </c>
      <c r="E7" s="18">
        <v>2.0</v>
      </c>
      <c r="F7" s="545">
        <v>40022.0</v>
      </c>
      <c r="G7" s="46">
        <v>1.0</v>
      </c>
      <c r="H7" s="46" t="s">
        <v>8</v>
      </c>
      <c r="I7" s="46" t="s">
        <v>7</v>
      </c>
      <c r="J7" s="235" t="s">
        <v>354</v>
      </c>
      <c r="K7" s="235">
        <v>0.0</v>
      </c>
      <c r="L7" s="546">
        <v>124.0</v>
      </c>
      <c r="M7" s="546">
        <v>290.0</v>
      </c>
      <c r="N7" s="546">
        <v>27.5</v>
      </c>
      <c r="O7" s="546">
        <v>133.0</v>
      </c>
      <c r="P7" s="214">
        <v>0.0</v>
      </c>
      <c r="Q7" s="546" t="s">
        <v>392</v>
      </c>
      <c r="R7" s="559">
        <v>43.64</v>
      </c>
      <c r="S7" s="166" t="s">
        <v>354</v>
      </c>
      <c r="T7" s="166">
        <v>0.0</v>
      </c>
      <c r="U7" s="166">
        <v>0.0</v>
      </c>
      <c r="V7" s="166">
        <v>0.0</v>
      </c>
      <c r="W7" s="166" t="s">
        <v>356</v>
      </c>
      <c r="X7" s="552" t="s">
        <v>375</v>
      </c>
      <c r="Y7" s="553" t="s">
        <v>356</v>
      </c>
      <c r="Z7" s="554" t="s">
        <v>354</v>
      </c>
      <c r="AA7" s="558" t="s">
        <v>356</v>
      </c>
      <c r="AB7" s="556" t="s">
        <v>354</v>
      </c>
      <c r="AC7" s="23" t="s">
        <v>356</v>
      </c>
      <c r="AD7" s="19"/>
      <c r="AE7" s="46">
        <f t="shared" si="1"/>
        <v>1</v>
      </c>
      <c r="AF7" s="182"/>
      <c r="AG7" s="182"/>
      <c r="AH7" s="182"/>
      <c r="AI7" s="182"/>
      <c r="AJ7" s="235">
        <v>0.0</v>
      </c>
      <c r="AK7" s="235">
        <v>0.0</v>
      </c>
      <c r="AL7" s="235">
        <v>0.0</v>
      </c>
      <c r="AM7" s="235">
        <v>0.0</v>
      </c>
      <c r="AN7" s="235">
        <v>0.0</v>
      </c>
      <c r="AO7" s="235">
        <v>0.0</v>
      </c>
      <c r="AP7" s="235">
        <v>0.0</v>
      </c>
      <c r="AQ7" s="235">
        <v>0.0</v>
      </c>
      <c r="AR7" s="182">
        <f t="shared" si="2"/>
        <v>0</v>
      </c>
      <c r="AS7" s="182">
        <f t="shared" si="3"/>
        <v>0</v>
      </c>
    </row>
    <row r="8">
      <c r="A8" s="49">
        <v>7.0</v>
      </c>
      <c r="B8" s="46" t="s">
        <v>35</v>
      </c>
      <c r="C8" s="49" t="s">
        <v>38</v>
      </c>
      <c r="D8" s="46" t="s">
        <v>36</v>
      </c>
      <c r="E8" s="18" t="s">
        <v>411</v>
      </c>
      <c r="F8" s="545">
        <v>40022.0</v>
      </c>
      <c r="G8" s="46">
        <v>1.0</v>
      </c>
      <c r="H8" s="46" t="s">
        <v>8</v>
      </c>
      <c r="I8" s="46" t="s">
        <v>37</v>
      </c>
      <c r="J8" s="235" t="s">
        <v>354</v>
      </c>
      <c r="K8" s="235">
        <v>0.0</v>
      </c>
      <c r="L8" s="546">
        <v>118.0</v>
      </c>
      <c r="M8" s="546">
        <v>215.0</v>
      </c>
      <c r="N8" s="546">
        <v>371.5</v>
      </c>
      <c r="O8" s="546">
        <v>714.0</v>
      </c>
      <c r="P8" s="214">
        <v>0.0</v>
      </c>
      <c r="Q8" s="546" t="s">
        <v>384</v>
      </c>
      <c r="R8" s="547">
        <v>38.0</v>
      </c>
      <c r="S8" s="166" t="s">
        <v>354</v>
      </c>
      <c r="T8" s="166">
        <v>0.0</v>
      </c>
      <c r="U8" s="166">
        <v>0.0</v>
      </c>
      <c r="V8" s="166">
        <v>0.0</v>
      </c>
      <c r="W8" s="166" t="s">
        <v>356</v>
      </c>
      <c r="X8" s="552" t="s">
        <v>365</v>
      </c>
      <c r="Y8" s="548" t="s">
        <v>365</v>
      </c>
      <c r="Z8" s="87" t="s">
        <v>413</v>
      </c>
      <c r="AA8" s="558" t="s">
        <v>356</v>
      </c>
      <c r="AB8" s="556" t="s">
        <v>354</v>
      </c>
      <c r="AC8" s="36" t="s">
        <v>365</v>
      </c>
      <c r="AD8" s="51" t="s">
        <v>1602</v>
      </c>
      <c r="AE8" s="357">
        <f t="shared" si="1"/>
        <v>3</v>
      </c>
      <c r="AF8" s="182"/>
      <c r="AG8" s="182"/>
      <c r="AH8" s="182"/>
      <c r="AI8" s="182"/>
      <c r="AJ8" s="235">
        <v>0.0</v>
      </c>
      <c r="AK8" s="235">
        <v>0.0</v>
      </c>
      <c r="AL8" s="235">
        <v>1.0</v>
      </c>
      <c r="AM8" s="235">
        <v>0.0</v>
      </c>
      <c r="AN8" s="235">
        <v>1.0</v>
      </c>
      <c r="AO8" s="235">
        <v>0.0</v>
      </c>
      <c r="AP8" s="235">
        <v>0.0</v>
      </c>
      <c r="AQ8" s="235">
        <v>0.0</v>
      </c>
      <c r="AR8" s="358">
        <f t="shared" si="2"/>
        <v>2</v>
      </c>
      <c r="AS8" s="358">
        <f t="shared" si="3"/>
        <v>2</v>
      </c>
    </row>
    <row r="9">
      <c r="A9" s="49">
        <v>8.0</v>
      </c>
      <c r="B9" s="46" t="s">
        <v>41</v>
      </c>
      <c r="C9" s="49" t="s">
        <v>43</v>
      </c>
      <c r="D9" s="46" t="s">
        <v>42</v>
      </c>
      <c r="E9" s="18" t="s">
        <v>421</v>
      </c>
      <c r="F9" s="545">
        <v>40022.0</v>
      </c>
      <c r="G9" s="46">
        <v>1.0</v>
      </c>
      <c r="H9" s="46" t="s">
        <v>8</v>
      </c>
      <c r="I9" s="46" t="s">
        <v>7</v>
      </c>
      <c r="J9" s="235" t="s">
        <v>354</v>
      </c>
      <c r="K9" s="235">
        <v>0.0</v>
      </c>
      <c r="L9" s="546">
        <v>123.0</v>
      </c>
      <c r="M9" s="546">
        <v>300.0</v>
      </c>
      <c r="N9" s="546">
        <v>118.0</v>
      </c>
      <c r="O9" s="546">
        <v>608.0</v>
      </c>
      <c r="P9" s="214">
        <v>0.0</v>
      </c>
      <c r="Q9" s="546" t="s">
        <v>1604</v>
      </c>
      <c r="R9" s="559">
        <v>44.07</v>
      </c>
      <c r="S9" s="166" t="s">
        <v>354</v>
      </c>
      <c r="T9" s="166">
        <v>0.0</v>
      </c>
      <c r="U9" s="166">
        <v>0.0</v>
      </c>
      <c r="V9" s="166">
        <v>0.0</v>
      </c>
      <c r="W9" s="166" t="s">
        <v>356</v>
      </c>
      <c r="X9" s="552" t="s">
        <v>365</v>
      </c>
      <c r="Y9" s="548" t="s">
        <v>365</v>
      </c>
      <c r="Z9" s="88" t="s">
        <v>358</v>
      </c>
      <c r="AA9" s="549" t="s">
        <v>365</v>
      </c>
      <c r="AB9" s="88" t="s">
        <v>358</v>
      </c>
      <c r="AC9" s="36" t="s">
        <v>365</v>
      </c>
      <c r="AD9" s="51" t="s">
        <v>1602</v>
      </c>
      <c r="AE9" s="357">
        <f t="shared" si="1"/>
        <v>4</v>
      </c>
      <c r="AF9" s="182"/>
      <c r="AG9" s="182"/>
      <c r="AH9" s="182"/>
      <c r="AI9" s="182"/>
      <c r="AJ9" s="235">
        <v>0.0</v>
      </c>
      <c r="AK9" s="235">
        <v>0.0</v>
      </c>
      <c r="AL9" s="235">
        <v>3.0</v>
      </c>
      <c r="AM9" s="235">
        <v>0.0</v>
      </c>
      <c r="AN9" s="235">
        <v>0.0</v>
      </c>
      <c r="AO9" s="235">
        <v>0.0</v>
      </c>
      <c r="AP9" s="235">
        <v>0.0</v>
      </c>
      <c r="AQ9" s="235">
        <v>0.0</v>
      </c>
      <c r="AR9" s="358">
        <f t="shared" si="2"/>
        <v>3</v>
      </c>
      <c r="AS9" s="358">
        <f t="shared" si="3"/>
        <v>1</v>
      </c>
    </row>
    <row r="10">
      <c r="A10" s="49">
        <v>9.0</v>
      </c>
      <c r="B10" s="46" t="s">
        <v>46</v>
      </c>
      <c r="C10" s="49" t="s">
        <v>47</v>
      </c>
      <c r="D10" s="49">
        <v>916.0</v>
      </c>
      <c r="E10" s="18">
        <v>1.0</v>
      </c>
      <c r="F10" s="545">
        <v>40022.0</v>
      </c>
      <c r="G10" s="46">
        <v>1.0</v>
      </c>
      <c r="H10" s="46" t="s">
        <v>8</v>
      </c>
      <c r="I10" s="46" t="s">
        <v>7</v>
      </c>
      <c r="J10" s="235" t="s">
        <v>354</v>
      </c>
      <c r="K10" s="235">
        <v>0.0</v>
      </c>
      <c r="L10" s="546">
        <v>120.0</v>
      </c>
      <c r="M10" s="546">
        <v>240.0</v>
      </c>
      <c r="N10" s="550">
        <v>14.0</v>
      </c>
      <c r="O10" s="550">
        <v>19.0</v>
      </c>
      <c r="P10" s="49">
        <v>0.0</v>
      </c>
      <c r="Q10" s="550" t="s">
        <v>354</v>
      </c>
      <c r="R10" s="559">
        <v>44.98</v>
      </c>
      <c r="S10" s="166" t="s">
        <v>354</v>
      </c>
      <c r="T10" s="166">
        <v>0.0</v>
      </c>
      <c r="U10" s="166">
        <v>0.0</v>
      </c>
      <c r="V10" s="166">
        <v>0.0</v>
      </c>
      <c r="W10" s="166" t="s">
        <v>356</v>
      </c>
      <c r="X10" s="552" t="s">
        <v>375</v>
      </c>
      <c r="Y10" s="560" t="s">
        <v>361</v>
      </c>
      <c r="Z10" s="560" t="s">
        <v>361</v>
      </c>
      <c r="AA10" s="558" t="s">
        <v>356</v>
      </c>
      <c r="AB10" s="556" t="s">
        <v>354</v>
      </c>
      <c r="AC10" s="23" t="s">
        <v>356</v>
      </c>
      <c r="AD10" s="19" t="s">
        <v>354</v>
      </c>
      <c r="AE10" s="46">
        <f t="shared" si="1"/>
        <v>1</v>
      </c>
      <c r="AF10" s="182"/>
      <c r="AG10" s="182"/>
      <c r="AH10" s="182"/>
      <c r="AI10" s="182"/>
      <c r="AJ10" s="235">
        <v>0.0</v>
      </c>
      <c r="AK10" s="235">
        <v>0.0</v>
      </c>
      <c r="AL10" s="235">
        <v>0.0</v>
      </c>
      <c r="AM10" s="235">
        <v>0.0</v>
      </c>
      <c r="AN10" s="235">
        <v>0.0</v>
      </c>
      <c r="AO10" s="235">
        <v>0.0</v>
      </c>
      <c r="AP10" s="235">
        <v>0.0</v>
      </c>
      <c r="AQ10" s="235">
        <v>0.0</v>
      </c>
      <c r="AR10" s="182">
        <f t="shared" si="2"/>
        <v>0</v>
      </c>
      <c r="AS10" s="182">
        <f t="shared" si="3"/>
        <v>0</v>
      </c>
    </row>
    <row r="11">
      <c r="A11" s="49">
        <v>10.0</v>
      </c>
      <c r="B11" s="46" t="s">
        <v>48</v>
      </c>
      <c r="C11" s="49" t="s">
        <v>50</v>
      </c>
      <c r="D11" s="46" t="s">
        <v>49</v>
      </c>
      <c r="E11" s="98" t="s">
        <v>427</v>
      </c>
      <c r="F11" s="545">
        <v>40022.0</v>
      </c>
      <c r="G11" s="46">
        <v>1.0</v>
      </c>
      <c r="H11" s="46" t="s">
        <v>8</v>
      </c>
      <c r="I11" s="46" t="s">
        <v>7</v>
      </c>
      <c r="J11" s="235" t="s">
        <v>354</v>
      </c>
      <c r="K11" s="235">
        <v>0.0</v>
      </c>
      <c r="L11" s="546">
        <v>127.0</v>
      </c>
      <c r="M11" s="546">
        <v>280.0</v>
      </c>
      <c r="N11" s="546">
        <v>1593.5</v>
      </c>
      <c r="O11" s="546">
        <v>3545.5</v>
      </c>
      <c r="P11" s="214">
        <v>1.0</v>
      </c>
      <c r="Q11" s="546" t="s">
        <v>392</v>
      </c>
      <c r="R11" s="551">
        <v>0.0</v>
      </c>
      <c r="S11" s="166" t="s">
        <v>354</v>
      </c>
      <c r="T11" s="166">
        <v>0.0</v>
      </c>
      <c r="U11" s="166">
        <v>0.0</v>
      </c>
      <c r="V11" s="166">
        <v>0.0</v>
      </c>
      <c r="W11" s="166" t="s">
        <v>356</v>
      </c>
      <c r="X11" s="166" t="s">
        <v>354</v>
      </c>
      <c r="Y11" s="560" t="s">
        <v>361</v>
      </c>
      <c r="Z11" s="560" t="s">
        <v>361</v>
      </c>
      <c r="AA11" s="561" t="s">
        <v>361</v>
      </c>
      <c r="AB11" s="561" t="s">
        <v>361</v>
      </c>
      <c r="AC11" s="23" t="s">
        <v>356</v>
      </c>
      <c r="AD11" s="19" t="s">
        <v>354</v>
      </c>
      <c r="AE11" s="46">
        <f t="shared" si="1"/>
        <v>0</v>
      </c>
      <c r="AF11" s="182"/>
      <c r="AG11" s="182"/>
      <c r="AH11" s="182"/>
      <c r="AI11" s="182"/>
      <c r="AJ11" s="235">
        <v>0.0</v>
      </c>
      <c r="AK11" s="235">
        <v>0.0</v>
      </c>
      <c r="AL11" s="235">
        <v>0.0</v>
      </c>
      <c r="AM11" s="235">
        <v>0.0</v>
      </c>
      <c r="AN11" s="235">
        <v>0.0</v>
      </c>
      <c r="AO11" s="235">
        <v>0.0</v>
      </c>
      <c r="AP11" s="235">
        <v>0.0</v>
      </c>
      <c r="AQ11" s="235">
        <v>0.0</v>
      </c>
      <c r="AR11" s="182">
        <f t="shared" si="2"/>
        <v>0</v>
      </c>
      <c r="AS11" s="182">
        <f t="shared" si="3"/>
        <v>0</v>
      </c>
    </row>
    <row r="12">
      <c r="A12" s="49">
        <v>11.0</v>
      </c>
      <c r="B12" s="46" t="s">
        <v>53</v>
      </c>
      <c r="C12" s="49" t="s">
        <v>55</v>
      </c>
      <c r="D12" s="46" t="s">
        <v>54</v>
      </c>
      <c r="E12" s="98" t="s">
        <v>432</v>
      </c>
      <c r="F12" s="545">
        <v>40022.0</v>
      </c>
      <c r="G12" s="46">
        <v>1.0</v>
      </c>
      <c r="H12" s="46" t="s">
        <v>8</v>
      </c>
      <c r="I12" s="46" t="s">
        <v>7</v>
      </c>
      <c r="J12" s="235" t="s">
        <v>354</v>
      </c>
      <c r="K12" s="235">
        <v>0.0</v>
      </c>
      <c r="L12" s="546">
        <v>119.0</v>
      </c>
      <c r="M12" s="546">
        <v>260.0</v>
      </c>
      <c r="N12" s="546">
        <v>75.0</v>
      </c>
      <c r="O12" s="546">
        <v>461.5</v>
      </c>
      <c r="P12" s="214">
        <v>0.0</v>
      </c>
      <c r="Q12" s="550" t="s">
        <v>354</v>
      </c>
      <c r="R12" s="547">
        <v>39.89</v>
      </c>
      <c r="S12" s="166" t="s">
        <v>354</v>
      </c>
      <c r="T12" s="166">
        <v>0.0</v>
      </c>
      <c r="U12" s="166">
        <v>0.0</v>
      </c>
      <c r="V12" s="166">
        <v>0.0</v>
      </c>
      <c r="W12" s="166" t="s">
        <v>356</v>
      </c>
      <c r="X12" s="166" t="s">
        <v>354</v>
      </c>
      <c r="Y12" s="553" t="s">
        <v>356</v>
      </c>
      <c r="Z12" s="562" t="s">
        <v>354</v>
      </c>
      <c r="AA12" s="561" t="s">
        <v>361</v>
      </c>
      <c r="AB12" s="561" t="s">
        <v>361</v>
      </c>
      <c r="AC12" s="36" t="s">
        <v>365</v>
      </c>
      <c r="AD12" s="99" t="s">
        <v>1605</v>
      </c>
      <c r="AE12" s="357">
        <f t="shared" si="1"/>
        <v>2</v>
      </c>
      <c r="AF12" s="182"/>
      <c r="AG12" s="182"/>
      <c r="AH12" s="182"/>
      <c r="AI12" s="182"/>
      <c r="AJ12" s="235">
        <v>0.0</v>
      </c>
      <c r="AK12" s="235">
        <v>0.0</v>
      </c>
      <c r="AL12" s="235">
        <v>0.0</v>
      </c>
      <c r="AM12" s="235">
        <v>1.0</v>
      </c>
      <c r="AN12" s="235">
        <v>0.0</v>
      </c>
      <c r="AO12" s="235">
        <v>0.0</v>
      </c>
      <c r="AP12" s="235">
        <v>0.0</v>
      </c>
      <c r="AQ12" s="235">
        <v>0.0</v>
      </c>
      <c r="AR12" s="358">
        <f t="shared" si="2"/>
        <v>1</v>
      </c>
      <c r="AS12" s="358">
        <f t="shared" si="3"/>
        <v>1</v>
      </c>
    </row>
    <row r="13">
      <c r="A13" s="49">
        <v>12.0</v>
      </c>
      <c r="B13" s="46" t="s">
        <v>58</v>
      </c>
      <c r="C13" s="46" t="s">
        <v>59</v>
      </c>
      <c r="D13" s="49" t="s">
        <v>435</v>
      </c>
      <c r="E13" s="18" t="s">
        <v>17</v>
      </c>
      <c r="F13" s="545">
        <v>40022.0</v>
      </c>
      <c r="G13" s="46">
        <v>1.0</v>
      </c>
      <c r="H13" s="46" t="s">
        <v>8</v>
      </c>
      <c r="I13" s="46" t="s">
        <v>7</v>
      </c>
      <c r="J13" s="235" t="s">
        <v>354</v>
      </c>
      <c r="K13" s="235">
        <v>0.0</v>
      </c>
      <c r="L13" s="546">
        <v>116.0</v>
      </c>
      <c r="M13" s="546">
        <v>290.0</v>
      </c>
      <c r="N13" s="546">
        <v>829.5</v>
      </c>
      <c r="O13" s="546">
        <v>919.0</v>
      </c>
      <c r="P13" s="214">
        <v>1.0</v>
      </c>
      <c r="Q13" s="546" t="s">
        <v>392</v>
      </c>
      <c r="R13" s="551">
        <v>0.0</v>
      </c>
      <c r="S13" s="166" t="s">
        <v>354</v>
      </c>
      <c r="T13" s="166">
        <v>0.0</v>
      </c>
      <c r="U13" s="166">
        <v>0.0</v>
      </c>
      <c r="V13" s="166">
        <v>0.0</v>
      </c>
      <c r="W13" s="166" t="s">
        <v>356</v>
      </c>
      <c r="X13" s="166" t="s">
        <v>354</v>
      </c>
      <c r="Y13" s="553" t="s">
        <v>356</v>
      </c>
      <c r="Z13" s="554" t="s">
        <v>354</v>
      </c>
      <c r="AA13" s="561" t="s">
        <v>361</v>
      </c>
      <c r="AB13" s="561" t="s">
        <v>361</v>
      </c>
      <c r="AC13" s="36" t="s">
        <v>365</v>
      </c>
      <c r="AD13" s="99" t="s">
        <v>1605</v>
      </c>
      <c r="AE13" s="357">
        <f t="shared" si="1"/>
        <v>1</v>
      </c>
      <c r="AF13" s="182"/>
      <c r="AG13" s="182"/>
      <c r="AH13" s="182"/>
      <c r="AI13" s="182"/>
      <c r="AJ13" s="235">
        <v>0.0</v>
      </c>
      <c r="AK13" s="235">
        <v>0.0</v>
      </c>
      <c r="AL13" s="235">
        <v>0.0</v>
      </c>
      <c r="AM13" s="235">
        <v>1.0</v>
      </c>
      <c r="AN13" s="235">
        <v>0.0</v>
      </c>
      <c r="AO13" s="235">
        <v>0.0</v>
      </c>
      <c r="AP13" s="235">
        <v>0.0</v>
      </c>
      <c r="AQ13" s="235">
        <v>0.0</v>
      </c>
      <c r="AR13" s="363">
        <f t="shared" si="2"/>
        <v>1</v>
      </c>
      <c r="AS13" s="363">
        <f t="shared" si="3"/>
        <v>1</v>
      </c>
    </row>
    <row r="14">
      <c r="A14" s="49" t="s">
        <v>1606</v>
      </c>
      <c r="B14" s="157" t="s">
        <v>354</v>
      </c>
      <c r="C14" s="46" t="s">
        <v>354</v>
      </c>
      <c r="D14" s="46" t="s">
        <v>354</v>
      </c>
      <c r="E14" s="46" t="s">
        <v>354</v>
      </c>
      <c r="F14" s="46" t="s">
        <v>354</v>
      </c>
      <c r="G14" s="46" t="s">
        <v>354</v>
      </c>
      <c r="H14" s="46" t="s">
        <v>354</v>
      </c>
      <c r="I14" s="46" t="s">
        <v>354</v>
      </c>
      <c r="J14" s="46" t="s">
        <v>354</v>
      </c>
      <c r="K14" s="46" t="s">
        <v>354</v>
      </c>
      <c r="L14" s="46" t="s">
        <v>354</v>
      </c>
      <c r="M14" s="46" t="s">
        <v>354</v>
      </c>
      <c r="N14" s="46" t="s">
        <v>354</v>
      </c>
      <c r="O14" s="46" t="s">
        <v>354</v>
      </c>
      <c r="P14" s="46" t="s">
        <v>354</v>
      </c>
      <c r="Q14" s="550" t="s">
        <v>354</v>
      </c>
      <c r="R14" s="547">
        <v>19.035</v>
      </c>
      <c r="S14" s="166" t="s">
        <v>354</v>
      </c>
      <c r="T14" s="151">
        <v>29.64</v>
      </c>
      <c r="U14" s="151">
        <v>17.95</v>
      </c>
      <c r="V14" s="221">
        <v>33.66</v>
      </c>
      <c r="W14" s="166" t="s">
        <v>356</v>
      </c>
      <c r="X14" s="166" t="s">
        <v>354</v>
      </c>
      <c r="Y14" s="548" t="s">
        <v>365</v>
      </c>
      <c r="Z14" s="554" t="s">
        <v>1400</v>
      </c>
      <c r="AA14" s="549" t="s">
        <v>365</v>
      </c>
      <c r="AB14" s="556" t="s">
        <v>1607</v>
      </c>
      <c r="AC14" s="36" t="s">
        <v>365</v>
      </c>
      <c r="AD14" s="21" t="s">
        <v>1400</v>
      </c>
      <c r="AE14" s="46">
        <f t="shared" si="1"/>
        <v>4</v>
      </c>
      <c r="AF14" s="182"/>
      <c r="AG14" s="182"/>
      <c r="AH14" s="182"/>
      <c r="AI14" s="235" t="s">
        <v>1507</v>
      </c>
      <c r="AJ14" s="235">
        <f t="shared" ref="AJ14:AQ14" si="4">sum(AJ2:AJ13)</f>
        <v>0</v>
      </c>
      <c r="AK14" s="235">
        <f t="shared" si="4"/>
        <v>0</v>
      </c>
      <c r="AL14" s="235">
        <f t="shared" si="4"/>
        <v>11</v>
      </c>
      <c r="AM14" s="235">
        <f t="shared" si="4"/>
        <v>4</v>
      </c>
      <c r="AN14" s="235">
        <f t="shared" si="4"/>
        <v>1</v>
      </c>
      <c r="AO14" s="235">
        <f t="shared" si="4"/>
        <v>3</v>
      </c>
      <c r="AP14" s="235">
        <f t="shared" si="4"/>
        <v>0</v>
      </c>
      <c r="AQ14" s="235">
        <f t="shared" si="4"/>
        <v>0</v>
      </c>
      <c r="AR14" s="358">
        <f t="shared" si="2"/>
        <v>19</v>
      </c>
      <c r="AS14" s="182"/>
    </row>
    <row r="15">
      <c r="A15" s="49" t="s">
        <v>1608</v>
      </c>
      <c r="B15" s="157" t="s">
        <v>354</v>
      </c>
      <c r="C15" s="46" t="s">
        <v>354</v>
      </c>
      <c r="D15" s="46" t="s">
        <v>354</v>
      </c>
      <c r="E15" s="46" t="s">
        <v>354</v>
      </c>
      <c r="F15" s="46" t="s">
        <v>354</v>
      </c>
      <c r="G15" s="46" t="s">
        <v>354</v>
      </c>
      <c r="H15" s="46" t="s">
        <v>354</v>
      </c>
      <c r="I15" s="46" t="s">
        <v>354</v>
      </c>
      <c r="J15" s="46" t="s">
        <v>354</v>
      </c>
      <c r="K15" s="46" t="s">
        <v>354</v>
      </c>
      <c r="L15" s="46" t="s">
        <v>354</v>
      </c>
      <c r="M15" s="46" t="s">
        <v>354</v>
      </c>
      <c r="N15" s="46" t="s">
        <v>354</v>
      </c>
      <c r="O15" s="46" t="s">
        <v>354</v>
      </c>
      <c r="P15" s="46" t="s">
        <v>354</v>
      </c>
      <c r="Q15" s="63" t="s">
        <v>354</v>
      </c>
      <c r="R15" s="166">
        <v>0.0</v>
      </c>
      <c r="S15" s="166" t="s">
        <v>354</v>
      </c>
      <c r="T15" s="166">
        <v>0.0</v>
      </c>
      <c r="U15" s="166">
        <v>0.0</v>
      </c>
      <c r="V15" s="166">
        <v>0.0</v>
      </c>
      <c r="W15" s="166" t="s">
        <v>356</v>
      </c>
      <c r="X15" s="166" t="s">
        <v>354</v>
      </c>
      <c r="Y15" s="553" t="s">
        <v>356</v>
      </c>
      <c r="Z15" s="554" t="s">
        <v>354</v>
      </c>
      <c r="AA15" s="555" t="s">
        <v>356</v>
      </c>
      <c r="AB15" s="556" t="s">
        <v>354</v>
      </c>
      <c r="AC15" s="23" t="s">
        <v>356</v>
      </c>
      <c r="AD15" s="19" t="s">
        <v>354</v>
      </c>
      <c r="AE15" s="46">
        <f t="shared" si="1"/>
        <v>0</v>
      </c>
      <c r="AF15" s="182"/>
      <c r="AG15" s="182"/>
      <c r="AH15" s="182"/>
      <c r="AI15" s="235" t="s">
        <v>1406</v>
      </c>
      <c r="AJ15" s="492">
        <f t="shared" ref="AJ15:AQ15" si="5">AJ14/$AR$14</f>
        <v>0</v>
      </c>
      <c r="AK15" s="492">
        <f t="shared" si="5"/>
        <v>0</v>
      </c>
      <c r="AL15" s="492">
        <f t="shared" si="5"/>
        <v>0.5789473684</v>
      </c>
      <c r="AM15" s="492">
        <f t="shared" si="5"/>
        <v>0.2105263158</v>
      </c>
      <c r="AN15" s="492">
        <f t="shared" si="5"/>
        <v>0.05263157895</v>
      </c>
      <c r="AO15" s="492">
        <f t="shared" si="5"/>
        <v>0.1578947368</v>
      </c>
      <c r="AP15" s="492">
        <f t="shared" si="5"/>
        <v>0</v>
      </c>
      <c r="AQ15" s="492">
        <f t="shared" si="5"/>
        <v>0</v>
      </c>
      <c r="AR15" s="380">
        <f t="shared" si="2"/>
        <v>1</v>
      </c>
      <c r="AS15" s="182"/>
    </row>
    <row r="16">
      <c r="A16" s="182"/>
      <c r="B16" s="182"/>
      <c r="C16" s="182"/>
      <c r="D16" s="182"/>
      <c r="E16" s="182"/>
      <c r="F16" s="182"/>
      <c r="G16" s="182"/>
      <c r="H16" s="182"/>
      <c r="I16" s="182"/>
      <c r="L16" s="46"/>
      <c r="M16" s="46"/>
      <c r="N16" s="46"/>
      <c r="O16" s="46"/>
      <c r="P16" s="46"/>
      <c r="Q16" s="46"/>
      <c r="R16" s="46"/>
      <c r="S16" s="46"/>
      <c r="T16" s="46"/>
      <c r="U16" s="46"/>
      <c r="V16" s="46"/>
      <c r="W16" s="46"/>
      <c r="X16" s="46"/>
      <c r="Y16" s="46"/>
      <c r="Z16" s="46"/>
      <c r="AA16" s="46"/>
      <c r="AB16" s="46"/>
      <c r="AC16" s="46"/>
      <c r="AD16" s="46"/>
      <c r="AE16" s="544"/>
      <c r="AF16" s="544"/>
      <c r="AG16" s="182"/>
      <c r="AH16" s="182"/>
      <c r="AI16" s="182"/>
      <c r="AJ16" s="182"/>
      <c r="AK16" s="182"/>
      <c r="AL16" s="182"/>
      <c r="AM16" s="182"/>
      <c r="AN16" s="182"/>
      <c r="AO16" s="182"/>
      <c r="AP16" s="182"/>
      <c r="AQ16" s="182"/>
      <c r="AR16" s="182"/>
      <c r="AS16" s="182"/>
    </row>
    <row r="17">
      <c r="A17" s="182"/>
      <c r="B17" s="182"/>
      <c r="C17" s="182"/>
      <c r="D17" s="182"/>
      <c r="E17" s="182"/>
      <c r="F17" s="182"/>
      <c r="G17" s="182"/>
      <c r="H17" s="182"/>
      <c r="I17" s="182"/>
      <c r="L17" s="46"/>
      <c r="M17" s="46"/>
      <c r="N17" s="46"/>
      <c r="O17" s="46"/>
      <c r="P17" s="46"/>
      <c r="Q17" s="49"/>
      <c r="R17" s="46">
        <f>COUNTIF(R2:R13,"&gt;0")</f>
        <v>7</v>
      </c>
      <c r="S17" s="46"/>
      <c r="T17" s="46"/>
      <c r="U17" s="46"/>
      <c r="V17" s="46">
        <f>COUNTIF(V2:V13,"&gt;0")</f>
        <v>0</v>
      </c>
      <c r="W17" s="46"/>
      <c r="X17" s="46"/>
      <c r="Y17" s="46">
        <f>COUNTIF(Y2:Y13,"POS")</f>
        <v>6</v>
      </c>
      <c r="Z17" s="46"/>
      <c r="AA17" s="46">
        <f>COUNTIF(AA2:AA13,"POS")</f>
        <v>3</v>
      </c>
      <c r="AB17" s="46"/>
      <c r="AC17" s="46">
        <f>COUNTIF(AC2:AC13,"POS")</f>
        <v>8</v>
      </c>
      <c r="AD17" s="46"/>
      <c r="AE17" s="372">
        <f>COUNTIF($AE$2:$AE$13,"&gt;0")-2</f>
        <v>9</v>
      </c>
      <c r="AF17" s="372">
        <f>COUNTIF($AE$2:$AE$13,"&gt;1")</f>
        <v>6</v>
      </c>
      <c r="AG17" s="372">
        <f>COUNTIF($AE$2:$AE$13,"&gt;2")</f>
        <v>4</v>
      </c>
      <c r="AH17" s="372">
        <f>COUNTIF($AE$2:$AE$13,"&gt;3")</f>
        <v>3</v>
      </c>
      <c r="AI17" s="487">
        <f>countif(AS2:AS13,"&gt;1")</f>
        <v>4</v>
      </c>
      <c r="AJ17" s="235"/>
      <c r="AK17" s="235"/>
      <c r="AL17" s="235"/>
      <c r="AM17" s="235"/>
      <c r="AN17" s="235"/>
      <c r="AO17" s="235"/>
      <c r="AP17" s="235"/>
      <c r="AQ17" s="235"/>
      <c r="AR17" s="182"/>
      <c r="AS17" s="182"/>
    </row>
    <row r="18">
      <c r="A18" s="182"/>
      <c r="B18" s="182"/>
      <c r="C18" s="182"/>
      <c r="D18" s="182"/>
      <c r="E18" s="182"/>
      <c r="F18" s="182"/>
      <c r="G18" s="182"/>
      <c r="H18" s="182"/>
      <c r="I18" s="182"/>
      <c r="L18" s="46"/>
      <c r="M18" s="46"/>
      <c r="N18" s="46"/>
      <c r="O18" s="46"/>
      <c r="P18" s="46"/>
      <c r="Q18" s="49"/>
      <c r="R18" s="46">
        <f>COUNT($G$2:$G$13)</f>
        <v>12</v>
      </c>
      <c r="S18" s="49"/>
      <c r="T18" s="46"/>
      <c r="U18" s="46"/>
      <c r="V18" s="46">
        <f>COUNT($G$2:$G$13)</f>
        <v>12</v>
      </c>
      <c r="W18" s="46"/>
      <c r="X18" s="46"/>
      <c r="Y18" s="46">
        <f>COUNT($G$2:$G$13)</f>
        <v>12</v>
      </c>
      <c r="Z18" s="46"/>
      <c r="AA18" s="46">
        <f>COUNT($G$2:$G$13)</f>
        <v>12</v>
      </c>
      <c r="AB18" s="46"/>
      <c r="AC18" s="46">
        <f>COUNT($G$2:$G$13)</f>
        <v>12</v>
      </c>
      <c r="AD18" s="46"/>
      <c r="AE18" s="372">
        <f t="shared" ref="AE18:AG18" si="6">COUNT($G$2:$G$13)</f>
        <v>12</v>
      </c>
      <c r="AF18" s="372">
        <f t="shared" si="6"/>
        <v>12</v>
      </c>
      <c r="AG18" s="372">
        <f t="shared" si="6"/>
        <v>12</v>
      </c>
      <c r="AH18" s="310">
        <v>12.0</v>
      </c>
      <c r="AI18" s="310">
        <v>12.0</v>
      </c>
      <c r="AJ18" s="563"/>
      <c r="AK18" s="563"/>
      <c r="AL18" s="563"/>
      <c r="AM18" s="563"/>
      <c r="AN18" s="563"/>
      <c r="AO18" s="563"/>
      <c r="AP18" s="563"/>
      <c r="AQ18" s="563"/>
      <c r="AR18" s="182"/>
      <c r="AS18" s="182"/>
    </row>
    <row r="19">
      <c r="A19" s="182"/>
      <c r="B19" s="182"/>
      <c r="C19" s="182"/>
      <c r="D19" s="182"/>
      <c r="E19" s="182"/>
      <c r="F19" s="182"/>
      <c r="G19" s="182"/>
      <c r="H19" s="182"/>
      <c r="I19" s="182"/>
      <c r="L19" s="46"/>
      <c r="M19" s="46"/>
      <c r="N19" s="46"/>
      <c r="O19" s="46"/>
      <c r="P19" s="46"/>
      <c r="Q19" s="49"/>
      <c r="R19" s="374">
        <f>R17/R18</f>
        <v>0.5833333333</v>
      </c>
      <c r="S19" s="49"/>
      <c r="T19" s="46"/>
      <c r="U19" s="46"/>
      <c r="V19" s="374">
        <f>V17/V18</f>
        <v>0</v>
      </c>
      <c r="W19" s="46"/>
      <c r="X19" s="46"/>
      <c r="Y19" s="374">
        <f>Y17/Y18</f>
        <v>0.5</v>
      </c>
      <c r="Z19" s="46"/>
      <c r="AA19" s="374">
        <f>AA17/AA18</f>
        <v>0.25</v>
      </c>
      <c r="AB19" s="46"/>
      <c r="AC19" s="374">
        <f>AC17/AC18</f>
        <v>0.6666666667</v>
      </c>
      <c r="AD19" s="46"/>
      <c r="AE19" s="564">
        <f t="shared" ref="AE19:AI19" si="7">AE17/AE18</f>
        <v>0.75</v>
      </c>
      <c r="AF19" s="564">
        <f t="shared" si="7"/>
        <v>0.5</v>
      </c>
      <c r="AG19" s="564">
        <f t="shared" si="7"/>
        <v>0.3333333333</v>
      </c>
      <c r="AH19" s="564">
        <f t="shared" si="7"/>
        <v>0.25</v>
      </c>
      <c r="AI19" s="565">
        <f t="shared" si="7"/>
        <v>0.3333333333</v>
      </c>
      <c r="AJ19" s="563"/>
      <c r="AK19" s="563"/>
      <c r="AL19" s="563"/>
      <c r="AM19" s="563"/>
      <c r="AN19" s="563"/>
      <c r="AO19" s="563"/>
      <c r="AP19" s="563"/>
      <c r="AQ19" s="563"/>
      <c r="AR19" s="182"/>
      <c r="AS19" s="182"/>
    </row>
    <row r="20">
      <c r="A20" s="182"/>
      <c r="B20" s="182"/>
      <c r="C20" s="182"/>
      <c r="D20" s="182"/>
      <c r="E20" s="182"/>
      <c r="F20" s="182"/>
      <c r="G20" s="182"/>
      <c r="H20" s="182"/>
      <c r="I20" s="182"/>
      <c r="L20" s="46"/>
      <c r="M20" s="46"/>
      <c r="N20" s="46"/>
      <c r="O20" s="46"/>
      <c r="P20" s="46"/>
      <c r="Q20" s="49"/>
      <c r="R20" s="49"/>
      <c r="S20" s="49"/>
      <c r="T20" s="46"/>
      <c r="U20" s="46"/>
      <c r="V20" s="46"/>
      <c r="W20" s="46"/>
      <c r="X20" s="46"/>
      <c r="Y20" s="46"/>
      <c r="Z20" s="46"/>
      <c r="AA20" s="46"/>
      <c r="AB20" s="46"/>
      <c r="AC20" s="46"/>
      <c r="AD20" s="46"/>
      <c r="AE20" s="372" t="s">
        <v>1401</v>
      </c>
      <c r="AF20" s="372" t="s">
        <v>1402</v>
      </c>
      <c r="AG20" s="372" t="s">
        <v>1403</v>
      </c>
      <c r="AH20" s="310" t="s">
        <v>1404</v>
      </c>
      <c r="AI20" s="310" t="s">
        <v>1376</v>
      </c>
      <c r="AJ20" s="563"/>
      <c r="AK20" s="563"/>
      <c r="AL20" s="563"/>
      <c r="AM20" s="563"/>
      <c r="AN20" s="563"/>
      <c r="AO20" s="563"/>
      <c r="AP20" s="563"/>
      <c r="AQ20" s="563"/>
      <c r="AR20" s="182"/>
      <c r="AS20" s="182"/>
    </row>
    <row r="21">
      <c r="A21" s="182"/>
      <c r="B21" s="182"/>
      <c r="C21" s="235"/>
      <c r="D21" s="182"/>
      <c r="E21" s="182"/>
      <c r="F21" s="182"/>
      <c r="G21" s="182"/>
      <c r="H21" s="182"/>
      <c r="I21" s="182"/>
      <c r="L21" s="46"/>
      <c r="M21" s="46"/>
      <c r="N21" s="46"/>
      <c r="O21" s="46"/>
      <c r="P21" s="46"/>
      <c r="Q21" s="49"/>
      <c r="R21" s="49"/>
      <c r="S21" s="49"/>
      <c r="T21" s="46"/>
      <c r="U21" s="46"/>
      <c r="V21" s="46"/>
      <c r="W21" s="46"/>
      <c r="X21" s="46"/>
      <c r="Y21" s="46"/>
      <c r="Z21" s="46"/>
      <c r="AA21" s="46"/>
      <c r="AB21" s="46"/>
      <c r="AC21" s="46"/>
      <c r="AD21" s="46"/>
      <c r="AE21" s="544"/>
      <c r="AF21" s="544"/>
      <c r="AG21" s="182"/>
      <c r="AH21" s="182"/>
      <c r="AI21" s="182"/>
      <c r="AJ21" s="563"/>
      <c r="AK21" s="563"/>
      <c r="AL21" s="563"/>
      <c r="AM21" s="563"/>
      <c r="AN21" s="563"/>
      <c r="AO21" s="563"/>
      <c r="AP21" s="563"/>
      <c r="AQ21" s="563"/>
      <c r="AR21" s="182"/>
      <c r="AS21" s="182"/>
    </row>
    <row r="22">
      <c r="A22" s="182"/>
      <c r="B22" s="182"/>
      <c r="I22" s="331" t="s">
        <v>1497</v>
      </c>
      <c r="J22" s="345" t="s">
        <v>389</v>
      </c>
      <c r="K22" s="346" t="s">
        <v>420</v>
      </c>
      <c r="L22" s="347" t="s">
        <v>358</v>
      </c>
      <c r="M22" s="348" t="s">
        <v>363</v>
      </c>
      <c r="N22" s="349" t="s">
        <v>413</v>
      </c>
      <c r="O22" s="350" t="s">
        <v>357</v>
      </c>
      <c r="P22" s="351" t="s">
        <v>380</v>
      </c>
      <c r="Q22" s="352" t="s">
        <v>387</v>
      </c>
      <c r="R22" s="566" t="s">
        <v>1427</v>
      </c>
      <c r="S22" s="408" t="s">
        <v>1190</v>
      </c>
      <c r="T22" s="567" t="s">
        <v>1214</v>
      </c>
      <c r="U22" s="568" t="s">
        <v>1120</v>
      </c>
      <c r="V22" s="569" t="s">
        <v>1188</v>
      </c>
      <c r="W22" s="570" t="s">
        <v>1428</v>
      </c>
      <c r="X22" s="571" t="s">
        <v>1429</v>
      </c>
      <c r="Y22" s="572" t="s">
        <v>1178</v>
      </c>
      <c r="Z22" s="573" t="s">
        <v>1145</v>
      </c>
      <c r="AA22" s="417" t="s">
        <v>1301</v>
      </c>
      <c r="AB22" s="574" t="s">
        <v>1130</v>
      </c>
      <c r="AC22" s="575" t="s">
        <v>1314</v>
      </c>
      <c r="AD22" s="576" t="s">
        <v>1431</v>
      </c>
      <c r="AE22" s="577" t="s">
        <v>1095</v>
      </c>
      <c r="AF22" s="578" t="s">
        <v>1103</v>
      </c>
      <c r="AG22" s="579" t="s">
        <v>1090</v>
      </c>
      <c r="AH22" s="580" t="s">
        <v>1296</v>
      </c>
      <c r="AI22" s="581" t="s">
        <v>1270</v>
      </c>
      <c r="AJ22" s="582" t="s">
        <v>1115</v>
      </c>
      <c r="AK22" s="583" t="s">
        <v>1089</v>
      </c>
      <c r="AL22" s="584" t="s">
        <v>1182</v>
      </c>
      <c r="AM22" s="585" t="s">
        <v>1298</v>
      </c>
      <c r="AN22" s="586" t="s">
        <v>1163</v>
      </c>
      <c r="AO22" s="587" t="s">
        <v>1223</v>
      </c>
      <c r="AP22" s="588" t="s">
        <v>1441</v>
      </c>
      <c r="AQ22" s="589" t="s">
        <v>1129</v>
      </c>
      <c r="AR22" s="590" t="s">
        <v>1447</v>
      </c>
      <c r="AS22" s="591" t="s">
        <v>1454</v>
      </c>
    </row>
    <row r="23">
      <c r="A23" s="182"/>
      <c r="B23" s="182"/>
      <c r="I23" s="468">
        <f>correl(J23:Q23,AJ14:AQ14)</f>
        <v>0.9724174648</v>
      </c>
      <c r="J23" s="76">
        <f t="shared" ref="J23:Q23" si="8">countif(AJ2:AJ13,"&gt;0")</f>
        <v>0</v>
      </c>
      <c r="K23" s="76">
        <f t="shared" si="8"/>
        <v>0</v>
      </c>
      <c r="L23" s="76">
        <f t="shared" si="8"/>
        <v>6</v>
      </c>
      <c r="M23" s="76">
        <f t="shared" si="8"/>
        <v>3</v>
      </c>
      <c r="N23" s="76">
        <f t="shared" si="8"/>
        <v>1</v>
      </c>
      <c r="O23" s="76">
        <f t="shared" si="8"/>
        <v>3</v>
      </c>
      <c r="P23" s="76">
        <f t="shared" si="8"/>
        <v>0</v>
      </c>
      <c r="Q23" s="76">
        <f t="shared" si="8"/>
        <v>0</v>
      </c>
      <c r="R23" s="265">
        <f t="shared" ref="R23:X23" si="9">countifs($AJ$2:$AJ$13,"&gt;0",AK2:AK13,"&gt;0")</f>
        <v>0</v>
      </c>
      <c r="S23" s="265">
        <f t="shared" si="9"/>
        <v>0</v>
      </c>
      <c r="T23" s="265">
        <f t="shared" si="9"/>
        <v>0</v>
      </c>
      <c r="U23" s="265">
        <f t="shared" si="9"/>
        <v>0</v>
      </c>
      <c r="V23" s="265">
        <f t="shared" si="9"/>
        <v>0</v>
      </c>
      <c r="W23" s="265">
        <f t="shared" si="9"/>
        <v>0</v>
      </c>
      <c r="X23" s="265">
        <f t="shared" si="9"/>
        <v>0</v>
      </c>
      <c r="Y23" s="265">
        <f t="shared" ref="Y23:AD23" si="10">countifs($AK$2:$AK$13,"&gt;0",AL2:AL13,"&gt;0")</f>
        <v>0</v>
      </c>
      <c r="Z23" s="265">
        <f t="shared" si="10"/>
        <v>0</v>
      </c>
      <c r="AA23" s="265">
        <f t="shared" si="10"/>
        <v>0</v>
      </c>
      <c r="AB23" s="265">
        <f t="shared" si="10"/>
        <v>0</v>
      </c>
      <c r="AC23" s="265">
        <f t="shared" si="10"/>
        <v>0</v>
      </c>
      <c r="AD23" s="265">
        <f t="shared" si="10"/>
        <v>0</v>
      </c>
      <c r="AE23" s="592">
        <f t="shared" ref="AE23:AI23" si="11">countifs($AL$2:$AL$13,"&gt;0",AM2:AM13,"&gt;0")</f>
        <v>1</v>
      </c>
      <c r="AF23" s="592">
        <f t="shared" si="11"/>
        <v>1</v>
      </c>
      <c r="AG23" s="592">
        <f t="shared" si="11"/>
        <v>2</v>
      </c>
      <c r="AH23" s="265">
        <f t="shared" si="11"/>
        <v>0</v>
      </c>
      <c r="AI23" s="265">
        <f t="shared" si="11"/>
        <v>0</v>
      </c>
      <c r="AJ23" s="265">
        <f t="shared" ref="AJ23:AM23" si="12">countifs($AM$2:$AM$13,"&gt;0",AN2:AN13,"&gt;0")</f>
        <v>0</v>
      </c>
      <c r="AK23" s="265">
        <f t="shared" si="12"/>
        <v>0</v>
      </c>
      <c r="AL23" s="265">
        <f t="shared" si="12"/>
        <v>0</v>
      </c>
      <c r="AM23" s="265">
        <f t="shared" si="12"/>
        <v>0</v>
      </c>
      <c r="AN23" s="265">
        <f t="shared" ref="AN23:AP23" si="13">countifs($AN$2:$AN$13,"&gt;0",AO2:AO13,"&gt;0")</f>
        <v>0</v>
      </c>
      <c r="AO23" s="265">
        <f t="shared" si="13"/>
        <v>0</v>
      </c>
      <c r="AP23" s="265">
        <f t="shared" si="13"/>
        <v>0</v>
      </c>
      <c r="AQ23" s="265">
        <f t="shared" ref="AQ23:AR23" si="14">countifs($AO$2:$AO$13,"&gt;0",AP2:AP13,"&gt;0")</f>
        <v>0</v>
      </c>
      <c r="AR23" s="265">
        <f t="shared" si="14"/>
        <v>0</v>
      </c>
      <c r="AS23" s="265">
        <f>countifs($AP$2:$AP$13,"&gt;0",AQ2:AQ13,"&gt;0")</f>
        <v>0</v>
      </c>
    </row>
    <row r="24">
      <c r="A24" s="182"/>
      <c r="B24" s="182"/>
      <c r="J24" s="76">
        <f t="shared" ref="J24:Q24" si="15">J23/sum($J$23:$Q$23)</f>
        <v>0</v>
      </c>
      <c r="K24" s="76">
        <f t="shared" si="15"/>
        <v>0</v>
      </c>
      <c r="L24" s="76">
        <f t="shared" si="15"/>
        <v>0.4615384615</v>
      </c>
      <c r="M24" s="76">
        <f t="shared" si="15"/>
        <v>0.2307692308</v>
      </c>
      <c r="N24" s="76">
        <f t="shared" si="15"/>
        <v>0.07692307692</v>
      </c>
      <c r="O24" s="76">
        <f t="shared" si="15"/>
        <v>0.2307692308</v>
      </c>
      <c r="P24" s="76">
        <f t="shared" si="15"/>
        <v>0</v>
      </c>
      <c r="Q24" s="76">
        <f t="shared" si="15"/>
        <v>0</v>
      </c>
      <c r="R24" s="265"/>
      <c r="S24" s="265"/>
      <c r="T24" s="265"/>
      <c r="U24" s="265"/>
      <c r="V24" s="265"/>
      <c r="W24" s="265"/>
      <c r="X24" s="265"/>
      <c r="Y24" s="265"/>
      <c r="Z24" s="265"/>
      <c r="AA24" s="265"/>
      <c r="AB24" s="265"/>
      <c r="AC24" s="265"/>
      <c r="AD24" s="265"/>
      <c r="AE24" s="265"/>
      <c r="AF24" s="265"/>
      <c r="AG24" s="265"/>
      <c r="AH24" s="265"/>
      <c r="AI24" s="265"/>
      <c r="AJ24" s="265"/>
      <c r="AK24" s="265"/>
      <c r="AL24" s="265"/>
      <c r="AM24" s="265"/>
      <c r="AN24" s="265"/>
      <c r="AO24" s="265"/>
      <c r="AP24" s="265"/>
      <c r="AQ24" s="265"/>
      <c r="AR24" s="265"/>
      <c r="AS24" s="26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7.29" defaultRowHeight="15.0"/>
  <cols>
    <col customWidth="1" min="1" max="3" width="9.14"/>
    <col customWidth="1" min="4" max="4" width="10.29"/>
    <col customWidth="1" min="5" max="5" width="17.14"/>
    <col customWidth="1" min="6" max="6" width="13.71"/>
    <col customWidth="1" min="7" max="7" width="6.86"/>
    <col customWidth="1" min="8" max="8" width="13.0"/>
    <col customWidth="1" min="9" max="9" width="15.29"/>
    <col customWidth="1" min="10" max="10" width="10.0"/>
    <col customWidth="1" min="11" max="11" width="5.0"/>
    <col customWidth="1" min="12" max="12" width="8.29"/>
    <col customWidth="1" min="13" max="13" width="6.86"/>
    <col customWidth="1" min="14" max="14" width="8.43"/>
    <col customWidth="1" min="15" max="15" width="8.0"/>
    <col customWidth="1" min="16" max="16" width="9.57"/>
    <col customWidth="1" min="17" max="17" width="10.57"/>
    <col customWidth="1" min="18" max="18" width="19.57"/>
    <col customWidth="1" min="19" max="19" width="16.14"/>
    <col customWidth="1" min="20" max="20" width="14.57"/>
    <col customWidth="1" min="21" max="21" width="20.86"/>
    <col customWidth="1" min="22" max="22" width="13.0"/>
    <col customWidth="1" min="23" max="23" width="26.43"/>
    <col customWidth="1" min="24" max="24" width="14.71"/>
    <col customWidth="1" min="25" max="25" width="17.57"/>
    <col customWidth="1" min="26" max="26" width="15.0"/>
    <col customWidth="1" min="27" max="27" width="26.86"/>
    <col customWidth="1" min="28" max="28" width="12.14"/>
    <col customWidth="1" min="29" max="29" width="18.43"/>
    <col customWidth="1" min="30" max="30" width="8.86"/>
    <col customWidth="1" min="31" max="33" width="9.57"/>
    <col customWidth="1" min="34" max="34" width="8.71"/>
    <col customWidth="1" min="35" max="35" width="6.14"/>
    <col customWidth="1" min="36" max="36" width="6.57"/>
    <col customWidth="1" min="37" max="38" width="8.71"/>
    <col customWidth="1" min="39" max="39" width="6.57"/>
    <col customWidth="1" min="40" max="41" width="8.71"/>
    <col customWidth="1" min="42" max="43" width="9.29"/>
    <col customWidth="1" min="44" max="44" width="11.43"/>
  </cols>
  <sheetData>
    <row r="1">
      <c r="A1" s="340" t="s">
        <v>1355</v>
      </c>
      <c r="B1" s="372" t="s">
        <v>0</v>
      </c>
      <c r="C1" s="372" t="s">
        <v>1356</v>
      </c>
      <c r="D1" s="372" t="s">
        <v>1246</v>
      </c>
      <c r="E1" s="310" t="s">
        <v>331</v>
      </c>
      <c r="F1" s="340" t="s">
        <v>1357</v>
      </c>
      <c r="G1" s="372" t="s">
        <v>1</v>
      </c>
      <c r="H1" s="372" t="s">
        <v>4</v>
      </c>
      <c r="I1" s="340" t="s">
        <v>1358</v>
      </c>
      <c r="J1" s="310" t="s">
        <v>336</v>
      </c>
      <c r="K1" s="310" t="s">
        <v>337</v>
      </c>
      <c r="L1" s="311" t="s">
        <v>332</v>
      </c>
      <c r="M1" s="311" t="s">
        <v>1360</v>
      </c>
      <c r="N1" s="311" t="s">
        <v>1593</v>
      </c>
      <c r="O1" s="311" t="s">
        <v>1594</v>
      </c>
      <c r="P1" s="311" t="s">
        <v>1595</v>
      </c>
      <c r="Q1" s="339" t="s">
        <v>339</v>
      </c>
      <c r="R1" s="339" t="s">
        <v>1361</v>
      </c>
      <c r="S1" s="339" t="s">
        <v>1362</v>
      </c>
      <c r="T1" s="339" t="s">
        <v>1364</v>
      </c>
      <c r="U1" s="340" t="s">
        <v>1407</v>
      </c>
      <c r="V1" s="339" t="s">
        <v>1597</v>
      </c>
      <c r="W1" s="339" t="s">
        <v>1598</v>
      </c>
      <c r="X1" s="341" t="s">
        <v>1368</v>
      </c>
      <c r="Y1" s="341" t="s">
        <v>1369</v>
      </c>
      <c r="Z1" s="342" t="s">
        <v>1370</v>
      </c>
      <c r="AA1" s="342" t="s">
        <v>1371</v>
      </c>
      <c r="AB1" s="343" t="s">
        <v>1372</v>
      </c>
      <c r="AC1" s="344" t="s">
        <v>1373</v>
      </c>
      <c r="AD1" s="310" t="s">
        <v>1374</v>
      </c>
      <c r="AE1" s="182"/>
      <c r="AF1" s="182"/>
      <c r="AG1" s="182"/>
      <c r="AH1" s="182"/>
      <c r="AI1" s="412" t="s">
        <v>389</v>
      </c>
      <c r="AJ1" s="419" t="s">
        <v>420</v>
      </c>
      <c r="AK1" s="426" t="s">
        <v>358</v>
      </c>
      <c r="AL1" s="433" t="s">
        <v>363</v>
      </c>
      <c r="AM1" s="440" t="s">
        <v>413</v>
      </c>
      <c r="AN1" s="447" t="s">
        <v>357</v>
      </c>
      <c r="AO1" s="489" t="s">
        <v>380</v>
      </c>
      <c r="AP1" s="490" t="s">
        <v>387</v>
      </c>
      <c r="AQ1" s="310" t="s">
        <v>1375</v>
      </c>
      <c r="AR1" s="310" t="s">
        <v>1376</v>
      </c>
    </row>
    <row r="2">
      <c r="A2" s="49">
        <v>1.0</v>
      </c>
      <c r="B2" s="46" t="s">
        <v>53</v>
      </c>
      <c r="C2" s="46" t="s">
        <v>56</v>
      </c>
      <c r="D2" s="46" t="s">
        <v>54</v>
      </c>
      <c r="E2" s="98" t="s">
        <v>432</v>
      </c>
      <c r="F2" s="593">
        <v>40122.0</v>
      </c>
      <c r="G2" s="46">
        <v>1.0</v>
      </c>
      <c r="H2" s="46" t="s">
        <v>8</v>
      </c>
      <c r="I2" s="46" t="s">
        <v>7</v>
      </c>
      <c r="J2" s="235" t="s">
        <v>354</v>
      </c>
      <c r="K2" s="235">
        <v>0.0</v>
      </c>
      <c r="L2" s="546">
        <v>118.0</v>
      </c>
      <c r="M2" s="546">
        <v>195.0</v>
      </c>
      <c r="N2" s="235" t="s">
        <v>354</v>
      </c>
      <c r="O2" s="235" t="s">
        <v>354</v>
      </c>
      <c r="P2" s="235">
        <v>44.96</v>
      </c>
      <c r="Q2" s="594">
        <v>0.0</v>
      </c>
      <c r="R2" s="557">
        <f t="shared" ref="R2:R3" si="1">P2</f>
        <v>44.96</v>
      </c>
      <c r="S2" s="551">
        <v>0.0</v>
      </c>
      <c r="T2" s="551">
        <v>0.0</v>
      </c>
      <c r="U2" s="166">
        <v>0.0</v>
      </c>
      <c r="V2" s="221" t="s">
        <v>365</v>
      </c>
      <c r="W2" s="99" t="s">
        <v>363</v>
      </c>
      <c r="X2" s="553" t="s">
        <v>356</v>
      </c>
      <c r="Y2" s="554" t="s">
        <v>354</v>
      </c>
      <c r="Z2" s="561" t="s">
        <v>361</v>
      </c>
      <c r="AA2" s="561" t="s">
        <v>361</v>
      </c>
      <c r="AB2" s="36" t="s">
        <v>365</v>
      </c>
      <c r="AC2" s="35" t="s">
        <v>363</v>
      </c>
      <c r="AD2" s="357">
        <f t="shared" ref="AD2:AD25" si="2">sum(COUNTIF(X2:AC2,"POS"),countif(R2,"&gt;0"))</f>
        <v>2</v>
      </c>
      <c r="AE2" s="182"/>
      <c r="AF2" s="182"/>
      <c r="AG2" s="182"/>
      <c r="AH2" s="182"/>
      <c r="AI2" s="235">
        <v>0.0</v>
      </c>
      <c r="AJ2" s="235">
        <v>0.0</v>
      </c>
      <c r="AK2" s="235">
        <v>0.0</v>
      </c>
      <c r="AL2" s="235">
        <v>1.0</v>
      </c>
      <c r="AM2" s="235">
        <v>0.0</v>
      </c>
      <c r="AN2" s="235">
        <v>0.0</v>
      </c>
      <c r="AO2" s="235">
        <v>0.0</v>
      </c>
      <c r="AP2" s="235">
        <v>0.0</v>
      </c>
      <c r="AQ2" s="358">
        <f t="shared" ref="AQ2:AQ25" si="3">sum(AI2:AP2)</f>
        <v>1</v>
      </c>
      <c r="AR2" s="358">
        <f t="shared" ref="AR2:AR23" si="4">countif(AI2:AP2,"&gt;0")</f>
        <v>1</v>
      </c>
    </row>
    <row r="3">
      <c r="A3" s="49">
        <v>2.0</v>
      </c>
      <c r="B3" s="46" t="s">
        <v>5</v>
      </c>
      <c r="C3" s="46" t="s">
        <v>10</v>
      </c>
      <c r="D3" s="46" t="s">
        <v>6</v>
      </c>
      <c r="E3" s="18" t="s">
        <v>1599</v>
      </c>
      <c r="F3" s="593">
        <v>40122.0</v>
      </c>
      <c r="G3" s="46">
        <v>1.0</v>
      </c>
      <c r="H3" s="46" t="s">
        <v>8</v>
      </c>
      <c r="I3" s="46" t="s">
        <v>7</v>
      </c>
      <c r="J3" s="235" t="s">
        <v>354</v>
      </c>
      <c r="K3" s="235">
        <v>0.0</v>
      </c>
      <c r="L3" s="546">
        <v>117.0</v>
      </c>
      <c r="M3" s="546">
        <v>175.0</v>
      </c>
      <c r="N3" s="235" t="s">
        <v>354</v>
      </c>
      <c r="O3" s="235" t="s">
        <v>354</v>
      </c>
      <c r="P3" s="235">
        <v>45.05</v>
      </c>
      <c r="Q3" s="594">
        <v>0.0</v>
      </c>
      <c r="R3" s="557">
        <f t="shared" si="1"/>
        <v>45.05</v>
      </c>
      <c r="S3" s="551">
        <v>0.0</v>
      </c>
      <c r="T3" s="551">
        <v>0.0</v>
      </c>
      <c r="U3" s="166">
        <v>0.0</v>
      </c>
      <c r="V3" s="166" t="s">
        <v>356</v>
      </c>
      <c r="W3" s="166" t="s">
        <v>354</v>
      </c>
      <c r="X3" s="553" t="s">
        <v>356</v>
      </c>
      <c r="Y3" s="554" t="s">
        <v>354</v>
      </c>
      <c r="Z3" s="561" t="s">
        <v>361</v>
      </c>
      <c r="AA3" s="561" t="s">
        <v>361</v>
      </c>
      <c r="AB3" s="23" t="s">
        <v>356</v>
      </c>
      <c r="AC3" s="19" t="s">
        <v>354</v>
      </c>
      <c r="AD3" s="46">
        <f t="shared" si="2"/>
        <v>1</v>
      </c>
      <c r="AE3" s="182"/>
      <c r="AF3" s="182"/>
      <c r="AG3" s="182"/>
      <c r="AH3" s="182"/>
      <c r="AI3" s="235">
        <v>0.0</v>
      </c>
      <c r="AJ3" s="235">
        <v>0.0</v>
      </c>
      <c r="AK3" s="235">
        <v>0.0</v>
      </c>
      <c r="AL3" s="235">
        <v>0.0</v>
      </c>
      <c r="AM3" s="235">
        <v>0.0</v>
      </c>
      <c r="AN3" s="235">
        <v>0.0</v>
      </c>
      <c r="AO3" s="235">
        <v>0.0</v>
      </c>
      <c r="AP3" s="235">
        <v>0.0</v>
      </c>
      <c r="AQ3" s="182">
        <f t="shared" si="3"/>
        <v>0</v>
      </c>
      <c r="AR3" s="182">
        <f t="shared" si="4"/>
        <v>0</v>
      </c>
    </row>
    <row r="4">
      <c r="A4" s="49">
        <v>3.0</v>
      </c>
      <c r="B4" s="46" t="s">
        <v>35</v>
      </c>
      <c r="C4" s="46" t="s">
        <v>39</v>
      </c>
      <c r="D4" s="46" t="s">
        <v>36</v>
      </c>
      <c r="E4" s="18" t="s">
        <v>411</v>
      </c>
      <c r="F4" s="593">
        <v>40122.0</v>
      </c>
      <c r="G4" s="46">
        <v>1.0</v>
      </c>
      <c r="H4" s="46" t="s">
        <v>8</v>
      </c>
      <c r="I4" s="46" t="s">
        <v>37</v>
      </c>
      <c r="J4" s="235" t="s">
        <v>354</v>
      </c>
      <c r="K4" s="235">
        <v>0.0</v>
      </c>
      <c r="L4" s="546">
        <v>117.0</v>
      </c>
      <c r="M4" s="546">
        <v>180.0</v>
      </c>
      <c r="N4" s="235" t="s">
        <v>354</v>
      </c>
      <c r="O4" s="235" t="s">
        <v>354</v>
      </c>
      <c r="P4" s="235">
        <v>0.0</v>
      </c>
      <c r="Q4" s="594">
        <v>0.0</v>
      </c>
      <c r="R4" s="551">
        <v>0.0</v>
      </c>
      <c r="S4" s="551">
        <v>0.0</v>
      </c>
      <c r="T4" s="551">
        <v>0.0</v>
      </c>
      <c r="U4" s="166">
        <v>0.0</v>
      </c>
      <c r="V4" s="166" t="s">
        <v>356</v>
      </c>
      <c r="W4" s="166" t="s">
        <v>354</v>
      </c>
      <c r="X4" s="553" t="s">
        <v>356</v>
      </c>
      <c r="Y4" s="554" t="s">
        <v>354</v>
      </c>
      <c r="Z4" s="561" t="s">
        <v>361</v>
      </c>
      <c r="AA4" s="561" t="s">
        <v>361</v>
      </c>
      <c r="AB4" s="23" t="s">
        <v>356</v>
      </c>
      <c r="AC4" s="19" t="s">
        <v>354</v>
      </c>
      <c r="AD4" s="46">
        <f t="shared" si="2"/>
        <v>0</v>
      </c>
      <c r="AE4" s="182"/>
      <c r="AF4" s="182"/>
      <c r="AG4" s="182"/>
      <c r="AH4" s="182"/>
      <c r="AI4" s="235">
        <v>0.0</v>
      </c>
      <c r="AJ4" s="235">
        <v>0.0</v>
      </c>
      <c r="AK4" s="235">
        <v>0.0</v>
      </c>
      <c r="AL4" s="235">
        <v>0.0</v>
      </c>
      <c r="AM4" s="235">
        <v>0.0</v>
      </c>
      <c r="AN4" s="235">
        <v>0.0</v>
      </c>
      <c r="AO4" s="235">
        <v>0.0</v>
      </c>
      <c r="AP4" s="235">
        <v>0.0</v>
      </c>
      <c r="AQ4" s="182">
        <f t="shared" si="3"/>
        <v>0</v>
      </c>
      <c r="AR4" s="182">
        <f t="shared" si="4"/>
        <v>0</v>
      </c>
    </row>
    <row r="5">
      <c r="A5" s="49">
        <v>4.0</v>
      </c>
      <c r="B5" s="46" t="s">
        <v>28</v>
      </c>
      <c r="C5" s="46" t="s">
        <v>31</v>
      </c>
      <c r="D5" s="46" t="s">
        <v>29</v>
      </c>
      <c r="E5" s="18" t="s">
        <v>401</v>
      </c>
      <c r="F5" s="593">
        <v>40122.0</v>
      </c>
      <c r="G5" s="46">
        <v>1.0</v>
      </c>
      <c r="H5" s="46" t="s">
        <v>8</v>
      </c>
      <c r="I5" s="46" t="s">
        <v>7</v>
      </c>
      <c r="J5" s="235" t="s">
        <v>354</v>
      </c>
      <c r="K5" s="235">
        <v>0.0</v>
      </c>
      <c r="L5" s="546">
        <v>117.0</v>
      </c>
      <c r="M5" s="546">
        <v>210.0</v>
      </c>
      <c r="N5" s="235" t="s">
        <v>354</v>
      </c>
      <c r="O5" s="235" t="s">
        <v>354</v>
      </c>
      <c r="P5" s="235">
        <v>0.0</v>
      </c>
      <c r="Q5" s="594">
        <v>0.0</v>
      </c>
      <c r="R5" s="551">
        <v>0.0</v>
      </c>
      <c r="S5" s="551">
        <v>0.0</v>
      </c>
      <c r="T5" s="551">
        <v>0.0</v>
      </c>
      <c r="U5" s="166">
        <v>0.0</v>
      </c>
      <c r="V5" s="166" t="s">
        <v>356</v>
      </c>
      <c r="W5" s="166" t="s">
        <v>354</v>
      </c>
      <c r="X5" s="595" t="s">
        <v>1609</v>
      </c>
      <c r="Y5" s="595" t="s">
        <v>1609</v>
      </c>
      <c r="Z5" s="561" t="s">
        <v>361</v>
      </c>
      <c r="AA5" s="561" t="s">
        <v>361</v>
      </c>
      <c r="AB5" s="23" t="s">
        <v>356</v>
      </c>
      <c r="AC5" s="19" t="s">
        <v>354</v>
      </c>
      <c r="AD5" s="46">
        <f t="shared" si="2"/>
        <v>0</v>
      </c>
      <c r="AE5" s="182"/>
      <c r="AF5" s="182"/>
      <c r="AG5" s="182"/>
      <c r="AH5" s="182"/>
      <c r="AI5" s="235">
        <v>0.0</v>
      </c>
      <c r="AJ5" s="235">
        <v>0.0</v>
      </c>
      <c r="AK5" s="235">
        <v>0.0</v>
      </c>
      <c r="AL5" s="235">
        <v>0.0</v>
      </c>
      <c r="AM5" s="235">
        <v>0.0</v>
      </c>
      <c r="AN5" s="235">
        <v>0.0</v>
      </c>
      <c r="AO5" s="235">
        <v>0.0</v>
      </c>
      <c r="AP5" s="235">
        <v>0.0</v>
      </c>
      <c r="AQ5" s="182">
        <f t="shared" si="3"/>
        <v>0</v>
      </c>
      <c r="AR5" s="182">
        <f t="shared" si="4"/>
        <v>0</v>
      </c>
    </row>
    <row r="6">
      <c r="A6" s="49">
        <v>5.0</v>
      </c>
      <c r="B6" s="46" t="s">
        <v>18</v>
      </c>
      <c r="C6" s="46" t="s">
        <v>21</v>
      </c>
      <c r="D6" s="46" t="s">
        <v>19</v>
      </c>
      <c r="E6" s="18" t="s">
        <v>383</v>
      </c>
      <c r="F6" s="593">
        <v>40122.0</v>
      </c>
      <c r="G6" s="46">
        <v>1.0</v>
      </c>
      <c r="H6" s="46" t="s">
        <v>8</v>
      </c>
      <c r="I6" s="46" t="s">
        <v>7</v>
      </c>
      <c r="J6" s="235" t="s">
        <v>354</v>
      </c>
      <c r="K6" s="235">
        <v>0.0</v>
      </c>
      <c r="L6" s="546">
        <v>125.0</v>
      </c>
      <c r="M6" s="546">
        <v>230.0</v>
      </c>
      <c r="N6" s="235" t="s">
        <v>354</v>
      </c>
      <c r="O6" s="235" t="s">
        <v>354</v>
      </c>
      <c r="P6" s="235">
        <v>41.88</v>
      </c>
      <c r="Q6" s="594">
        <v>0.0</v>
      </c>
      <c r="R6" s="557">
        <f>P6</f>
        <v>41.88</v>
      </c>
      <c r="S6" s="551">
        <v>0.0</v>
      </c>
      <c r="T6" s="551">
        <v>0.0</v>
      </c>
      <c r="U6" s="166">
        <v>0.0</v>
      </c>
      <c r="V6" s="166" t="s">
        <v>356</v>
      </c>
      <c r="W6" s="166" t="s">
        <v>354</v>
      </c>
      <c r="X6" s="553" t="s">
        <v>356</v>
      </c>
      <c r="Y6" s="554" t="s">
        <v>354</v>
      </c>
      <c r="Z6" s="558" t="s">
        <v>356</v>
      </c>
      <c r="AA6" s="556" t="s">
        <v>354</v>
      </c>
      <c r="AB6" s="23" t="s">
        <v>356</v>
      </c>
      <c r="AC6" s="19" t="s">
        <v>354</v>
      </c>
      <c r="AD6" s="46">
        <f t="shared" si="2"/>
        <v>1</v>
      </c>
      <c r="AE6" s="182"/>
      <c r="AF6" s="182"/>
      <c r="AG6" s="182"/>
      <c r="AH6" s="182"/>
      <c r="AI6" s="235">
        <v>0.0</v>
      </c>
      <c r="AJ6" s="235">
        <v>0.0</v>
      </c>
      <c r="AK6" s="235">
        <v>0.0</v>
      </c>
      <c r="AL6" s="235">
        <v>0.0</v>
      </c>
      <c r="AM6" s="235">
        <v>0.0</v>
      </c>
      <c r="AN6" s="235">
        <v>0.0</v>
      </c>
      <c r="AO6" s="235">
        <v>0.0</v>
      </c>
      <c r="AP6" s="235">
        <v>0.0</v>
      </c>
      <c r="AQ6" s="182">
        <f t="shared" si="3"/>
        <v>0</v>
      </c>
      <c r="AR6" s="182">
        <f t="shared" si="4"/>
        <v>0</v>
      </c>
    </row>
    <row r="7">
      <c r="A7" s="49">
        <v>6.0</v>
      </c>
      <c r="B7" s="46" t="s">
        <v>41</v>
      </c>
      <c r="C7" s="46" t="s">
        <v>44</v>
      </c>
      <c r="D7" s="46" t="s">
        <v>42</v>
      </c>
      <c r="E7" s="18" t="s">
        <v>421</v>
      </c>
      <c r="F7" s="593">
        <v>40122.0</v>
      </c>
      <c r="G7" s="46">
        <v>1.0</v>
      </c>
      <c r="H7" s="46" t="s">
        <v>8</v>
      </c>
      <c r="I7" s="46" t="s">
        <v>7</v>
      </c>
      <c r="J7" s="235" t="s">
        <v>354</v>
      </c>
      <c r="K7" s="235">
        <v>0.0</v>
      </c>
      <c r="L7" s="546">
        <v>121.0</v>
      </c>
      <c r="M7" s="546">
        <v>245.0</v>
      </c>
      <c r="N7" s="235" t="s">
        <v>354</v>
      </c>
      <c r="O7" s="235" t="s">
        <v>354</v>
      </c>
      <c r="P7" s="235">
        <v>0.0</v>
      </c>
      <c r="Q7" s="594">
        <v>0.0</v>
      </c>
      <c r="R7" s="551">
        <v>0.0</v>
      </c>
      <c r="S7" s="551">
        <v>0.0</v>
      </c>
      <c r="T7" s="551">
        <v>0.0</v>
      </c>
      <c r="U7" s="166">
        <v>0.0</v>
      </c>
      <c r="V7" s="166" t="s">
        <v>356</v>
      </c>
      <c r="W7" s="166" t="s">
        <v>354</v>
      </c>
      <c r="X7" s="595" t="s">
        <v>1609</v>
      </c>
      <c r="Y7" s="595" t="s">
        <v>1609</v>
      </c>
      <c r="Z7" s="596" t="s">
        <v>1609</v>
      </c>
      <c r="AA7" s="596" t="s">
        <v>1609</v>
      </c>
      <c r="AB7" s="23" t="s">
        <v>356</v>
      </c>
      <c r="AC7" s="19" t="s">
        <v>354</v>
      </c>
      <c r="AD7" s="46">
        <f t="shared" si="2"/>
        <v>0</v>
      </c>
      <c r="AE7" s="182"/>
      <c r="AF7" s="182"/>
      <c r="AG7" s="182"/>
      <c r="AH7" s="182"/>
      <c r="AI7" s="235">
        <v>0.0</v>
      </c>
      <c r="AJ7" s="235">
        <v>0.0</v>
      </c>
      <c r="AK7" s="235">
        <v>0.0</v>
      </c>
      <c r="AL7" s="235">
        <v>0.0</v>
      </c>
      <c r="AM7" s="235">
        <v>0.0</v>
      </c>
      <c r="AN7" s="235">
        <v>0.0</v>
      </c>
      <c r="AO7" s="235">
        <v>0.0</v>
      </c>
      <c r="AP7" s="235">
        <v>0.0</v>
      </c>
      <c r="AQ7" s="182">
        <f t="shared" si="3"/>
        <v>0</v>
      </c>
      <c r="AR7" s="182">
        <f t="shared" si="4"/>
        <v>0</v>
      </c>
    </row>
    <row r="8">
      <c r="A8" s="49">
        <v>7.0</v>
      </c>
      <c r="B8" s="46" t="s">
        <v>48</v>
      </c>
      <c r="C8" s="46" t="s">
        <v>51</v>
      </c>
      <c r="D8" s="46" t="s">
        <v>49</v>
      </c>
      <c r="E8" s="98" t="s">
        <v>427</v>
      </c>
      <c r="F8" s="593">
        <v>40122.0</v>
      </c>
      <c r="G8" s="46">
        <v>1.0</v>
      </c>
      <c r="H8" s="46" t="s">
        <v>8</v>
      </c>
      <c r="I8" s="46" t="s">
        <v>7</v>
      </c>
      <c r="J8" s="235" t="s">
        <v>354</v>
      </c>
      <c r="K8" s="235">
        <v>0.0</v>
      </c>
      <c r="L8" s="546">
        <v>125.0</v>
      </c>
      <c r="M8" s="492">
        <v>210.0</v>
      </c>
      <c r="N8" s="235" t="s">
        <v>354</v>
      </c>
      <c r="O8" s="235" t="s">
        <v>354</v>
      </c>
      <c r="P8" s="235">
        <v>0.0</v>
      </c>
      <c r="Q8" s="594">
        <v>0.0</v>
      </c>
      <c r="R8" s="551">
        <v>0.0</v>
      </c>
      <c r="S8" s="551">
        <v>0.0</v>
      </c>
      <c r="T8" s="551">
        <v>0.0</v>
      </c>
      <c r="U8" s="166">
        <v>0.0</v>
      </c>
      <c r="V8" s="166" t="s">
        <v>356</v>
      </c>
      <c r="W8" s="166" t="s">
        <v>354</v>
      </c>
      <c r="X8" s="553" t="s">
        <v>356</v>
      </c>
      <c r="Y8" s="554" t="s">
        <v>354</v>
      </c>
      <c r="Z8" s="558" t="s">
        <v>356</v>
      </c>
      <c r="AA8" s="597" t="s">
        <v>354</v>
      </c>
      <c r="AB8" s="23" t="s">
        <v>356</v>
      </c>
      <c r="AC8" s="19" t="s">
        <v>354</v>
      </c>
      <c r="AD8" s="46">
        <f t="shared" si="2"/>
        <v>0</v>
      </c>
      <c r="AE8" s="182"/>
      <c r="AF8" s="182"/>
      <c r="AG8" s="182"/>
      <c r="AH8" s="182"/>
      <c r="AI8" s="235">
        <v>0.0</v>
      </c>
      <c r="AJ8" s="235">
        <v>0.0</v>
      </c>
      <c r="AK8" s="235">
        <v>0.0</v>
      </c>
      <c r="AL8" s="235">
        <v>0.0</v>
      </c>
      <c r="AM8" s="235">
        <v>0.0</v>
      </c>
      <c r="AN8" s="235">
        <v>0.0</v>
      </c>
      <c r="AO8" s="235">
        <v>0.0</v>
      </c>
      <c r="AP8" s="235">
        <v>0.0</v>
      </c>
      <c r="AQ8" s="182">
        <f t="shared" si="3"/>
        <v>0</v>
      </c>
      <c r="AR8" s="182">
        <f t="shared" si="4"/>
        <v>0</v>
      </c>
    </row>
    <row r="9">
      <c r="A9" s="49">
        <v>8.0</v>
      </c>
      <c r="B9" s="46" t="s">
        <v>12</v>
      </c>
      <c r="C9" s="46" t="s">
        <v>15</v>
      </c>
      <c r="D9" s="46" t="s">
        <v>13</v>
      </c>
      <c r="E9" s="18" t="s">
        <v>374</v>
      </c>
      <c r="F9" s="593">
        <v>40122.0</v>
      </c>
      <c r="G9" s="46">
        <v>1.0</v>
      </c>
      <c r="H9" s="46" t="s">
        <v>8</v>
      </c>
      <c r="I9" s="46" t="s">
        <v>7</v>
      </c>
      <c r="J9" s="235" t="s">
        <v>354</v>
      </c>
      <c r="K9" s="235">
        <v>0.0</v>
      </c>
      <c r="L9" s="546">
        <v>122.0</v>
      </c>
      <c r="M9" s="546">
        <v>200.0</v>
      </c>
      <c r="N9" s="235" t="s">
        <v>354</v>
      </c>
      <c r="O9" s="235" t="s">
        <v>354</v>
      </c>
      <c r="P9" s="235">
        <v>45.96</v>
      </c>
      <c r="Q9" s="594">
        <v>0.0</v>
      </c>
      <c r="R9" s="557">
        <f>P9</f>
        <v>45.96</v>
      </c>
      <c r="S9" s="551">
        <v>0.0</v>
      </c>
      <c r="T9" s="551">
        <v>0.0</v>
      </c>
      <c r="U9" s="166">
        <v>0.0</v>
      </c>
      <c r="V9" s="166" t="s">
        <v>356</v>
      </c>
      <c r="W9" s="166" t="s">
        <v>354</v>
      </c>
      <c r="X9" s="560" t="s">
        <v>361</v>
      </c>
      <c r="Y9" s="560" t="s">
        <v>361</v>
      </c>
      <c r="Z9" s="558" t="s">
        <v>356</v>
      </c>
      <c r="AA9" s="556" t="s">
        <v>354</v>
      </c>
      <c r="AB9" s="23" t="s">
        <v>356</v>
      </c>
      <c r="AC9" s="19" t="s">
        <v>354</v>
      </c>
      <c r="AD9" s="46">
        <f t="shared" si="2"/>
        <v>1</v>
      </c>
      <c r="AE9" s="182"/>
      <c r="AF9" s="182"/>
      <c r="AG9" s="182"/>
      <c r="AH9" s="182"/>
      <c r="AI9" s="235">
        <v>0.0</v>
      </c>
      <c r="AJ9" s="235">
        <v>0.0</v>
      </c>
      <c r="AK9" s="235">
        <v>0.0</v>
      </c>
      <c r="AL9" s="235">
        <v>0.0</v>
      </c>
      <c r="AM9" s="235">
        <v>0.0</v>
      </c>
      <c r="AN9" s="235">
        <v>0.0</v>
      </c>
      <c r="AO9" s="235">
        <v>0.0</v>
      </c>
      <c r="AP9" s="235">
        <v>0.0</v>
      </c>
      <c r="AQ9" s="182">
        <f t="shared" si="3"/>
        <v>0</v>
      </c>
      <c r="AR9" s="182">
        <f t="shared" si="4"/>
        <v>0</v>
      </c>
    </row>
    <row r="10">
      <c r="A10" s="49">
        <v>9.0</v>
      </c>
      <c r="B10" s="46" t="s">
        <v>23</v>
      </c>
      <c r="C10" s="46" t="s">
        <v>26</v>
      </c>
      <c r="D10" s="46" t="s">
        <v>24</v>
      </c>
      <c r="E10" s="18" t="s">
        <v>391</v>
      </c>
      <c r="F10" s="593">
        <v>40122.0</v>
      </c>
      <c r="G10" s="46">
        <v>1.0</v>
      </c>
      <c r="H10" s="46" t="s">
        <v>8</v>
      </c>
      <c r="I10" s="46" t="s">
        <v>7</v>
      </c>
      <c r="J10" s="235" t="s">
        <v>354</v>
      </c>
      <c r="K10" s="235">
        <v>0.0</v>
      </c>
      <c r="L10" s="546">
        <v>126.0</v>
      </c>
      <c r="M10" s="546">
        <v>220.0</v>
      </c>
      <c r="N10" s="235" t="s">
        <v>354</v>
      </c>
      <c r="O10" s="235" t="s">
        <v>354</v>
      </c>
      <c r="P10" s="235">
        <v>0.0</v>
      </c>
      <c r="Q10" s="594">
        <v>0.0</v>
      </c>
      <c r="R10" s="551">
        <v>0.0</v>
      </c>
      <c r="S10" s="551">
        <v>0.0</v>
      </c>
      <c r="T10" s="551">
        <v>0.0</v>
      </c>
      <c r="U10" s="166">
        <v>0.0</v>
      </c>
      <c r="V10" s="166" t="s">
        <v>356</v>
      </c>
      <c r="W10" s="166" t="s">
        <v>354</v>
      </c>
      <c r="X10" s="553" t="s">
        <v>356</v>
      </c>
      <c r="Y10" s="554" t="s">
        <v>354</v>
      </c>
      <c r="Z10" s="558" t="s">
        <v>356</v>
      </c>
      <c r="AA10" s="556" t="s">
        <v>354</v>
      </c>
      <c r="AB10" s="23" t="s">
        <v>356</v>
      </c>
      <c r="AC10" s="19" t="s">
        <v>354</v>
      </c>
      <c r="AD10" s="46">
        <f t="shared" si="2"/>
        <v>0</v>
      </c>
      <c r="AE10" s="182"/>
      <c r="AF10" s="182"/>
      <c r="AG10" s="182"/>
      <c r="AH10" s="182"/>
      <c r="AI10" s="235">
        <v>0.0</v>
      </c>
      <c r="AJ10" s="235">
        <v>0.0</v>
      </c>
      <c r="AK10" s="235">
        <v>0.0</v>
      </c>
      <c r="AL10" s="235">
        <v>0.0</v>
      </c>
      <c r="AM10" s="235">
        <v>0.0</v>
      </c>
      <c r="AN10" s="235">
        <v>0.0</v>
      </c>
      <c r="AO10" s="235">
        <v>0.0</v>
      </c>
      <c r="AP10" s="235">
        <v>0.0</v>
      </c>
      <c r="AQ10" s="182">
        <f t="shared" si="3"/>
        <v>0</v>
      </c>
      <c r="AR10" s="182">
        <f t="shared" si="4"/>
        <v>0</v>
      </c>
    </row>
    <row r="11">
      <c r="A11" s="49">
        <v>10.0</v>
      </c>
      <c r="B11" s="46" t="s">
        <v>60</v>
      </c>
      <c r="C11" s="46" t="s">
        <v>63</v>
      </c>
      <c r="D11" s="49" t="s">
        <v>437</v>
      </c>
      <c r="E11" s="18" t="s">
        <v>438</v>
      </c>
      <c r="F11" s="593">
        <v>40122.0</v>
      </c>
      <c r="G11" s="46">
        <v>2.0</v>
      </c>
      <c r="H11" s="46" t="s">
        <v>8</v>
      </c>
      <c r="I11" s="49" t="s">
        <v>433</v>
      </c>
      <c r="J11" s="235" t="s">
        <v>354</v>
      </c>
      <c r="K11" s="235">
        <v>0.0</v>
      </c>
      <c r="L11" s="546">
        <v>109.0</v>
      </c>
      <c r="M11" s="546">
        <v>180.0</v>
      </c>
      <c r="N11" s="235" t="s">
        <v>354</v>
      </c>
      <c r="O11" s="235" t="s">
        <v>354</v>
      </c>
      <c r="P11" s="235">
        <v>39.61</v>
      </c>
      <c r="Q11" s="594">
        <v>33.3</v>
      </c>
      <c r="R11" s="151">
        <f t="shared" ref="R11:R12" si="5">average(P11:Q11)</f>
        <v>36.455</v>
      </c>
      <c r="S11" s="551">
        <v>0.0</v>
      </c>
      <c r="T11" s="551">
        <v>0.0</v>
      </c>
      <c r="U11" s="166">
        <v>0.0</v>
      </c>
      <c r="V11" s="221" t="s">
        <v>365</v>
      </c>
      <c r="W11" s="87" t="s">
        <v>413</v>
      </c>
      <c r="X11" s="553" t="s">
        <v>356</v>
      </c>
      <c r="Y11" s="554" t="s">
        <v>354</v>
      </c>
      <c r="Z11" s="549" t="s">
        <v>365</v>
      </c>
      <c r="AA11" s="141" t="s">
        <v>413</v>
      </c>
      <c r="AB11" s="23" t="s">
        <v>356</v>
      </c>
      <c r="AC11" s="19" t="s">
        <v>354</v>
      </c>
      <c r="AD11" s="357">
        <f t="shared" si="2"/>
        <v>2</v>
      </c>
      <c r="AE11" s="182"/>
      <c r="AF11" s="182"/>
      <c r="AG11" s="182"/>
      <c r="AH11" s="182"/>
      <c r="AI11" s="235">
        <v>0.0</v>
      </c>
      <c r="AJ11" s="235">
        <v>0.0</v>
      </c>
      <c r="AK11" s="235">
        <v>0.0</v>
      </c>
      <c r="AL11" s="235">
        <v>0.0</v>
      </c>
      <c r="AM11" s="235">
        <v>1.0</v>
      </c>
      <c r="AN11" s="235">
        <v>0.0</v>
      </c>
      <c r="AO11" s="235">
        <v>0.0</v>
      </c>
      <c r="AP11" s="235">
        <v>0.0</v>
      </c>
      <c r="AQ11" s="358">
        <f t="shared" si="3"/>
        <v>1</v>
      </c>
      <c r="AR11" s="358">
        <f t="shared" si="4"/>
        <v>1</v>
      </c>
    </row>
    <row r="12">
      <c r="A12" s="49">
        <v>11.0</v>
      </c>
      <c r="B12" s="46" t="s">
        <v>65</v>
      </c>
      <c r="C12" s="46" t="s">
        <v>68</v>
      </c>
      <c r="D12" s="46" t="s">
        <v>66</v>
      </c>
      <c r="E12" s="18" t="s">
        <v>451</v>
      </c>
      <c r="F12" s="593">
        <v>40122.0</v>
      </c>
      <c r="G12" s="46">
        <v>2.0</v>
      </c>
      <c r="H12" s="46" t="s">
        <v>67</v>
      </c>
      <c r="I12" s="46" t="s">
        <v>7</v>
      </c>
      <c r="J12" s="235" t="s">
        <v>770</v>
      </c>
      <c r="K12" s="235">
        <v>1.0</v>
      </c>
      <c r="L12" s="546">
        <v>124.0</v>
      </c>
      <c r="M12" s="546">
        <v>255.0</v>
      </c>
      <c r="N12" s="235" t="s">
        <v>354</v>
      </c>
      <c r="O12" s="235" t="s">
        <v>354</v>
      </c>
      <c r="P12" s="235">
        <v>40.68</v>
      </c>
      <c r="Q12" s="594">
        <v>36.14</v>
      </c>
      <c r="R12" s="151">
        <f t="shared" si="5"/>
        <v>38.41</v>
      </c>
      <c r="S12" s="551">
        <v>0.0</v>
      </c>
      <c r="T12" s="551">
        <v>0.0</v>
      </c>
      <c r="U12" s="166">
        <v>0.0</v>
      </c>
      <c r="V12" s="166" t="s">
        <v>356</v>
      </c>
      <c r="W12" s="166" t="s">
        <v>354</v>
      </c>
      <c r="X12" s="548" t="s">
        <v>365</v>
      </c>
      <c r="Y12" s="88" t="s">
        <v>358</v>
      </c>
      <c r="Z12" s="561" t="s">
        <v>361</v>
      </c>
      <c r="AA12" s="561" t="s">
        <v>361</v>
      </c>
      <c r="AB12" s="36" t="s">
        <v>365</v>
      </c>
      <c r="AC12" s="106" t="s">
        <v>358</v>
      </c>
      <c r="AD12" s="357">
        <f t="shared" si="2"/>
        <v>3</v>
      </c>
      <c r="AE12" s="182"/>
      <c r="AF12" s="182"/>
      <c r="AG12" s="182"/>
      <c r="AH12" s="182"/>
      <c r="AI12" s="235">
        <v>0.0</v>
      </c>
      <c r="AJ12" s="235">
        <v>0.0</v>
      </c>
      <c r="AK12" s="235">
        <v>2.0</v>
      </c>
      <c r="AL12" s="235">
        <v>0.0</v>
      </c>
      <c r="AM12" s="235">
        <v>0.0</v>
      </c>
      <c r="AN12" s="235">
        <v>0.0</v>
      </c>
      <c r="AO12" s="235">
        <v>0.0</v>
      </c>
      <c r="AP12" s="235">
        <v>0.0</v>
      </c>
      <c r="AQ12" s="358">
        <f t="shared" si="3"/>
        <v>2</v>
      </c>
      <c r="AR12" s="358">
        <f t="shared" si="4"/>
        <v>1</v>
      </c>
    </row>
    <row r="13">
      <c r="A13" s="49">
        <v>12.0</v>
      </c>
      <c r="B13" s="46" t="s">
        <v>70</v>
      </c>
      <c r="C13" s="46" t="s">
        <v>72</v>
      </c>
      <c r="D13" s="46" t="s">
        <v>71</v>
      </c>
      <c r="E13" s="18" t="s">
        <v>459</v>
      </c>
      <c r="F13" s="593">
        <v>40122.0</v>
      </c>
      <c r="G13" s="46">
        <v>2.0</v>
      </c>
      <c r="H13" s="46" t="s">
        <v>8</v>
      </c>
      <c r="I13" s="46" t="s">
        <v>7</v>
      </c>
      <c r="J13" s="235" t="s">
        <v>354</v>
      </c>
      <c r="K13" s="235">
        <v>1.0</v>
      </c>
      <c r="L13" s="546">
        <v>125.0</v>
      </c>
      <c r="M13" s="546">
        <v>310.0</v>
      </c>
      <c r="N13" s="235" t="s">
        <v>354</v>
      </c>
      <c r="O13" s="235" t="s">
        <v>354</v>
      </c>
      <c r="P13" s="235">
        <v>0.0</v>
      </c>
      <c r="Q13" s="594">
        <v>40.0</v>
      </c>
      <c r="R13" s="557">
        <f>Q13</f>
        <v>40</v>
      </c>
      <c r="S13" s="551">
        <v>0.0</v>
      </c>
      <c r="T13" s="551">
        <v>0.0</v>
      </c>
      <c r="U13" s="166">
        <v>0.0</v>
      </c>
      <c r="V13" s="166" t="s">
        <v>356</v>
      </c>
      <c r="W13" s="166" t="s">
        <v>354</v>
      </c>
      <c r="X13" s="553" t="s">
        <v>356</v>
      </c>
      <c r="Y13" s="554" t="s">
        <v>354</v>
      </c>
      <c r="Z13" s="549" t="s">
        <v>365</v>
      </c>
      <c r="AA13" s="111" t="s">
        <v>363</v>
      </c>
      <c r="AB13" s="36" t="s">
        <v>365</v>
      </c>
      <c r="AC13" s="111" t="s">
        <v>363</v>
      </c>
      <c r="AD13" s="357">
        <f t="shared" si="2"/>
        <v>3</v>
      </c>
      <c r="AE13" s="182"/>
      <c r="AF13" s="182"/>
      <c r="AG13" s="182"/>
      <c r="AH13" s="182"/>
      <c r="AI13" s="235">
        <v>0.0</v>
      </c>
      <c r="AJ13" s="235">
        <v>0.0</v>
      </c>
      <c r="AK13" s="235">
        <v>0.0</v>
      </c>
      <c r="AL13" s="235">
        <v>2.0</v>
      </c>
      <c r="AM13" s="235">
        <v>0.0</v>
      </c>
      <c r="AN13" s="235">
        <v>0.0</v>
      </c>
      <c r="AO13" s="235">
        <v>0.0</v>
      </c>
      <c r="AP13" s="235">
        <v>0.0</v>
      </c>
      <c r="AQ13" s="358">
        <f t="shared" si="3"/>
        <v>2</v>
      </c>
      <c r="AR13" s="358">
        <f t="shared" si="4"/>
        <v>1</v>
      </c>
    </row>
    <row r="14">
      <c r="A14" s="49">
        <v>13.0</v>
      </c>
      <c r="B14" s="46" t="s">
        <v>76</v>
      </c>
      <c r="C14" s="46" t="s">
        <v>78</v>
      </c>
      <c r="D14" s="46" t="s">
        <v>77</v>
      </c>
      <c r="E14" s="18" t="s">
        <v>17</v>
      </c>
      <c r="F14" s="593">
        <v>40122.0</v>
      </c>
      <c r="G14" s="46">
        <v>2.0</v>
      </c>
      <c r="H14" s="46" t="s">
        <v>67</v>
      </c>
      <c r="I14" s="46" t="s">
        <v>37</v>
      </c>
      <c r="J14" s="235" t="s">
        <v>770</v>
      </c>
      <c r="K14" s="235">
        <v>1.0</v>
      </c>
      <c r="L14" s="546">
        <v>123.0</v>
      </c>
      <c r="M14" s="546">
        <v>250.0</v>
      </c>
      <c r="N14" s="235" t="s">
        <v>354</v>
      </c>
      <c r="O14" s="235" t="s">
        <v>354</v>
      </c>
      <c r="P14" s="235">
        <v>40.47</v>
      </c>
      <c r="Q14" s="594">
        <v>35.24</v>
      </c>
      <c r="R14" s="151">
        <f>average(P14:Q14)</f>
        <v>37.855</v>
      </c>
      <c r="S14" s="551">
        <v>0.0</v>
      </c>
      <c r="T14" s="551">
        <v>0.0</v>
      </c>
      <c r="U14" s="166">
        <v>0.0</v>
      </c>
      <c r="V14" s="166" t="s">
        <v>356</v>
      </c>
      <c r="W14" s="166" t="s">
        <v>354</v>
      </c>
      <c r="X14" s="548" t="s">
        <v>365</v>
      </c>
      <c r="Y14" s="87" t="s">
        <v>413</v>
      </c>
      <c r="Z14" s="549" t="s">
        <v>365</v>
      </c>
      <c r="AA14" s="111" t="s">
        <v>363</v>
      </c>
      <c r="AB14" s="36" t="s">
        <v>365</v>
      </c>
      <c r="AC14" s="111" t="s">
        <v>363</v>
      </c>
      <c r="AD14" s="357">
        <f t="shared" si="2"/>
        <v>4</v>
      </c>
      <c r="AE14" s="182"/>
      <c r="AF14" s="182"/>
      <c r="AG14" s="182"/>
      <c r="AH14" s="182"/>
      <c r="AI14" s="235">
        <v>0.0</v>
      </c>
      <c r="AJ14" s="235">
        <v>0.0</v>
      </c>
      <c r="AK14" s="235">
        <v>0.0</v>
      </c>
      <c r="AL14" s="235">
        <v>2.0</v>
      </c>
      <c r="AM14" s="235">
        <v>1.0</v>
      </c>
      <c r="AN14" s="235">
        <v>0.0</v>
      </c>
      <c r="AO14" s="235">
        <v>0.0</v>
      </c>
      <c r="AP14" s="235">
        <v>0.0</v>
      </c>
      <c r="AQ14" s="358">
        <f t="shared" si="3"/>
        <v>3</v>
      </c>
      <c r="AR14" s="358">
        <f t="shared" si="4"/>
        <v>2</v>
      </c>
    </row>
    <row r="15">
      <c r="A15" s="49">
        <v>14.0</v>
      </c>
      <c r="B15" s="46" t="s">
        <v>79</v>
      </c>
      <c r="C15" s="46" t="s">
        <v>81</v>
      </c>
      <c r="D15" s="46" t="s">
        <v>80</v>
      </c>
      <c r="E15" s="18" t="s">
        <v>467</v>
      </c>
      <c r="F15" s="593">
        <v>40122.0</v>
      </c>
      <c r="G15" s="46">
        <v>2.0</v>
      </c>
      <c r="H15" s="46" t="s">
        <v>8</v>
      </c>
      <c r="I15" s="46" t="s">
        <v>7</v>
      </c>
      <c r="J15" s="235" t="s">
        <v>354</v>
      </c>
      <c r="K15" s="235">
        <v>0.0</v>
      </c>
      <c r="L15" s="546">
        <v>129.0</v>
      </c>
      <c r="M15" s="546">
        <v>305.0</v>
      </c>
      <c r="N15" s="235" t="s">
        <v>354</v>
      </c>
      <c r="O15" s="235" t="s">
        <v>354</v>
      </c>
      <c r="P15" s="235">
        <v>0.0</v>
      </c>
      <c r="Q15" s="594">
        <v>0.0</v>
      </c>
      <c r="R15" s="551">
        <v>0.0</v>
      </c>
      <c r="S15" s="551">
        <v>0.0</v>
      </c>
      <c r="T15" s="551">
        <v>0.0</v>
      </c>
      <c r="U15" s="166">
        <v>0.0</v>
      </c>
      <c r="V15" s="166" t="s">
        <v>356</v>
      </c>
      <c r="W15" s="166" t="s">
        <v>354</v>
      </c>
      <c r="X15" s="595" t="s">
        <v>1609</v>
      </c>
      <c r="Y15" s="595" t="s">
        <v>1609</v>
      </c>
      <c r="Z15" s="558" t="s">
        <v>356</v>
      </c>
      <c r="AA15" s="556" t="s">
        <v>354</v>
      </c>
      <c r="AB15" s="23" t="s">
        <v>356</v>
      </c>
      <c r="AC15" s="19" t="s">
        <v>354</v>
      </c>
      <c r="AD15" s="46">
        <f t="shared" si="2"/>
        <v>0</v>
      </c>
      <c r="AE15" s="182"/>
      <c r="AF15" s="182"/>
      <c r="AG15" s="182"/>
      <c r="AH15" s="182"/>
      <c r="AI15" s="235">
        <v>0.0</v>
      </c>
      <c r="AJ15" s="235">
        <v>0.0</v>
      </c>
      <c r="AK15" s="235">
        <v>0.0</v>
      </c>
      <c r="AL15" s="235">
        <v>0.0</v>
      </c>
      <c r="AM15" s="235">
        <v>0.0</v>
      </c>
      <c r="AN15" s="235">
        <v>0.0</v>
      </c>
      <c r="AO15" s="235">
        <v>0.0</v>
      </c>
      <c r="AP15" s="235">
        <v>0.0</v>
      </c>
      <c r="AQ15" s="182">
        <f t="shared" si="3"/>
        <v>0</v>
      </c>
      <c r="AR15" s="182">
        <f t="shared" si="4"/>
        <v>0</v>
      </c>
    </row>
    <row r="16">
      <c r="A16" s="49">
        <v>15.0</v>
      </c>
      <c r="B16" s="46" t="s">
        <v>83</v>
      </c>
      <c r="C16" s="46" t="s">
        <v>85</v>
      </c>
      <c r="D16" s="46" t="s">
        <v>84</v>
      </c>
      <c r="E16" s="18" t="s">
        <v>474</v>
      </c>
      <c r="F16" s="593">
        <v>40122.0</v>
      </c>
      <c r="G16" s="46">
        <v>2.0</v>
      </c>
      <c r="H16" s="46" t="s">
        <v>67</v>
      </c>
      <c r="I16" s="46" t="s">
        <v>7</v>
      </c>
      <c r="J16" s="235" t="s">
        <v>770</v>
      </c>
      <c r="K16" s="235">
        <v>0.0</v>
      </c>
      <c r="L16" s="546">
        <v>120.0</v>
      </c>
      <c r="M16" s="546">
        <v>270.0</v>
      </c>
      <c r="N16" s="235" t="s">
        <v>354</v>
      </c>
      <c r="O16" s="235" t="s">
        <v>354</v>
      </c>
      <c r="P16" s="235">
        <v>43.45</v>
      </c>
      <c r="Q16" s="594">
        <v>35.2</v>
      </c>
      <c r="R16" s="151">
        <f t="shared" ref="R16:R17" si="6">average(P16:Q16)</f>
        <v>39.325</v>
      </c>
      <c r="S16" s="551">
        <v>0.0</v>
      </c>
      <c r="T16" s="551">
        <v>0.0</v>
      </c>
      <c r="U16" s="166">
        <v>0.0</v>
      </c>
      <c r="V16" s="221" t="s">
        <v>365</v>
      </c>
      <c r="W16" s="58" t="s">
        <v>380</v>
      </c>
      <c r="X16" s="598" t="s">
        <v>365</v>
      </c>
      <c r="Y16" s="391" t="s">
        <v>380</v>
      </c>
      <c r="Z16" s="599" t="s">
        <v>365</v>
      </c>
      <c r="AA16" s="391" t="s">
        <v>380</v>
      </c>
      <c r="AB16" s="600" t="s">
        <v>365</v>
      </c>
      <c r="AC16" s="391" t="s">
        <v>380</v>
      </c>
      <c r="AD16" s="357">
        <f t="shared" si="2"/>
        <v>4</v>
      </c>
      <c r="AE16" s="182"/>
      <c r="AF16" s="182"/>
      <c r="AG16" s="182"/>
      <c r="AH16" s="182"/>
      <c r="AI16" s="235">
        <v>0.0</v>
      </c>
      <c r="AJ16" s="235">
        <v>0.0</v>
      </c>
      <c r="AK16" s="235">
        <v>0.0</v>
      </c>
      <c r="AL16" s="235">
        <v>0.0</v>
      </c>
      <c r="AM16" s="235">
        <v>0.0</v>
      </c>
      <c r="AN16" s="235">
        <v>0.0</v>
      </c>
      <c r="AO16" s="235">
        <v>3.0</v>
      </c>
      <c r="AP16" s="235">
        <v>0.0</v>
      </c>
      <c r="AQ16" s="358">
        <f t="shared" si="3"/>
        <v>3</v>
      </c>
      <c r="AR16" s="358">
        <f t="shared" si="4"/>
        <v>1</v>
      </c>
    </row>
    <row r="17">
      <c r="A17" s="49">
        <v>16.0</v>
      </c>
      <c r="B17" s="46" t="s">
        <v>87</v>
      </c>
      <c r="C17" s="46" t="s">
        <v>89</v>
      </c>
      <c r="D17" s="46" t="s">
        <v>88</v>
      </c>
      <c r="E17" s="98" t="s">
        <v>499</v>
      </c>
      <c r="F17" s="593">
        <v>40122.0</v>
      </c>
      <c r="G17" s="46">
        <v>2.0</v>
      </c>
      <c r="H17" s="46" t="s">
        <v>8</v>
      </c>
      <c r="I17" s="46" t="s">
        <v>7</v>
      </c>
      <c r="J17" s="235" t="s">
        <v>354</v>
      </c>
      <c r="K17" s="235">
        <v>1.0</v>
      </c>
      <c r="L17" s="546">
        <v>124.0</v>
      </c>
      <c r="M17" s="546">
        <v>300.0</v>
      </c>
      <c r="N17" s="235" t="s">
        <v>354</v>
      </c>
      <c r="O17" s="235" t="s">
        <v>354</v>
      </c>
      <c r="P17" s="235">
        <v>42.77</v>
      </c>
      <c r="Q17" s="594">
        <v>34.19</v>
      </c>
      <c r="R17" s="151">
        <f t="shared" si="6"/>
        <v>38.48</v>
      </c>
      <c r="S17" s="551">
        <v>0.0</v>
      </c>
      <c r="T17" s="551">
        <v>0.0</v>
      </c>
      <c r="U17" s="166">
        <v>0.0</v>
      </c>
      <c r="V17" s="221" t="s">
        <v>365</v>
      </c>
      <c r="W17" s="26" t="s">
        <v>357</v>
      </c>
      <c r="X17" s="548" t="s">
        <v>365</v>
      </c>
      <c r="Y17" s="73" t="s">
        <v>357</v>
      </c>
      <c r="Z17" s="549" t="s">
        <v>365</v>
      </c>
      <c r="AA17" s="73" t="s">
        <v>357</v>
      </c>
      <c r="AB17" s="36" t="s">
        <v>365</v>
      </c>
      <c r="AC17" s="73" t="s">
        <v>357</v>
      </c>
      <c r="AD17" s="357">
        <f t="shared" si="2"/>
        <v>4</v>
      </c>
      <c r="AE17" s="182"/>
      <c r="AF17" s="182"/>
      <c r="AG17" s="182"/>
      <c r="AH17" s="182"/>
      <c r="AI17" s="235">
        <v>0.0</v>
      </c>
      <c r="AJ17" s="235">
        <v>0.0</v>
      </c>
      <c r="AK17" s="235">
        <v>0.0</v>
      </c>
      <c r="AL17" s="235">
        <v>0.0</v>
      </c>
      <c r="AM17" s="235">
        <v>0.0</v>
      </c>
      <c r="AN17" s="235">
        <v>3.0</v>
      </c>
      <c r="AO17" s="235">
        <v>0.0</v>
      </c>
      <c r="AP17" s="235">
        <v>0.0</v>
      </c>
      <c r="AQ17" s="358">
        <f t="shared" si="3"/>
        <v>3</v>
      </c>
      <c r="AR17" s="358">
        <f t="shared" si="4"/>
        <v>1</v>
      </c>
    </row>
    <row r="18">
      <c r="A18" s="49">
        <v>17.0</v>
      </c>
      <c r="B18" s="46" t="s">
        <v>93</v>
      </c>
      <c r="C18" s="46" t="s">
        <v>95</v>
      </c>
      <c r="D18" s="46" t="s">
        <v>94</v>
      </c>
      <c r="E18" s="98" t="s">
        <v>506</v>
      </c>
      <c r="F18" s="593">
        <v>40122.0</v>
      </c>
      <c r="G18" s="46">
        <v>2.0</v>
      </c>
      <c r="H18" s="46" t="s">
        <v>67</v>
      </c>
      <c r="I18" s="46" t="s">
        <v>37</v>
      </c>
      <c r="J18" s="235" t="s">
        <v>770</v>
      </c>
      <c r="K18" s="235">
        <v>0.0</v>
      </c>
      <c r="L18" s="546">
        <v>121.0</v>
      </c>
      <c r="M18" s="546">
        <v>265.0</v>
      </c>
      <c r="N18" s="235" t="s">
        <v>354</v>
      </c>
      <c r="O18" s="235" t="s">
        <v>354</v>
      </c>
      <c r="P18" s="235">
        <v>0.0</v>
      </c>
      <c r="Q18" s="594">
        <v>0.0</v>
      </c>
      <c r="R18" s="551">
        <v>0.0</v>
      </c>
      <c r="S18" s="551">
        <v>0.0</v>
      </c>
      <c r="T18" s="551">
        <v>0.0</v>
      </c>
      <c r="U18" s="166">
        <v>0.0</v>
      </c>
      <c r="V18" s="166" t="s">
        <v>356</v>
      </c>
      <c r="W18" s="166" t="s">
        <v>354</v>
      </c>
      <c r="X18" s="560" t="s">
        <v>361</v>
      </c>
      <c r="Y18" s="560" t="s">
        <v>361</v>
      </c>
      <c r="Z18" s="558" t="s">
        <v>356</v>
      </c>
      <c r="AA18" s="556" t="s">
        <v>354</v>
      </c>
      <c r="AB18" s="36" t="s">
        <v>365</v>
      </c>
      <c r="AC18" s="88" t="s">
        <v>358</v>
      </c>
      <c r="AD18" s="357">
        <f t="shared" si="2"/>
        <v>1</v>
      </c>
      <c r="AE18" s="182"/>
      <c r="AF18" s="182"/>
      <c r="AG18" s="182"/>
      <c r="AH18" s="182"/>
      <c r="AI18" s="235">
        <v>0.0</v>
      </c>
      <c r="AJ18" s="235">
        <v>0.0</v>
      </c>
      <c r="AK18" s="235">
        <v>1.0</v>
      </c>
      <c r="AL18" s="235">
        <v>0.0</v>
      </c>
      <c r="AM18" s="235">
        <v>0.0</v>
      </c>
      <c r="AN18" s="235">
        <v>0.0</v>
      </c>
      <c r="AO18" s="235">
        <v>0.0</v>
      </c>
      <c r="AP18" s="235">
        <v>0.0</v>
      </c>
      <c r="AQ18" s="363">
        <f t="shared" si="3"/>
        <v>1</v>
      </c>
      <c r="AR18" s="363">
        <f t="shared" si="4"/>
        <v>1</v>
      </c>
    </row>
    <row r="19">
      <c r="A19" s="49">
        <v>18.0</v>
      </c>
      <c r="B19" s="46" t="s">
        <v>97</v>
      </c>
      <c r="C19" s="46" t="s">
        <v>99</v>
      </c>
      <c r="D19" s="46" t="s">
        <v>98</v>
      </c>
      <c r="E19" s="98" t="s">
        <v>1610</v>
      </c>
      <c r="F19" s="593">
        <v>40122.0</v>
      </c>
      <c r="G19" s="46">
        <v>2.0</v>
      </c>
      <c r="H19" s="46" t="s">
        <v>67</v>
      </c>
      <c r="I19" s="46" t="s">
        <v>37</v>
      </c>
      <c r="J19" s="235" t="s">
        <v>770</v>
      </c>
      <c r="K19" s="235">
        <v>1.0</v>
      </c>
      <c r="L19" s="546">
        <v>123.0</v>
      </c>
      <c r="M19" s="546">
        <v>295.0</v>
      </c>
      <c r="N19" s="235" t="s">
        <v>354</v>
      </c>
      <c r="O19" s="235" t="s">
        <v>354</v>
      </c>
      <c r="P19" s="235">
        <v>44.62</v>
      </c>
      <c r="Q19" s="594">
        <v>0.0</v>
      </c>
      <c r="R19" s="557">
        <f>P19</f>
        <v>44.62</v>
      </c>
      <c r="S19" s="551">
        <v>0.0</v>
      </c>
      <c r="T19" s="551">
        <v>0.0</v>
      </c>
      <c r="U19" s="166">
        <v>0.0</v>
      </c>
      <c r="V19" s="166" t="s">
        <v>356</v>
      </c>
      <c r="W19" s="166" t="s">
        <v>354</v>
      </c>
      <c r="X19" s="553" t="s">
        <v>356</v>
      </c>
      <c r="Y19" s="554" t="s">
        <v>354</v>
      </c>
      <c r="Z19" s="561" t="s">
        <v>361</v>
      </c>
      <c r="AA19" s="561" t="s">
        <v>361</v>
      </c>
      <c r="AB19" s="36" t="s">
        <v>365</v>
      </c>
      <c r="AC19" s="88" t="s">
        <v>358</v>
      </c>
      <c r="AD19" s="357">
        <f t="shared" si="2"/>
        <v>2</v>
      </c>
      <c r="AE19" s="182"/>
      <c r="AF19" s="182"/>
      <c r="AG19" s="182"/>
      <c r="AH19" s="182"/>
      <c r="AI19" s="235">
        <v>0.0</v>
      </c>
      <c r="AJ19" s="235">
        <v>0.0</v>
      </c>
      <c r="AK19" s="235">
        <v>1.0</v>
      </c>
      <c r="AL19" s="235">
        <v>0.0</v>
      </c>
      <c r="AM19" s="235">
        <v>0.0</v>
      </c>
      <c r="AN19" s="235">
        <v>0.0</v>
      </c>
      <c r="AO19" s="235">
        <v>0.0</v>
      </c>
      <c r="AP19" s="235">
        <v>0.0</v>
      </c>
      <c r="AQ19" s="358">
        <f t="shared" si="3"/>
        <v>1</v>
      </c>
      <c r="AR19" s="358">
        <f t="shared" si="4"/>
        <v>1</v>
      </c>
    </row>
    <row r="20">
      <c r="A20" s="49">
        <v>19.0</v>
      </c>
      <c r="B20" s="46" t="s">
        <v>100</v>
      </c>
      <c r="C20" s="46" t="s">
        <v>102</v>
      </c>
      <c r="D20" s="46" t="s">
        <v>101</v>
      </c>
      <c r="E20" s="18" t="s">
        <v>518</v>
      </c>
      <c r="F20" s="593">
        <v>40122.0</v>
      </c>
      <c r="G20" s="46">
        <v>2.0</v>
      </c>
      <c r="H20" s="46" t="s">
        <v>8</v>
      </c>
      <c r="I20" s="46" t="s">
        <v>7</v>
      </c>
      <c r="J20" s="235" t="s">
        <v>354</v>
      </c>
      <c r="K20" s="235">
        <v>0.0</v>
      </c>
      <c r="L20" s="546">
        <v>117.0</v>
      </c>
      <c r="M20" s="546">
        <v>260.0</v>
      </c>
      <c r="N20" s="235" t="s">
        <v>354</v>
      </c>
      <c r="O20" s="235" t="s">
        <v>354</v>
      </c>
      <c r="P20" s="235">
        <v>26.02</v>
      </c>
      <c r="Q20" s="594">
        <v>27.04</v>
      </c>
      <c r="R20" s="151">
        <f t="shared" ref="R20:R21" si="7">average(P20:Q20)</f>
        <v>26.53</v>
      </c>
      <c r="S20" s="551">
        <v>0.0</v>
      </c>
      <c r="T20" s="551">
        <v>0.0</v>
      </c>
      <c r="U20" s="166">
        <v>0.0</v>
      </c>
      <c r="V20" s="221" t="s">
        <v>365</v>
      </c>
      <c r="W20" s="26" t="s">
        <v>357</v>
      </c>
      <c r="X20" s="598" t="s">
        <v>365</v>
      </c>
      <c r="Y20" s="391" t="s">
        <v>380</v>
      </c>
      <c r="Z20" s="549" t="s">
        <v>365</v>
      </c>
      <c r="AA20" s="168" t="s">
        <v>357</v>
      </c>
      <c r="AB20" s="600" t="s">
        <v>365</v>
      </c>
      <c r="AC20" s="391" t="s">
        <v>380</v>
      </c>
      <c r="AD20" s="357">
        <f t="shared" si="2"/>
        <v>4</v>
      </c>
      <c r="AE20" s="182"/>
      <c r="AF20" s="182"/>
      <c r="AG20" s="182"/>
      <c r="AH20" s="182"/>
      <c r="AI20" s="235">
        <v>0.0</v>
      </c>
      <c r="AJ20" s="235">
        <v>0.0</v>
      </c>
      <c r="AK20" s="235">
        <v>0.0</v>
      </c>
      <c r="AL20" s="235">
        <v>0.0</v>
      </c>
      <c r="AM20" s="235">
        <v>0.0</v>
      </c>
      <c r="AN20" s="235">
        <v>1.0</v>
      </c>
      <c r="AO20" s="235">
        <v>2.0</v>
      </c>
      <c r="AP20" s="235">
        <v>0.0</v>
      </c>
      <c r="AQ20" s="358">
        <f t="shared" si="3"/>
        <v>3</v>
      </c>
      <c r="AR20" s="358">
        <f t="shared" si="4"/>
        <v>2</v>
      </c>
    </row>
    <row r="21">
      <c r="A21" s="49">
        <v>20.0</v>
      </c>
      <c r="B21" s="46" t="s">
        <v>104</v>
      </c>
      <c r="C21" s="46" t="s">
        <v>106</v>
      </c>
      <c r="D21" s="46" t="s">
        <v>105</v>
      </c>
      <c r="E21" s="18" t="s">
        <v>522</v>
      </c>
      <c r="F21" s="593">
        <v>40122.0</v>
      </c>
      <c r="G21" s="46">
        <v>2.0</v>
      </c>
      <c r="H21" s="46" t="s">
        <v>67</v>
      </c>
      <c r="I21" s="46" t="s">
        <v>7</v>
      </c>
      <c r="J21" s="235" t="s">
        <v>770</v>
      </c>
      <c r="K21" s="235">
        <v>0.0</v>
      </c>
      <c r="L21" s="546">
        <v>126.0</v>
      </c>
      <c r="M21" s="546">
        <v>270.0</v>
      </c>
      <c r="N21" s="235" t="s">
        <v>354</v>
      </c>
      <c r="O21" s="235" t="s">
        <v>354</v>
      </c>
      <c r="P21" s="235">
        <v>36.27</v>
      </c>
      <c r="Q21" s="594">
        <v>24.0</v>
      </c>
      <c r="R21" s="151">
        <f t="shared" si="7"/>
        <v>30.135</v>
      </c>
      <c r="S21" s="551">
        <v>0.0</v>
      </c>
      <c r="T21" s="551">
        <v>0.0</v>
      </c>
      <c r="U21" s="166">
        <v>0.0</v>
      </c>
      <c r="V21" s="221" t="s">
        <v>365</v>
      </c>
      <c r="W21" s="87" t="s">
        <v>413</v>
      </c>
      <c r="X21" s="548" t="s">
        <v>365</v>
      </c>
      <c r="Y21" s="87" t="s">
        <v>413</v>
      </c>
      <c r="Z21" s="549" t="s">
        <v>365</v>
      </c>
      <c r="AA21" s="87" t="s">
        <v>413</v>
      </c>
      <c r="AB21" s="36" t="s">
        <v>365</v>
      </c>
      <c r="AC21" s="141" t="s">
        <v>413</v>
      </c>
      <c r="AD21" s="357">
        <f t="shared" si="2"/>
        <v>4</v>
      </c>
      <c r="AE21" s="182"/>
      <c r="AF21" s="182"/>
      <c r="AG21" s="182"/>
      <c r="AH21" s="182"/>
      <c r="AI21" s="235">
        <v>0.0</v>
      </c>
      <c r="AJ21" s="235">
        <v>0.0</v>
      </c>
      <c r="AK21" s="235">
        <v>0.0</v>
      </c>
      <c r="AL21" s="235">
        <v>0.0</v>
      </c>
      <c r="AM21" s="235">
        <v>3.0</v>
      </c>
      <c r="AN21" s="235">
        <v>0.0</v>
      </c>
      <c r="AO21" s="235">
        <v>0.0</v>
      </c>
      <c r="AP21" s="235">
        <v>0.0</v>
      </c>
      <c r="AQ21" s="358">
        <f t="shared" si="3"/>
        <v>3</v>
      </c>
      <c r="AR21" s="358">
        <f t="shared" si="4"/>
        <v>1</v>
      </c>
    </row>
    <row r="22">
      <c r="A22" s="49">
        <v>21.0</v>
      </c>
      <c r="B22" s="46" t="s">
        <v>108</v>
      </c>
      <c r="C22" s="46" t="s">
        <v>110</v>
      </c>
      <c r="D22" s="46" t="s">
        <v>109</v>
      </c>
      <c r="E22" s="18" t="s">
        <v>536</v>
      </c>
      <c r="F22" s="593">
        <v>40122.0</v>
      </c>
      <c r="G22" s="46">
        <v>2.0</v>
      </c>
      <c r="H22" s="46" t="s">
        <v>8</v>
      </c>
      <c r="I22" s="49" t="s">
        <v>433</v>
      </c>
      <c r="J22" s="235" t="s">
        <v>354</v>
      </c>
      <c r="K22" s="235">
        <v>1.0</v>
      </c>
      <c r="L22" s="546">
        <v>109.0</v>
      </c>
      <c r="M22" s="546">
        <v>215.0</v>
      </c>
      <c r="N22" s="235" t="s">
        <v>354</v>
      </c>
      <c r="O22" s="235" t="s">
        <v>354</v>
      </c>
      <c r="P22" s="235">
        <v>0.0</v>
      </c>
      <c r="Q22" s="594">
        <v>0.0</v>
      </c>
      <c r="R22" s="551">
        <v>0.0</v>
      </c>
      <c r="S22" s="551">
        <v>0.0</v>
      </c>
      <c r="T22" s="551">
        <v>0.0</v>
      </c>
      <c r="U22" s="166">
        <v>0.0</v>
      </c>
      <c r="V22" s="166" t="s">
        <v>356</v>
      </c>
      <c r="W22" s="166" t="s">
        <v>354</v>
      </c>
      <c r="X22" s="553" t="s">
        <v>356</v>
      </c>
      <c r="Y22" s="554" t="s">
        <v>354</v>
      </c>
      <c r="Z22" s="558" t="s">
        <v>356</v>
      </c>
      <c r="AA22" s="556" t="s">
        <v>354</v>
      </c>
      <c r="AB22" s="36" t="s">
        <v>365</v>
      </c>
      <c r="AC22" s="88" t="s">
        <v>358</v>
      </c>
      <c r="AD22" s="357">
        <f t="shared" si="2"/>
        <v>1</v>
      </c>
      <c r="AE22" s="182"/>
      <c r="AF22" s="182"/>
      <c r="AG22" s="182"/>
      <c r="AH22" s="182"/>
      <c r="AI22" s="235">
        <v>0.0</v>
      </c>
      <c r="AJ22" s="235">
        <v>0.0</v>
      </c>
      <c r="AK22" s="235">
        <v>1.0</v>
      </c>
      <c r="AL22" s="235">
        <v>0.0</v>
      </c>
      <c r="AM22" s="235">
        <v>0.0</v>
      </c>
      <c r="AN22" s="235">
        <v>0.0</v>
      </c>
      <c r="AO22" s="235">
        <v>0.0</v>
      </c>
      <c r="AP22" s="235">
        <v>0.0</v>
      </c>
      <c r="AQ22" s="363">
        <f t="shared" si="3"/>
        <v>1</v>
      </c>
      <c r="AR22" s="363">
        <f t="shared" si="4"/>
        <v>1</v>
      </c>
    </row>
    <row r="23">
      <c r="A23" s="49">
        <v>22.0</v>
      </c>
      <c r="B23" s="46" t="s">
        <v>112</v>
      </c>
      <c r="C23" s="46" t="s">
        <v>114</v>
      </c>
      <c r="D23" s="46" t="s">
        <v>113</v>
      </c>
      <c r="E23" s="98" t="s">
        <v>541</v>
      </c>
      <c r="F23" s="593">
        <v>40122.0</v>
      </c>
      <c r="G23" s="46">
        <v>2.0</v>
      </c>
      <c r="H23" s="46" t="s">
        <v>8</v>
      </c>
      <c r="I23" s="46" t="s">
        <v>7</v>
      </c>
      <c r="J23" s="235" t="s">
        <v>354</v>
      </c>
      <c r="K23" s="235">
        <v>0.0</v>
      </c>
      <c r="L23" s="546">
        <v>121.0</v>
      </c>
      <c r="M23" s="546">
        <v>225.0</v>
      </c>
      <c r="N23" s="235" t="s">
        <v>354</v>
      </c>
      <c r="O23" s="235" t="s">
        <v>354</v>
      </c>
      <c r="P23" s="235">
        <v>28.09</v>
      </c>
      <c r="Q23" s="594">
        <v>30.2</v>
      </c>
      <c r="R23" s="151">
        <f>average(P23:Q23)</f>
        <v>29.145</v>
      </c>
      <c r="S23" s="551">
        <v>0.0</v>
      </c>
      <c r="T23" s="551">
        <v>0.0</v>
      </c>
      <c r="U23" s="166">
        <v>0.0</v>
      </c>
      <c r="V23" s="221" t="s">
        <v>365</v>
      </c>
      <c r="W23" s="58" t="s">
        <v>380</v>
      </c>
      <c r="X23" s="548" t="s">
        <v>365</v>
      </c>
      <c r="Y23" s="88" t="s">
        <v>358</v>
      </c>
      <c r="Z23" s="549" t="s">
        <v>365</v>
      </c>
      <c r="AA23" s="111" t="s">
        <v>363</v>
      </c>
      <c r="AB23" s="36" t="s">
        <v>365</v>
      </c>
      <c r="AC23" s="88" t="s">
        <v>358</v>
      </c>
      <c r="AD23" s="357">
        <f t="shared" si="2"/>
        <v>4</v>
      </c>
      <c r="AE23" s="182"/>
      <c r="AF23" s="182"/>
      <c r="AG23" s="182"/>
      <c r="AH23" s="182"/>
      <c r="AI23" s="235">
        <v>0.0</v>
      </c>
      <c r="AJ23" s="235">
        <v>0.0</v>
      </c>
      <c r="AK23" s="235">
        <v>2.0</v>
      </c>
      <c r="AL23" s="235">
        <v>1.0</v>
      </c>
      <c r="AM23" s="235">
        <v>0.0</v>
      </c>
      <c r="AN23" s="235">
        <v>0.0</v>
      </c>
      <c r="AO23" s="235">
        <v>0.0</v>
      </c>
      <c r="AP23" s="235">
        <v>0.0</v>
      </c>
      <c r="AQ23" s="358">
        <f t="shared" si="3"/>
        <v>3</v>
      </c>
      <c r="AR23" s="358">
        <f t="shared" si="4"/>
        <v>2</v>
      </c>
    </row>
    <row r="24">
      <c r="A24" s="49" t="s">
        <v>1606</v>
      </c>
      <c r="B24" s="46" t="s">
        <v>354</v>
      </c>
      <c r="C24" s="46" t="s">
        <v>354</v>
      </c>
      <c r="D24" s="46" t="s">
        <v>354</v>
      </c>
      <c r="E24" s="46" t="s">
        <v>354</v>
      </c>
      <c r="F24" s="46" t="s">
        <v>354</v>
      </c>
      <c r="G24" s="46" t="s">
        <v>354</v>
      </c>
      <c r="H24" s="46" t="s">
        <v>354</v>
      </c>
      <c r="I24" s="46" t="s">
        <v>354</v>
      </c>
      <c r="J24" s="46" t="s">
        <v>354</v>
      </c>
      <c r="K24" s="46" t="s">
        <v>354</v>
      </c>
      <c r="L24" s="46" t="s">
        <v>354</v>
      </c>
      <c r="M24" s="46" t="s">
        <v>354</v>
      </c>
      <c r="N24" s="46" t="s">
        <v>354</v>
      </c>
      <c r="O24" s="46" t="s">
        <v>354</v>
      </c>
      <c r="P24" s="46" t="s">
        <v>354</v>
      </c>
      <c r="Q24" s="594" t="s">
        <v>354</v>
      </c>
      <c r="R24" s="547">
        <v>19.035</v>
      </c>
      <c r="S24" s="151">
        <v>29.64</v>
      </c>
      <c r="T24" s="151">
        <v>17.95</v>
      </c>
      <c r="U24" s="221">
        <v>33.66</v>
      </c>
      <c r="V24" s="166" t="s">
        <v>354</v>
      </c>
      <c r="W24" s="166" t="s">
        <v>354</v>
      </c>
      <c r="X24" s="548" t="s">
        <v>365</v>
      </c>
      <c r="Y24" s="554" t="s">
        <v>1400</v>
      </c>
      <c r="Z24" s="549" t="s">
        <v>365</v>
      </c>
      <c r="AA24" s="556" t="s">
        <v>1400</v>
      </c>
      <c r="AB24" s="36" t="s">
        <v>365</v>
      </c>
      <c r="AC24" s="21" t="s">
        <v>1400</v>
      </c>
      <c r="AD24" s="46">
        <f t="shared" si="2"/>
        <v>4</v>
      </c>
      <c r="AE24" s="182"/>
      <c r="AF24" s="182"/>
      <c r="AG24" s="182"/>
      <c r="AH24" s="235" t="s">
        <v>1507</v>
      </c>
      <c r="AI24" s="235">
        <f t="shared" ref="AI24:AP24" si="8">sum(AI2:AI23)</f>
        <v>0</v>
      </c>
      <c r="AJ24" s="235">
        <f t="shared" si="8"/>
        <v>0</v>
      </c>
      <c r="AK24" s="235">
        <f t="shared" si="8"/>
        <v>7</v>
      </c>
      <c r="AL24" s="235">
        <f t="shared" si="8"/>
        <v>6</v>
      </c>
      <c r="AM24" s="235">
        <f t="shared" si="8"/>
        <v>5</v>
      </c>
      <c r="AN24" s="235">
        <f t="shared" si="8"/>
        <v>4</v>
      </c>
      <c r="AO24" s="235">
        <f t="shared" si="8"/>
        <v>5</v>
      </c>
      <c r="AP24" s="235">
        <f t="shared" si="8"/>
        <v>0</v>
      </c>
      <c r="AQ24" s="182">
        <f t="shared" si="3"/>
        <v>27</v>
      </c>
      <c r="AR24" s="182"/>
    </row>
    <row r="25">
      <c r="A25" s="49" t="s">
        <v>1608</v>
      </c>
      <c r="B25" s="46" t="s">
        <v>354</v>
      </c>
      <c r="C25" s="46" t="s">
        <v>354</v>
      </c>
      <c r="D25" s="46" t="s">
        <v>354</v>
      </c>
      <c r="E25" s="46" t="s">
        <v>354</v>
      </c>
      <c r="F25" s="46" t="s">
        <v>354</v>
      </c>
      <c r="G25" s="46" t="s">
        <v>354</v>
      </c>
      <c r="H25" s="46" t="s">
        <v>354</v>
      </c>
      <c r="I25" s="46" t="s">
        <v>354</v>
      </c>
      <c r="J25" s="46" t="s">
        <v>354</v>
      </c>
      <c r="K25" s="46" t="s">
        <v>354</v>
      </c>
      <c r="L25" s="46" t="s">
        <v>354</v>
      </c>
      <c r="M25" s="46" t="s">
        <v>354</v>
      </c>
      <c r="N25" s="46" t="s">
        <v>354</v>
      </c>
      <c r="O25" s="46" t="s">
        <v>354</v>
      </c>
      <c r="P25" s="46" t="s">
        <v>354</v>
      </c>
      <c r="Q25" s="594" t="s">
        <v>354</v>
      </c>
      <c r="R25" s="551">
        <v>0.0</v>
      </c>
      <c r="S25" s="551">
        <v>0.0</v>
      </c>
      <c r="T25" s="551">
        <v>0.0</v>
      </c>
      <c r="U25" s="166">
        <v>0.0</v>
      </c>
      <c r="V25" s="166" t="s">
        <v>354</v>
      </c>
      <c r="W25" s="166" t="s">
        <v>354</v>
      </c>
      <c r="X25" s="553" t="s">
        <v>356</v>
      </c>
      <c r="Y25" s="554" t="s">
        <v>354</v>
      </c>
      <c r="Z25" s="558" t="s">
        <v>356</v>
      </c>
      <c r="AA25" s="556" t="s">
        <v>354</v>
      </c>
      <c r="AB25" s="23" t="s">
        <v>356</v>
      </c>
      <c r="AC25" s="19" t="s">
        <v>354</v>
      </c>
      <c r="AD25" s="46">
        <f t="shared" si="2"/>
        <v>0</v>
      </c>
      <c r="AE25" s="182"/>
      <c r="AF25" s="182"/>
      <c r="AG25" s="182"/>
      <c r="AH25" s="235" t="s">
        <v>1406</v>
      </c>
      <c r="AI25" s="492">
        <f t="shared" ref="AI25:AP25" si="9">AI24/$AQ$24</f>
        <v>0</v>
      </c>
      <c r="AJ25" s="492">
        <f t="shared" si="9"/>
        <v>0</v>
      </c>
      <c r="AK25" s="492">
        <f t="shared" si="9"/>
        <v>0.2592592593</v>
      </c>
      <c r="AL25" s="492">
        <f t="shared" si="9"/>
        <v>0.2222222222</v>
      </c>
      <c r="AM25" s="492">
        <f t="shared" si="9"/>
        <v>0.1851851852</v>
      </c>
      <c r="AN25" s="492">
        <f t="shared" si="9"/>
        <v>0.1481481481</v>
      </c>
      <c r="AO25" s="492">
        <f t="shared" si="9"/>
        <v>0.1851851852</v>
      </c>
      <c r="AP25" s="492">
        <f t="shared" si="9"/>
        <v>0</v>
      </c>
      <c r="AQ25" s="380">
        <f t="shared" si="3"/>
        <v>1</v>
      </c>
      <c r="AR25" s="182"/>
    </row>
    <row r="26">
      <c r="A26" s="46"/>
      <c r="B26" s="46"/>
      <c r="C26" s="46"/>
      <c r="D26" s="46"/>
      <c r="E26" s="46"/>
      <c r="F26" s="46"/>
      <c r="G26" s="46"/>
      <c r="H26" s="46"/>
      <c r="I26" s="46"/>
      <c r="Q26" s="46"/>
      <c r="R26" s="46"/>
      <c r="S26" s="46"/>
      <c r="T26" s="46"/>
      <c r="U26" s="46"/>
      <c r="V26" s="46"/>
      <c r="W26" s="46"/>
      <c r="X26" s="46"/>
      <c r="Y26" s="46"/>
      <c r="Z26" s="46"/>
      <c r="AA26" s="46"/>
      <c r="AB26" s="46"/>
      <c r="AC26" s="46"/>
      <c r="AD26" s="182"/>
      <c r="AE26" s="182"/>
      <c r="AF26" s="182"/>
      <c r="AG26" s="182"/>
      <c r="AH26" s="182"/>
      <c r="AI26" s="182"/>
      <c r="AJ26" s="182"/>
      <c r="AK26" s="182"/>
      <c r="AL26" s="182"/>
      <c r="AM26" s="182"/>
      <c r="AN26" s="182"/>
      <c r="AO26" s="182"/>
      <c r="AP26" s="182"/>
      <c r="AQ26" s="182"/>
      <c r="AR26" s="182"/>
    </row>
    <row r="27">
      <c r="A27" s="46"/>
      <c r="B27" s="46"/>
      <c r="C27" s="46"/>
      <c r="D27" s="46"/>
      <c r="E27" s="46"/>
      <c r="F27" s="46"/>
      <c r="G27" s="46"/>
      <c r="H27" s="46"/>
      <c r="I27" s="46"/>
      <c r="Q27" s="46"/>
      <c r="R27" s="46">
        <f>COUNTIF(R2:R23,"&gt;0")</f>
        <v>14</v>
      </c>
      <c r="S27" s="46"/>
      <c r="T27" s="46"/>
      <c r="U27" s="46">
        <f>COUNTIF(U2:U23,"&gt;0")</f>
        <v>0</v>
      </c>
      <c r="V27" s="46"/>
      <c r="W27" s="46"/>
      <c r="X27" s="46">
        <f>COUNTIF(X2:X23,"POS")</f>
        <v>7</v>
      </c>
      <c r="Y27" s="46"/>
      <c r="Z27" s="46">
        <f>COUNTIF(Z2:Z23,"POS")</f>
        <v>8</v>
      </c>
      <c r="AA27" s="46"/>
      <c r="AB27" s="46">
        <f>COUNTIF(AB2:AB23,"POS")</f>
        <v>12</v>
      </c>
      <c r="AC27" s="46"/>
      <c r="AD27" s="372">
        <f>COUNTIF($AD$2:$AD$23,"&gt;0")-3</f>
        <v>13</v>
      </c>
      <c r="AE27" s="372">
        <f>COUNTIF($AD$2:$AD$23,"&gt;1")</f>
        <v>11</v>
      </c>
      <c r="AF27" s="372">
        <f>COUNTIF($AD$2:$AD$23,"&gt;2")</f>
        <v>8</v>
      </c>
      <c r="AG27" s="372">
        <f>COUNTIF($AD$2:$AD$23,"&gt;3")</f>
        <v>6</v>
      </c>
      <c r="AH27" s="487">
        <f>countif(AR2:AR23,"&gt;1")</f>
        <v>3</v>
      </c>
      <c r="AI27" s="235">
        <v>0.0</v>
      </c>
      <c r="AJ27" s="235">
        <v>0.0</v>
      </c>
      <c r="AK27" s="235">
        <v>4.0</v>
      </c>
      <c r="AL27" s="235">
        <v>2.0</v>
      </c>
      <c r="AM27" s="235">
        <v>2.0</v>
      </c>
      <c r="AN27" s="235">
        <v>1.0</v>
      </c>
      <c r="AO27" s="235">
        <v>1.0</v>
      </c>
      <c r="AP27" s="235">
        <v>0.0</v>
      </c>
      <c r="AQ27" s="182"/>
      <c r="AR27" s="182"/>
    </row>
    <row r="28">
      <c r="A28" s="46"/>
      <c r="B28" s="46"/>
      <c r="C28" s="46"/>
      <c r="D28" s="46"/>
      <c r="E28" s="46"/>
      <c r="F28" s="46"/>
      <c r="G28" s="46"/>
      <c r="H28" s="46"/>
      <c r="I28" s="46"/>
      <c r="Q28" s="46"/>
      <c r="R28" s="46">
        <f>COUNT($G$2:$G$23)</f>
        <v>22</v>
      </c>
      <c r="S28" s="46"/>
      <c r="T28" s="46"/>
      <c r="U28" s="46">
        <f>COUNT($G$2:$G$23)</f>
        <v>22</v>
      </c>
      <c r="V28" s="46"/>
      <c r="W28" s="46"/>
      <c r="X28" s="46">
        <f>COUNT($G$2:$G$23)</f>
        <v>22</v>
      </c>
      <c r="Y28" s="46"/>
      <c r="Z28" s="46">
        <f>COUNT($G$2:$G$23)</f>
        <v>22</v>
      </c>
      <c r="AA28" s="46"/>
      <c r="AB28" s="46">
        <f>COUNT($G$2:$G$23)</f>
        <v>22</v>
      </c>
      <c r="AC28" s="46"/>
      <c r="AD28" s="372">
        <f t="shared" ref="AD28:AF28" si="10">COUNT($G$2:$G$23)</f>
        <v>22</v>
      </c>
      <c r="AE28" s="372">
        <f t="shared" si="10"/>
        <v>22</v>
      </c>
      <c r="AF28" s="372">
        <f t="shared" si="10"/>
        <v>22</v>
      </c>
      <c r="AG28" s="310">
        <v>22.0</v>
      </c>
      <c r="AH28" s="310">
        <v>22.0</v>
      </c>
      <c r="AI28" s="563"/>
      <c r="AJ28" s="563"/>
      <c r="AK28" s="563"/>
      <c r="AL28" s="563"/>
      <c r="AM28" s="563"/>
      <c r="AN28" s="563"/>
      <c r="AO28" s="563"/>
      <c r="AP28" s="563"/>
      <c r="AQ28" s="182"/>
      <c r="AR28" s="182"/>
    </row>
    <row r="29">
      <c r="A29" s="46"/>
      <c r="B29" s="46"/>
      <c r="C29" s="46"/>
      <c r="D29" s="46"/>
      <c r="E29" s="46"/>
      <c r="F29" s="46"/>
      <c r="G29" s="46"/>
      <c r="H29" s="46"/>
      <c r="I29" s="46"/>
      <c r="Q29" s="46"/>
      <c r="R29" s="374">
        <f>R27/R28</f>
        <v>0.6363636364</v>
      </c>
      <c r="S29" s="46"/>
      <c r="T29" s="46"/>
      <c r="U29" s="374">
        <f>U27/U28</f>
        <v>0</v>
      </c>
      <c r="V29" s="46"/>
      <c r="W29" s="46"/>
      <c r="X29" s="374">
        <f>X27/X28</f>
        <v>0.3181818182</v>
      </c>
      <c r="Y29" s="46"/>
      <c r="Z29" s="374">
        <f>Z27/Z28</f>
        <v>0.3636363636</v>
      </c>
      <c r="AA29" s="46"/>
      <c r="AB29" s="374">
        <f>AB27/AB28</f>
        <v>0.5454545455</v>
      </c>
      <c r="AC29" s="46"/>
      <c r="AD29" s="564">
        <f t="shared" ref="AD29:AH29" si="11">AD27/AD28</f>
        <v>0.5909090909</v>
      </c>
      <c r="AE29" s="564">
        <f t="shared" si="11"/>
        <v>0.5</v>
      </c>
      <c r="AF29" s="564">
        <f t="shared" si="11"/>
        <v>0.3636363636</v>
      </c>
      <c r="AG29" s="564">
        <f t="shared" si="11"/>
        <v>0.2727272727</v>
      </c>
      <c r="AH29" s="565">
        <f t="shared" si="11"/>
        <v>0.1363636364</v>
      </c>
      <c r="AI29" s="563"/>
      <c r="AJ29" s="563"/>
      <c r="AK29" s="563"/>
      <c r="AL29" s="563"/>
      <c r="AM29" s="563"/>
      <c r="AN29" s="563"/>
      <c r="AO29" s="563"/>
      <c r="AP29" s="563"/>
      <c r="AQ29" s="182"/>
      <c r="AR29" s="182"/>
    </row>
    <row r="30">
      <c r="A30" s="46"/>
      <c r="B30" s="46"/>
      <c r="C30" s="46"/>
      <c r="D30" s="46"/>
      <c r="E30" s="46"/>
      <c r="F30" s="46"/>
      <c r="G30" s="46"/>
      <c r="H30" s="46"/>
      <c r="I30" s="46"/>
      <c r="Q30" s="46"/>
      <c r="R30" s="46"/>
      <c r="S30" s="46"/>
      <c r="T30" s="46"/>
      <c r="U30" s="46"/>
      <c r="V30" s="46"/>
      <c r="W30" s="46"/>
      <c r="X30" s="46"/>
      <c r="Y30" s="46"/>
      <c r="Z30" s="46"/>
      <c r="AA30" s="46"/>
      <c r="AB30" s="46"/>
      <c r="AC30" s="46"/>
      <c r="AD30" s="372" t="s">
        <v>1401</v>
      </c>
      <c r="AE30" s="372" t="s">
        <v>1402</v>
      </c>
      <c r="AF30" s="372" t="s">
        <v>1403</v>
      </c>
      <c r="AG30" s="310" t="s">
        <v>1404</v>
      </c>
      <c r="AH30" s="310" t="s">
        <v>1376</v>
      </c>
      <c r="AI30" s="563"/>
      <c r="AJ30" s="563"/>
      <c r="AK30" s="563"/>
      <c r="AL30" s="563"/>
      <c r="AM30" s="563"/>
      <c r="AN30" s="563"/>
      <c r="AO30" s="563"/>
      <c r="AP30" s="563"/>
      <c r="AQ30" s="182"/>
      <c r="AR30" s="182"/>
    </row>
    <row r="31">
      <c r="A31" s="46"/>
      <c r="B31" s="46"/>
      <c r="C31" s="46"/>
      <c r="D31" s="46"/>
      <c r="E31" s="46"/>
      <c r="F31" s="46"/>
      <c r="G31" s="46"/>
      <c r="H31" s="46"/>
      <c r="I31" s="46"/>
      <c r="Q31" s="57"/>
      <c r="R31" s="57"/>
      <c r="S31" s="57"/>
      <c r="T31" s="46"/>
      <c r="U31" s="46"/>
      <c r="V31" s="46"/>
      <c r="W31" s="46"/>
      <c r="X31" s="46"/>
      <c r="Y31" s="46"/>
      <c r="Z31" s="46"/>
      <c r="AA31" s="46"/>
      <c r="AB31" s="46"/>
      <c r="AC31" s="46"/>
      <c r="AD31" s="182"/>
      <c r="AE31" s="182"/>
      <c r="AF31" s="182"/>
      <c r="AG31" s="182"/>
      <c r="AH31" s="182"/>
      <c r="AI31" s="563"/>
      <c r="AJ31" s="563"/>
      <c r="AK31" s="563"/>
      <c r="AL31" s="563"/>
      <c r="AM31" s="563"/>
      <c r="AN31" s="563"/>
      <c r="AO31" s="563"/>
      <c r="AP31" s="563"/>
      <c r="AQ31" s="182"/>
      <c r="AR31" s="182"/>
    </row>
    <row r="32">
      <c r="H32" s="331" t="s">
        <v>1497</v>
      </c>
      <c r="I32" s="345" t="s">
        <v>389</v>
      </c>
      <c r="J32" s="346" t="s">
        <v>420</v>
      </c>
      <c r="K32" s="347" t="s">
        <v>358</v>
      </c>
      <c r="L32" s="348" t="s">
        <v>363</v>
      </c>
      <c r="M32" s="349" t="s">
        <v>413</v>
      </c>
      <c r="N32" s="350" t="s">
        <v>357</v>
      </c>
      <c r="O32" s="351" t="s">
        <v>380</v>
      </c>
      <c r="P32" s="352" t="s">
        <v>387</v>
      </c>
      <c r="Q32" s="566" t="s">
        <v>1427</v>
      </c>
      <c r="R32" s="408" t="s">
        <v>1190</v>
      </c>
      <c r="S32" s="567" t="s">
        <v>1214</v>
      </c>
      <c r="T32" s="568" t="s">
        <v>1120</v>
      </c>
      <c r="U32" s="569" t="s">
        <v>1188</v>
      </c>
      <c r="V32" s="570" t="s">
        <v>1428</v>
      </c>
      <c r="W32" s="571" t="s">
        <v>1429</v>
      </c>
      <c r="X32" s="572" t="s">
        <v>1178</v>
      </c>
      <c r="Y32" s="573" t="s">
        <v>1145</v>
      </c>
      <c r="Z32" s="417" t="s">
        <v>1301</v>
      </c>
      <c r="AA32" s="574" t="s">
        <v>1130</v>
      </c>
      <c r="AB32" s="575" t="s">
        <v>1314</v>
      </c>
      <c r="AC32" s="576" t="s">
        <v>1431</v>
      </c>
      <c r="AD32" s="577" t="s">
        <v>1095</v>
      </c>
      <c r="AE32" s="578" t="s">
        <v>1103</v>
      </c>
      <c r="AF32" s="579" t="s">
        <v>1090</v>
      </c>
      <c r="AG32" s="580" t="s">
        <v>1296</v>
      </c>
      <c r="AH32" s="581" t="s">
        <v>1270</v>
      </c>
      <c r="AI32" s="582" t="s">
        <v>1115</v>
      </c>
      <c r="AJ32" s="583" t="s">
        <v>1089</v>
      </c>
      <c r="AK32" s="584" t="s">
        <v>1182</v>
      </c>
      <c r="AL32" s="585" t="s">
        <v>1298</v>
      </c>
      <c r="AM32" s="586" t="s">
        <v>1163</v>
      </c>
      <c r="AN32" s="587" t="s">
        <v>1223</v>
      </c>
      <c r="AO32" s="588" t="s">
        <v>1441</v>
      </c>
      <c r="AP32" s="589" t="s">
        <v>1129</v>
      </c>
      <c r="AQ32" s="590" t="s">
        <v>1447</v>
      </c>
      <c r="AR32" s="591" t="s">
        <v>1454</v>
      </c>
    </row>
    <row r="33">
      <c r="H33" s="468">
        <f>correl(I33:P33,AI24:AP24)</f>
        <v>0.9631061574</v>
      </c>
      <c r="I33" s="76">
        <f t="shared" ref="I33:P33" si="12">countif(AI2:AI23,"&gt;0")</f>
        <v>0</v>
      </c>
      <c r="J33" s="76">
        <f t="shared" si="12"/>
        <v>0</v>
      </c>
      <c r="K33" s="76">
        <f t="shared" si="12"/>
        <v>5</v>
      </c>
      <c r="L33" s="76">
        <f t="shared" si="12"/>
        <v>4</v>
      </c>
      <c r="M33" s="76">
        <f t="shared" si="12"/>
        <v>3</v>
      </c>
      <c r="N33" s="76">
        <f t="shared" si="12"/>
        <v>2</v>
      </c>
      <c r="O33" s="76">
        <f t="shared" si="12"/>
        <v>2</v>
      </c>
      <c r="P33" s="76">
        <f t="shared" si="12"/>
        <v>0</v>
      </c>
      <c r="Q33" s="265">
        <f t="shared" ref="Q33:W33" si="13">countifs($AI$2:$AI$23,"&gt;0",AJ2:AJ23,"&gt;0")</f>
        <v>0</v>
      </c>
      <c r="R33" s="265">
        <f t="shared" si="13"/>
        <v>0</v>
      </c>
      <c r="S33" s="265">
        <f t="shared" si="13"/>
        <v>0</v>
      </c>
      <c r="T33" s="265">
        <f t="shared" si="13"/>
        <v>0</v>
      </c>
      <c r="U33" s="265">
        <f t="shared" si="13"/>
        <v>0</v>
      </c>
      <c r="V33" s="265">
        <f t="shared" si="13"/>
        <v>0</v>
      </c>
      <c r="W33" s="265">
        <f t="shared" si="13"/>
        <v>0</v>
      </c>
      <c r="X33" s="265">
        <f t="shared" ref="X33:AC33" si="14">countifs($AJ$2:$AJ$23,"&gt;0",AK2:AK23,"&gt;0")</f>
        <v>0</v>
      </c>
      <c r="Y33" s="265">
        <f t="shared" si="14"/>
        <v>0</v>
      </c>
      <c r="Z33" s="265">
        <f t="shared" si="14"/>
        <v>0</v>
      </c>
      <c r="AA33" s="265">
        <f t="shared" si="14"/>
        <v>0</v>
      </c>
      <c r="AB33" s="265">
        <f t="shared" si="14"/>
        <v>0</v>
      </c>
      <c r="AC33" s="265">
        <f t="shared" si="14"/>
        <v>0</v>
      </c>
      <c r="AD33" s="592">
        <f t="shared" ref="AD33:AH33" si="15">countifs($AK$2:$AK$23,"&gt;0",AL2:AL23,"&gt;0")</f>
        <v>1</v>
      </c>
      <c r="AE33" s="265">
        <f t="shared" si="15"/>
        <v>0</v>
      </c>
      <c r="AF33" s="265">
        <f t="shared" si="15"/>
        <v>0</v>
      </c>
      <c r="AG33" s="265">
        <f t="shared" si="15"/>
        <v>0</v>
      </c>
      <c r="AH33" s="265">
        <f t="shared" si="15"/>
        <v>0</v>
      </c>
      <c r="AI33" s="592">
        <f t="shared" ref="AI33:AL33" si="16">countifs($AL$2:$AL$23,"&gt;0",AM2:AM23,"&gt;0")</f>
        <v>1</v>
      </c>
      <c r="AJ33" s="265">
        <f t="shared" si="16"/>
        <v>0</v>
      </c>
      <c r="AK33" s="265">
        <f t="shared" si="16"/>
        <v>0</v>
      </c>
      <c r="AL33" s="265">
        <f t="shared" si="16"/>
        <v>0</v>
      </c>
      <c r="AM33" s="265">
        <f t="shared" ref="AM33:AO33" si="17">countifs($AM$2:$AM$23,"&gt;0",AN2:AN23,"&gt;0")</f>
        <v>0</v>
      </c>
      <c r="AN33" s="265">
        <f t="shared" si="17"/>
        <v>0</v>
      </c>
      <c r="AO33" s="265">
        <f t="shared" si="17"/>
        <v>0</v>
      </c>
      <c r="AP33" s="592">
        <f t="shared" ref="AP33:AQ33" si="18">countifs($AN$2:$AN$23,"&gt;0",AO2:AO23,"&gt;0")</f>
        <v>1</v>
      </c>
      <c r="AQ33" s="265">
        <f t="shared" si="18"/>
        <v>0</v>
      </c>
      <c r="AR33" s="265">
        <f>countifs(AO2:AO23,"&gt;0",AP2:AP23,"&gt;0")</f>
        <v>0</v>
      </c>
    </row>
    <row r="34">
      <c r="I34" s="76">
        <f t="shared" ref="I34:P34" si="19">I33/sum($I$33:$P$33)</f>
        <v>0</v>
      </c>
      <c r="J34" s="76">
        <f t="shared" si="19"/>
        <v>0</v>
      </c>
      <c r="K34" s="76">
        <f t="shared" si="19"/>
        <v>0.3125</v>
      </c>
      <c r="L34" s="76">
        <f t="shared" si="19"/>
        <v>0.25</v>
      </c>
      <c r="M34" s="76">
        <f t="shared" si="19"/>
        <v>0.1875</v>
      </c>
      <c r="N34" s="76">
        <f t="shared" si="19"/>
        <v>0.125</v>
      </c>
      <c r="O34" s="76">
        <f t="shared" si="19"/>
        <v>0.125</v>
      </c>
      <c r="P34" s="76">
        <f t="shared" si="19"/>
        <v>0</v>
      </c>
      <c r="Q34" s="265"/>
      <c r="R34" s="265"/>
      <c r="S34" s="265"/>
      <c r="T34" s="265"/>
      <c r="U34" s="265"/>
      <c r="V34" s="265"/>
      <c r="W34" s="265"/>
      <c r="X34" s="265"/>
      <c r="Y34" s="265"/>
      <c r="Z34" s="265"/>
      <c r="AA34" s="265"/>
      <c r="AB34" s="265"/>
      <c r="AC34" s="265"/>
      <c r="AD34" s="265"/>
      <c r="AE34" s="265"/>
      <c r="AF34" s="265"/>
      <c r="AG34" s="265"/>
      <c r="AH34" s="265"/>
      <c r="AI34" s="265"/>
      <c r="AJ34" s="265"/>
      <c r="AK34" s="265"/>
      <c r="AL34" s="265"/>
      <c r="AM34" s="265"/>
      <c r="AN34" s="265"/>
      <c r="AO34" s="265"/>
      <c r="AP34" s="265"/>
      <c r="AQ34" s="265"/>
      <c r="AR34" s="26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7.29" defaultRowHeight="15.0"/>
  <cols>
    <col customWidth="1" min="1" max="3" width="9.14"/>
    <col customWidth="1" min="4" max="4" width="15.29"/>
    <col customWidth="1" min="5" max="5" width="25.71"/>
    <col customWidth="1" min="6" max="6" width="13.71"/>
    <col customWidth="1" min="7" max="7" width="6.86"/>
    <col customWidth="1" min="8" max="8" width="4.0"/>
    <col customWidth="1" min="9" max="9" width="15.14"/>
    <col customWidth="1" min="10" max="10" width="13.0"/>
    <col customWidth="1" min="11" max="11" width="5.0"/>
    <col customWidth="1" min="12" max="12" width="8.29"/>
    <col customWidth="1" min="13" max="13" width="6.86"/>
    <col customWidth="1" min="14" max="14" width="8.43"/>
    <col customWidth="1" min="15" max="15" width="8.0"/>
    <col customWidth="1" min="16" max="16" width="9.57"/>
    <col customWidth="1" min="17" max="17" width="39.14"/>
    <col customWidth="1" min="18" max="18" width="19.57"/>
    <col customWidth="1" min="19" max="19" width="16.14"/>
    <col customWidth="1" min="20" max="20" width="14.57"/>
    <col customWidth="1" min="21" max="21" width="20.86"/>
    <col customWidth="1" min="22" max="22" width="23.71"/>
    <col customWidth="1" min="23" max="23" width="18.71"/>
    <col customWidth="1" min="24" max="24" width="13.0"/>
    <col customWidth="1" min="25" max="25" width="26.71"/>
    <col customWidth="1" min="26" max="26" width="14.71"/>
    <col customWidth="1" min="27" max="27" width="20.57"/>
    <col customWidth="1" min="28" max="28" width="15.0"/>
    <col customWidth="1" min="29" max="29" width="29.86"/>
    <col customWidth="1" min="30" max="30" width="12.14"/>
    <col customWidth="1" min="31" max="31" width="18.43"/>
    <col customWidth="1" min="32" max="32" width="8.86"/>
    <col customWidth="1" min="33" max="35" width="9.57"/>
    <col customWidth="1" min="36" max="36" width="8.71"/>
    <col customWidth="1" min="37" max="37" width="6.14"/>
    <col customWidth="1" min="38" max="38" width="6.57"/>
    <col customWidth="1" min="39" max="40" width="8.71"/>
    <col customWidth="1" min="41" max="41" width="6.57"/>
    <col customWidth="1" min="42" max="43" width="8.71"/>
    <col customWidth="1" min="44" max="45" width="9.29"/>
    <col customWidth="1" min="46" max="46" width="11.43"/>
  </cols>
  <sheetData>
    <row r="1">
      <c r="A1" s="340" t="s">
        <v>1355</v>
      </c>
      <c r="B1" s="309" t="s">
        <v>0</v>
      </c>
      <c r="C1" s="309" t="s">
        <v>1356</v>
      </c>
      <c r="D1" s="309" t="s">
        <v>1246</v>
      </c>
      <c r="E1" s="310" t="s">
        <v>331</v>
      </c>
      <c r="F1" s="543" t="s">
        <v>1357</v>
      </c>
      <c r="G1" s="309" t="s">
        <v>1</v>
      </c>
      <c r="H1" s="309" t="s">
        <v>4</v>
      </c>
      <c r="I1" s="543" t="s">
        <v>1358</v>
      </c>
      <c r="J1" s="310" t="s">
        <v>336</v>
      </c>
      <c r="K1" s="310" t="s">
        <v>337</v>
      </c>
      <c r="L1" s="311" t="s">
        <v>332</v>
      </c>
      <c r="M1" s="311" t="s">
        <v>1360</v>
      </c>
      <c r="N1" s="311" t="s">
        <v>1593</v>
      </c>
      <c r="O1" s="311" t="s">
        <v>1594</v>
      </c>
      <c r="P1" s="311" t="s">
        <v>1595</v>
      </c>
      <c r="Q1" s="543" t="s">
        <v>339</v>
      </c>
      <c r="R1" s="339" t="s">
        <v>1361</v>
      </c>
      <c r="S1" s="339" t="s">
        <v>1362</v>
      </c>
      <c r="T1" s="339" t="s">
        <v>1364</v>
      </c>
      <c r="U1" s="340" t="s">
        <v>1407</v>
      </c>
      <c r="V1" s="340" t="s">
        <v>1366</v>
      </c>
      <c r="W1" s="340" t="s">
        <v>1367</v>
      </c>
      <c r="X1" s="339" t="s">
        <v>1597</v>
      </c>
      <c r="Y1" s="339" t="s">
        <v>1598</v>
      </c>
      <c r="Z1" s="341" t="s">
        <v>1368</v>
      </c>
      <c r="AA1" s="341" t="s">
        <v>1369</v>
      </c>
      <c r="AB1" s="342" t="s">
        <v>1370</v>
      </c>
      <c r="AC1" s="342" t="s">
        <v>1371</v>
      </c>
      <c r="AD1" s="343" t="s">
        <v>1372</v>
      </c>
      <c r="AE1" s="344" t="s">
        <v>1373</v>
      </c>
      <c r="AF1" s="310" t="s">
        <v>1374</v>
      </c>
      <c r="AG1" s="182"/>
      <c r="AH1" s="182"/>
      <c r="AI1" s="182"/>
      <c r="AJ1" s="182"/>
      <c r="AK1" s="345" t="s">
        <v>389</v>
      </c>
      <c r="AL1" s="346" t="s">
        <v>420</v>
      </c>
      <c r="AM1" s="347" t="s">
        <v>358</v>
      </c>
      <c r="AN1" s="348" t="s">
        <v>363</v>
      </c>
      <c r="AO1" s="349" t="s">
        <v>413</v>
      </c>
      <c r="AP1" s="350" t="s">
        <v>357</v>
      </c>
      <c r="AQ1" s="351" t="s">
        <v>380</v>
      </c>
      <c r="AR1" s="352" t="s">
        <v>387</v>
      </c>
      <c r="AS1" s="353" t="s">
        <v>1375</v>
      </c>
      <c r="AT1" s="353" t="s">
        <v>1376</v>
      </c>
    </row>
    <row r="2">
      <c r="A2" s="63">
        <v>1.0</v>
      </c>
      <c r="B2" s="48" t="s">
        <v>87</v>
      </c>
      <c r="C2" s="63" t="s">
        <v>90</v>
      </c>
      <c r="D2" s="48" t="s">
        <v>88</v>
      </c>
      <c r="E2" s="98" t="s">
        <v>499</v>
      </c>
      <c r="F2" s="593">
        <v>40206.0</v>
      </c>
      <c r="G2" s="48">
        <v>2.0</v>
      </c>
      <c r="H2" s="48" t="s">
        <v>8</v>
      </c>
      <c r="I2" s="48" t="s">
        <v>7</v>
      </c>
      <c r="J2" s="235" t="s">
        <v>354</v>
      </c>
      <c r="K2" s="235">
        <v>0.0</v>
      </c>
      <c r="L2" s="546">
        <v>120.0</v>
      </c>
      <c r="M2" s="546">
        <v>230.0</v>
      </c>
      <c r="N2" s="235" t="s">
        <v>354</v>
      </c>
      <c r="O2" s="235" t="s">
        <v>354</v>
      </c>
      <c r="P2" s="235" t="s">
        <v>354</v>
      </c>
      <c r="Q2" s="72" t="s">
        <v>500</v>
      </c>
      <c r="R2" s="151">
        <v>33.72</v>
      </c>
      <c r="S2" s="551">
        <v>0.0</v>
      </c>
      <c r="T2" s="551">
        <v>0.0</v>
      </c>
      <c r="U2" s="551">
        <v>0.0</v>
      </c>
      <c r="V2" s="551" t="s">
        <v>354</v>
      </c>
      <c r="W2" s="551" t="s">
        <v>354</v>
      </c>
      <c r="X2" s="221" t="s">
        <v>365</v>
      </c>
      <c r="Y2" s="26" t="s">
        <v>357</v>
      </c>
      <c r="Z2" s="548" t="s">
        <v>365</v>
      </c>
      <c r="AA2" s="73" t="s">
        <v>357</v>
      </c>
      <c r="AB2" s="549" t="s">
        <v>365</v>
      </c>
      <c r="AC2" s="26" t="s">
        <v>357</v>
      </c>
      <c r="AD2" s="36" t="s">
        <v>365</v>
      </c>
      <c r="AE2" s="73" t="s">
        <v>357</v>
      </c>
      <c r="AF2" s="357">
        <f t="shared" ref="AF2:AF76" si="1">sum(COUNTIF(Z2:AE2,"POS"),countif(R2,"&gt;0"))</f>
        <v>4</v>
      </c>
      <c r="AG2" s="182"/>
      <c r="AH2" s="182"/>
      <c r="AI2" s="182"/>
      <c r="AJ2" s="182"/>
      <c r="AK2" s="80">
        <v>0.0</v>
      </c>
      <c r="AL2" s="80">
        <v>0.0</v>
      </c>
      <c r="AM2" s="80">
        <v>0.0</v>
      </c>
      <c r="AN2" s="80">
        <v>0.0</v>
      </c>
      <c r="AO2" s="80">
        <v>0.0</v>
      </c>
      <c r="AP2" s="224">
        <v>3.0</v>
      </c>
      <c r="AQ2" s="80">
        <v>0.0</v>
      </c>
      <c r="AR2" s="80">
        <v>0.0</v>
      </c>
      <c r="AS2" s="358">
        <f t="shared" ref="AS2:AS76" si="2">sum(AK2:AR2)</f>
        <v>3</v>
      </c>
      <c r="AT2" s="358">
        <f t="shared" ref="AT2:AT74" si="3">countif(AK2:AR2,"&gt;0")</f>
        <v>1</v>
      </c>
    </row>
    <row r="3">
      <c r="A3" s="63">
        <v>2.0</v>
      </c>
      <c r="B3" s="48" t="s">
        <v>65</v>
      </c>
      <c r="C3" s="63" t="s">
        <v>69</v>
      </c>
      <c r="D3" s="48" t="s">
        <v>66</v>
      </c>
      <c r="E3" s="482" t="s">
        <v>451</v>
      </c>
      <c r="F3" s="593">
        <v>40206.0</v>
      </c>
      <c r="G3" s="48">
        <v>2.0</v>
      </c>
      <c r="H3" s="48" t="s">
        <v>67</v>
      </c>
      <c r="I3" s="48" t="s">
        <v>7</v>
      </c>
      <c r="J3" s="235" t="s">
        <v>1611</v>
      </c>
      <c r="K3" s="235">
        <v>0.0</v>
      </c>
      <c r="L3" s="546">
        <v>124.0</v>
      </c>
      <c r="M3" s="546">
        <v>265.0</v>
      </c>
      <c r="N3" s="235" t="s">
        <v>354</v>
      </c>
      <c r="O3" s="235" t="s">
        <v>354</v>
      </c>
      <c r="P3" s="235" t="s">
        <v>354</v>
      </c>
      <c r="Q3" s="72" t="s">
        <v>452</v>
      </c>
      <c r="R3" s="551">
        <v>0.0</v>
      </c>
      <c r="S3" s="551">
        <v>0.0</v>
      </c>
      <c r="T3" s="551">
        <v>0.0</v>
      </c>
      <c r="U3" s="551">
        <v>0.0</v>
      </c>
      <c r="V3" s="551" t="s">
        <v>354</v>
      </c>
      <c r="W3" s="551" t="s">
        <v>354</v>
      </c>
      <c r="X3" s="166" t="s">
        <v>356</v>
      </c>
      <c r="Y3" s="166" t="s">
        <v>354</v>
      </c>
      <c r="Z3" s="548" t="s">
        <v>365</v>
      </c>
      <c r="AA3" s="88" t="s">
        <v>358</v>
      </c>
      <c r="AB3" s="549" t="s">
        <v>365</v>
      </c>
      <c r="AC3" s="26" t="s">
        <v>357</v>
      </c>
      <c r="AD3" s="36" t="s">
        <v>365</v>
      </c>
      <c r="AE3" s="88" t="s">
        <v>358</v>
      </c>
      <c r="AF3" s="357">
        <f t="shared" si="1"/>
        <v>3</v>
      </c>
      <c r="AG3" s="182"/>
      <c r="AH3" s="182"/>
      <c r="AI3" s="182"/>
      <c r="AJ3" s="182"/>
      <c r="AK3" s="80">
        <v>0.0</v>
      </c>
      <c r="AL3" s="80">
        <v>0.0</v>
      </c>
      <c r="AM3" s="224">
        <v>2.0</v>
      </c>
      <c r="AN3" s="80">
        <v>0.0</v>
      </c>
      <c r="AO3" s="80">
        <v>0.0</v>
      </c>
      <c r="AP3" s="224">
        <v>1.0</v>
      </c>
      <c r="AQ3" s="80">
        <v>0.0</v>
      </c>
      <c r="AR3" s="80">
        <v>0.0</v>
      </c>
      <c r="AS3" s="358">
        <f t="shared" si="2"/>
        <v>3</v>
      </c>
      <c r="AT3" s="358">
        <f t="shared" si="3"/>
        <v>2</v>
      </c>
    </row>
    <row r="4">
      <c r="A4" s="63">
        <v>3.0</v>
      </c>
      <c r="B4" s="48" t="s">
        <v>5</v>
      </c>
      <c r="C4" s="63" t="s">
        <v>11</v>
      </c>
      <c r="D4" s="48" t="s">
        <v>6</v>
      </c>
      <c r="E4" s="482" t="s">
        <v>1599</v>
      </c>
      <c r="F4" s="593">
        <v>40206.0</v>
      </c>
      <c r="G4" s="48">
        <v>1.0</v>
      </c>
      <c r="H4" s="48" t="s">
        <v>8</v>
      </c>
      <c r="I4" s="63" t="s">
        <v>37</v>
      </c>
      <c r="J4" s="235" t="s">
        <v>354</v>
      </c>
      <c r="K4" s="235">
        <v>0.0</v>
      </c>
      <c r="L4" s="546">
        <v>116.0</v>
      </c>
      <c r="M4" s="546">
        <v>175.0</v>
      </c>
      <c r="N4" s="235" t="s">
        <v>354</v>
      </c>
      <c r="O4" s="235" t="s">
        <v>354</v>
      </c>
      <c r="P4" s="235" t="s">
        <v>354</v>
      </c>
      <c r="Q4" s="72" t="s">
        <v>1612</v>
      </c>
      <c r="R4" s="551">
        <v>0.0</v>
      </c>
      <c r="S4" s="551">
        <v>0.0</v>
      </c>
      <c r="T4" s="551">
        <v>0.0</v>
      </c>
      <c r="U4" s="551">
        <v>0.0</v>
      </c>
      <c r="V4" s="551" t="s">
        <v>354</v>
      </c>
      <c r="W4" s="551" t="s">
        <v>354</v>
      </c>
      <c r="X4" s="166" t="s">
        <v>356</v>
      </c>
      <c r="Y4" s="166" t="s">
        <v>354</v>
      </c>
      <c r="Z4" s="553" t="s">
        <v>356</v>
      </c>
      <c r="AA4" s="554" t="s">
        <v>354</v>
      </c>
      <c r="AB4" s="549" t="s">
        <v>365</v>
      </c>
      <c r="AC4" s="26" t="s">
        <v>357</v>
      </c>
      <c r="AD4" s="36" t="s">
        <v>365</v>
      </c>
      <c r="AE4" s="35" t="s">
        <v>363</v>
      </c>
      <c r="AF4" s="357">
        <f t="shared" si="1"/>
        <v>2</v>
      </c>
      <c r="AG4" s="182"/>
      <c r="AH4" s="182"/>
      <c r="AI4" s="182"/>
      <c r="AJ4" s="182"/>
      <c r="AK4" s="80">
        <v>0.0</v>
      </c>
      <c r="AL4" s="80">
        <v>0.0</v>
      </c>
      <c r="AM4" s="80">
        <v>0.0</v>
      </c>
      <c r="AN4" s="224">
        <v>1.0</v>
      </c>
      <c r="AO4" s="80">
        <v>0.0</v>
      </c>
      <c r="AP4" s="224">
        <v>1.0</v>
      </c>
      <c r="AQ4" s="80">
        <v>0.0</v>
      </c>
      <c r="AR4" s="80">
        <v>0.0</v>
      </c>
      <c r="AS4" s="358">
        <f t="shared" si="2"/>
        <v>2</v>
      </c>
      <c r="AT4" s="358">
        <f t="shared" si="3"/>
        <v>2</v>
      </c>
    </row>
    <row r="5">
      <c r="A5" s="63">
        <v>4.0</v>
      </c>
      <c r="B5" s="48" t="s">
        <v>100</v>
      </c>
      <c r="C5" s="63" t="s">
        <v>103</v>
      </c>
      <c r="D5" s="48" t="s">
        <v>101</v>
      </c>
      <c r="E5" s="482" t="s">
        <v>518</v>
      </c>
      <c r="F5" s="593">
        <v>40206.0</v>
      </c>
      <c r="G5" s="48">
        <v>2.0</v>
      </c>
      <c r="H5" s="48" t="s">
        <v>8</v>
      </c>
      <c r="I5" s="48" t="s">
        <v>7</v>
      </c>
      <c r="J5" s="235" t="s">
        <v>354</v>
      </c>
      <c r="K5" s="235">
        <v>0.0</v>
      </c>
      <c r="L5" s="546">
        <v>120.0</v>
      </c>
      <c r="M5" s="546">
        <v>230.0</v>
      </c>
      <c r="N5" s="235" t="s">
        <v>354</v>
      </c>
      <c r="O5" s="235" t="s">
        <v>354</v>
      </c>
      <c r="P5" s="235" t="s">
        <v>354</v>
      </c>
      <c r="Q5" s="72" t="s">
        <v>589</v>
      </c>
      <c r="R5" s="151">
        <v>32.5</v>
      </c>
      <c r="S5" s="551">
        <v>0.0</v>
      </c>
      <c r="T5" s="551">
        <v>0.0</v>
      </c>
      <c r="U5" s="551">
        <v>0.0</v>
      </c>
      <c r="V5" s="551" t="s">
        <v>354</v>
      </c>
      <c r="W5" s="551" t="s">
        <v>354</v>
      </c>
      <c r="X5" s="221" t="s">
        <v>365</v>
      </c>
      <c r="Y5" s="26" t="s">
        <v>357</v>
      </c>
      <c r="Z5" s="598" t="s">
        <v>365</v>
      </c>
      <c r="AA5" s="391" t="s">
        <v>380</v>
      </c>
      <c r="AB5" s="549" t="s">
        <v>365</v>
      </c>
      <c r="AC5" s="26" t="s">
        <v>357</v>
      </c>
      <c r="AD5" s="43" t="s">
        <v>361</v>
      </c>
      <c r="AE5" s="43" t="s">
        <v>361</v>
      </c>
      <c r="AF5" s="357">
        <f t="shared" si="1"/>
        <v>3</v>
      </c>
      <c r="AG5" s="182"/>
      <c r="AH5" s="182"/>
      <c r="AI5" s="182"/>
      <c r="AJ5" s="182"/>
      <c r="AK5" s="80">
        <v>0.0</v>
      </c>
      <c r="AL5" s="80">
        <v>0.0</v>
      </c>
      <c r="AM5" s="80">
        <v>0.0</v>
      </c>
      <c r="AN5" s="80">
        <v>0.0</v>
      </c>
      <c r="AO5" s="80">
        <v>0.0</v>
      </c>
      <c r="AP5" s="224">
        <v>1.0</v>
      </c>
      <c r="AQ5" s="224">
        <v>1.0</v>
      </c>
      <c r="AR5" s="80">
        <v>0.0</v>
      </c>
      <c r="AS5" s="358">
        <f t="shared" si="2"/>
        <v>2</v>
      </c>
      <c r="AT5" s="358">
        <f t="shared" si="3"/>
        <v>2</v>
      </c>
    </row>
    <row r="6">
      <c r="A6" s="63">
        <v>5.0</v>
      </c>
      <c r="B6" s="48" t="s">
        <v>60</v>
      </c>
      <c r="C6" s="63" t="s">
        <v>64</v>
      </c>
      <c r="D6" s="63" t="s">
        <v>437</v>
      </c>
      <c r="E6" s="482" t="s">
        <v>438</v>
      </c>
      <c r="F6" s="593">
        <v>40206.0</v>
      </c>
      <c r="G6" s="48">
        <v>2.0</v>
      </c>
      <c r="H6" s="48" t="s">
        <v>8</v>
      </c>
      <c r="I6" s="63" t="s">
        <v>433</v>
      </c>
      <c r="J6" s="235" t="s">
        <v>354</v>
      </c>
      <c r="K6" s="235">
        <v>0.0</v>
      </c>
      <c r="L6" s="546">
        <v>111.0</v>
      </c>
      <c r="M6" s="546">
        <v>185.0</v>
      </c>
      <c r="N6" s="235" t="s">
        <v>354</v>
      </c>
      <c r="O6" s="235" t="s">
        <v>354</v>
      </c>
      <c r="P6" s="235" t="s">
        <v>354</v>
      </c>
      <c r="Q6" s="235" t="s">
        <v>354</v>
      </c>
      <c r="R6" s="151">
        <v>39.29</v>
      </c>
      <c r="S6" s="551">
        <v>0.0</v>
      </c>
      <c r="T6" s="551">
        <v>0.0</v>
      </c>
      <c r="U6" s="551">
        <v>0.0</v>
      </c>
      <c r="V6" s="551" t="s">
        <v>354</v>
      </c>
      <c r="W6" s="551" t="s">
        <v>354</v>
      </c>
      <c r="X6" s="221" t="s">
        <v>365</v>
      </c>
      <c r="Y6" s="26" t="s">
        <v>357</v>
      </c>
      <c r="Z6" s="548" t="s">
        <v>365</v>
      </c>
      <c r="AA6" s="73" t="s">
        <v>357</v>
      </c>
      <c r="AB6" s="549" t="s">
        <v>365</v>
      </c>
      <c r="AC6" s="26" t="s">
        <v>357</v>
      </c>
      <c r="AD6" s="36" t="s">
        <v>365</v>
      </c>
      <c r="AE6" s="73" t="s">
        <v>357</v>
      </c>
      <c r="AF6" s="357">
        <f t="shared" si="1"/>
        <v>4</v>
      </c>
      <c r="AG6" s="182"/>
      <c r="AH6" s="182"/>
      <c r="AI6" s="182"/>
      <c r="AJ6" s="182"/>
      <c r="AK6" s="80">
        <v>0.0</v>
      </c>
      <c r="AL6" s="80">
        <v>0.0</v>
      </c>
      <c r="AM6" s="80">
        <v>0.0</v>
      </c>
      <c r="AN6" s="80">
        <v>0.0</v>
      </c>
      <c r="AO6" s="80">
        <v>0.0</v>
      </c>
      <c r="AP6" s="224">
        <v>3.0</v>
      </c>
      <c r="AQ6" s="80">
        <v>0.0</v>
      </c>
      <c r="AR6" s="80">
        <v>0.0</v>
      </c>
      <c r="AS6" s="358">
        <f t="shared" si="2"/>
        <v>3</v>
      </c>
      <c r="AT6" s="358">
        <f t="shared" si="3"/>
        <v>1</v>
      </c>
    </row>
    <row r="7">
      <c r="A7" s="63">
        <v>6.0</v>
      </c>
      <c r="B7" s="48" t="s">
        <v>108</v>
      </c>
      <c r="C7" s="63" t="s">
        <v>111</v>
      </c>
      <c r="D7" s="48" t="s">
        <v>109</v>
      </c>
      <c r="E7" s="482" t="s">
        <v>536</v>
      </c>
      <c r="F7" s="593">
        <v>40206.0</v>
      </c>
      <c r="G7" s="48">
        <v>2.0</v>
      </c>
      <c r="H7" s="48" t="s">
        <v>8</v>
      </c>
      <c r="I7" s="63" t="s">
        <v>433</v>
      </c>
      <c r="J7" s="235" t="s">
        <v>354</v>
      </c>
      <c r="K7" s="235">
        <v>0.0</v>
      </c>
      <c r="L7" s="546">
        <v>109.0</v>
      </c>
      <c r="M7" s="546">
        <v>185.0</v>
      </c>
      <c r="N7" s="235" t="s">
        <v>354</v>
      </c>
      <c r="O7" s="235" t="s">
        <v>354</v>
      </c>
      <c r="P7" s="235" t="s">
        <v>354</v>
      </c>
      <c r="Q7" s="235" t="s">
        <v>354</v>
      </c>
      <c r="R7" s="551">
        <v>0.0</v>
      </c>
      <c r="S7" s="551">
        <v>0.0</v>
      </c>
      <c r="T7" s="551">
        <v>0.0</v>
      </c>
      <c r="U7" s="551">
        <v>0.0</v>
      </c>
      <c r="V7" s="551" t="s">
        <v>354</v>
      </c>
      <c r="W7" s="551" t="s">
        <v>354</v>
      </c>
      <c r="X7" s="166" t="s">
        <v>356</v>
      </c>
      <c r="Y7" s="166" t="s">
        <v>354</v>
      </c>
      <c r="Z7" s="548" t="s">
        <v>365</v>
      </c>
      <c r="AA7" s="88" t="s">
        <v>358</v>
      </c>
      <c r="AB7" s="549" t="s">
        <v>365</v>
      </c>
      <c r="AC7" s="99" t="s">
        <v>363</v>
      </c>
      <c r="AD7" s="36" t="s">
        <v>365</v>
      </c>
      <c r="AE7" s="35" t="s">
        <v>363</v>
      </c>
      <c r="AF7" s="357">
        <f t="shared" si="1"/>
        <v>3</v>
      </c>
      <c r="AG7" s="182"/>
      <c r="AH7" s="182"/>
      <c r="AI7" s="182"/>
      <c r="AJ7" s="182"/>
      <c r="AK7" s="80">
        <v>0.0</v>
      </c>
      <c r="AL7" s="80">
        <v>0.0</v>
      </c>
      <c r="AM7" s="224">
        <v>1.0</v>
      </c>
      <c r="AN7" s="224">
        <v>2.0</v>
      </c>
      <c r="AO7" s="80">
        <v>0.0</v>
      </c>
      <c r="AP7" s="80">
        <v>0.0</v>
      </c>
      <c r="AQ7" s="80">
        <v>0.0</v>
      </c>
      <c r="AR7" s="80">
        <v>0.0</v>
      </c>
      <c r="AS7" s="358">
        <f t="shared" si="2"/>
        <v>3</v>
      </c>
      <c r="AT7" s="358">
        <f t="shared" si="3"/>
        <v>2</v>
      </c>
    </row>
    <row r="8">
      <c r="A8" s="63">
        <v>7.0</v>
      </c>
      <c r="B8" s="48" t="s">
        <v>53</v>
      </c>
      <c r="C8" s="63" t="s">
        <v>57</v>
      </c>
      <c r="D8" s="48" t="s">
        <v>54</v>
      </c>
      <c r="E8" s="98" t="s">
        <v>432</v>
      </c>
      <c r="F8" s="593">
        <v>40206.0</v>
      </c>
      <c r="G8" s="48">
        <v>1.0</v>
      </c>
      <c r="H8" s="48" t="s">
        <v>8</v>
      </c>
      <c r="I8" s="48" t="s">
        <v>7</v>
      </c>
      <c r="J8" s="235" t="s">
        <v>354</v>
      </c>
      <c r="K8" s="235">
        <v>0.0</v>
      </c>
      <c r="L8" s="546">
        <v>118.0</v>
      </c>
      <c r="M8" s="546">
        <v>150.0</v>
      </c>
      <c r="N8" s="235" t="s">
        <v>354</v>
      </c>
      <c r="O8" s="235" t="s">
        <v>354</v>
      </c>
      <c r="P8" s="235" t="s">
        <v>354</v>
      </c>
      <c r="Q8" s="72" t="s">
        <v>1613</v>
      </c>
      <c r="R8" s="551">
        <v>0.0</v>
      </c>
      <c r="S8" s="551">
        <v>0.0</v>
      </c>
      <c r="T8" s="551">
        <v>0.0</v>
      </c>
      <c r="U8" s="551">
        <v>0.0</v>
      </c>
      <c r="V8" s="551" t="s">
        <v>354</v>
      </c>
      <c r="W8" s="551" t="s">
        <v>354</v>
      </c>
      <c r="X8" s="166" t="s">
        <v>356</v>
      </c>
      <c r="Y8" s="166" t="s">
        <v>354</v>
      </c>
      <c r="Z8" s="548" t="s">
        <v>365</v>
      </c>
      <c r="AA8" s="35" t="s">
        <v>363</v>
      </c>
      <c r="AB8" s="549" t="s">
        <v>365</v>
      </c>
      <c r="AC8" s="99" t="s">
        <v>363</v>
      </c>
      <c r="AD8" s="36" t="s">
        <v>365</v>
      </c>
      <c r="AE8" s="35" t="s">
        <v>363</v>
      </c>
      <c r="AF8" s="357">
        <f t="shared" si="1"/>
        <v>3</v>
      </c>
      <c r="AG8" s="182"/>
      <c r="AH8" s="182"/>
      <c r="AI8" s="182"/>
      <c r="AJ8" s="182"/>
      <c r="AK8" s="80">
        <v>0.0</v>
      </c>
      <c r="AL8" s="80">
        <v>0.0</v>
      </c>
      <c r="AM8" s="80">
        <v>0.0</v>
      </c>
      <c r="AN8" s="224">
        <v>3.0</v>
      </c>
      <c r="AO8" s="80">
        <v>0.0</v>
      </c>
      <c r="AP8" s="80">
        <v>0.0</v>
      </c>
      <c r="AQ8" s="80">
        <v>0.0</v>
      </c>
      <c r="AR8" s="80">
        <v>0.0</v>
      </c>
      <c r="AS8" s="358">
        <f t="shared" si="2"/>
        <v>3</v>
      </c>
      <c r="AT8" s="358">
        <f t="shared" si="3"/>
        <v>1</v>
      </c>
    </row>
    <row r="9">
      <c r="A9" s="63">
        <v>8.0</v>
      </c>
      <c r="B9" s="48" t="s">
        <v>112</v>
      </c>
      <c r="C9" s="63" t="s">
        <v>115</v>
      </c>
      <c r="D9" s="48" t="s">
        <v>113</v>
      </c>
      <c r="E9" s="98" t="s">
        <v>541</v>
      </c>
      <c r="F9" s="593">
        <v>40206.0</v>
      </c>
      <c r="G9" s="48">
        <v>2.0</v>
      </c>
      <c r="H9" s="48" t="s">
        <v>8</v>
      </c>
      <c r="I9" s="48" t="s">
        <v>7</v>
      </c>
      <c r="J9" s="235" t="s">
        <v>354</v>
      </c>
      <c r="K9" s="235">
        <v>0.0</v>
      </c>
      <c r="L9" s="546">
        <v>120.0</v>
      </c>
      <c r="M9" s="546">
        <v>235.0</v>
      </c>
      <c r="N9" s="235" t="s">
        <v>354</v>
      </c>
      <c r="O9" s="235" t="s">
        <v>354</v>
      </c>
      <c r="P9" s="235" t="s">
        <v>354</v>
      </c>
      <c r="Q9" s="72" t="s">
        <v>542</v>
      </c>
      <c r="R9" s="151">
        <v>32.38</v>
      </c>
      <c r="S9" s="551">
        <v>0.0</v>
      </c>
      <c r="T9" s="551">
        <v>0.0</v>
      </c>
      <c r="U9" s="551">
        <v>0.0</v>
      </c>
      <c r="V9" s="551" t="s">
        <v>354</v>
      </c>
      <c r="W9" s="551" t="s">
        <v>354</v>
      </c>
      <c r="X9" s="221" t="s">
        <v>365</v>
      </c>
      <c r="Y9" s="58" t="s">
        <v>380</v>
      </c>
      <c r="Z9" s="548" t="s">
        <v>365</v>
      </c>
      <c r="AA9" s="88" t="s">
        <v>358</v>
      </c>
      <c r="AB9" s="561" t="s">
        <v>361</v>
      </c>
      <c r="AC9" s="561" t="s">
        <v>361</v>
      </c>
      <c r="AD9" s="36" t="s">
        <v>365</v>
      </c>
      <c r="AE9" s="88" t="s">
        <v>358</v>
      </c>
      <c r="AF9" s="357">
        <f t="shared" si="1"/>
        <v>3</v>
      </c>
      <c r="AG9" s="182"/>
      <c r="AH9" s="182"/>
      <c r="AI9" s="182"/>
      <c r="AJ9" s="182"/>
      <c r="AK9" s="80">
        <v>0.0</v>
      </c>
      <c r="AL9" s="80">
        <v>0.0</v>
      </c>
      <c r="AM9" s="224">
        <v>2.0</v>
      </c>
      <c r="AN9" s="80">
        <v>0.0</v>
      </c>
      <c r="AO9" s="80">
        <v>0.0</v>
      </c>
      <c r="AP9" s="80">
        <v>0.0</v>
      </c>
      <c r="AQ9" s="224">
        <v>0.0</v>
      </c>
      <c r="AR9" s="80">
        <v>0.0</v>
      </c>
      <c r="AS9" s="358">
        <f t="shared" si="2"/>
        <v>2</v>
      </c>
      <c r="AT9" s="358">
        <f t="shared" si="3"/>
        <v>1</v>
      </c>
    </row>
    <row r="10">
      <c r="A10" s="63">
        <v>9.0</v>
      </c>
      <c r="B10" s="48" t="s">
        <v>93</v>
      </c>
      <c r="C10" s="63" t="s">
        <v>96</v>
      </c>
      <c r="D10" s="48" t="s">
        <v>94</v>
      </c>
      <c r="E10" s="98" t="s">
        <v>506</v>
      </c>
      <c r="F10" s="593">
        <v>40206.0</v>
      </c>
      <c r="G10" s="48">
        <v>2.0</v>
      </c>
      <c r="H10" s="48" t="s">
        <v>67</v>
      </c>
      <c r="I10" s="63" t="s">
        <v>7</v>
      </c>
      <c r="J10" s="235" t="s">
        <v>770</v>
      </c>
      <c r="K10" s="235">
        <v>0.0</v>
      </c>
      <c r="L10" s="546">
        <v>120.0</v>
      </c>
      <c r="M10" s="546">
        <v>245.0</v>
      </c>
      <c r="N10" s="235" t="s">
        <v>354</v>
      </c>
      <c r="O10" s="235" t="s">
        <v>354</v>
      </c>
      <c r="P10" s="235" t="s">
        <v>354</v>
      </c>
      <c r="Q10" s="235" t="s">
        <v>354</v>
      </c>
      <c r="R10" s="151">
        <v>39.69</v>
      </c>
      <c r="S10" s="551">
        <v>0.0</v>
      </c>
      <c r="T10" s="551">
        <v>0.0</v>
      </c>
      <c r="U10" s="551">
        <v>0.0</v>
      </c>
      <c r="V10" s="551" t="s">
        <v>354</v>
      </c>
      <c r="W10" s="551" t="s">
        <v>354</v>
      </c>
      <c r="X10" s="221" t="s">
        <v>365</v>
      </c>
      <c r="Y10" s="26" t="s">
        <v>357</v>
      </c>
      <c r="Z10" s="548" t="s">
        <v>365</v>
      </c>
      <c r="AA10" s="73" t="s">
        <v>357</v>
      </c>
      <c r="AB10" s="549" t="s">
        <v>365</v>
      </c>
      <c r="AC10" s="26" t="s">
        <v>357</v>
      </c>
      <c r="AD10" s="36" t="s">
        <v>365</v>
      </c>
      <c r="AE10" s="73" t="s">
        <v>357</v>
      </c>
      <c r="AF10" s="357">
        <f t="shared" si="1"/>
        <v>4</v>
      </c>
      <c r="AG10" s="182"/>
      <c r="AH10" s="182"/>
      <c r="AI10" s="182"/>
      <c r="AJ10" s="182"/>
      <c r="AK10" s="80">
        <v>0.0</v>
      </c>
      <c r="AL10" s="80">
        <v>0.0</v>
      </c>
      <c r="AM10" s="80">
        <v>0.0</v>
      </c>
      <c r="AN10" s="80">
        <v>0.0</v>
      </c>
      <c r="AO10" s="80">
        <v>0.0</v>
      </c>
      <c r="AP10" s="224">
        <v>3.0</v>
      </c>
      <c r="AQ10" s="80">
        <v>0.0</v>
      </c>
      <c r="AR10" s="80">
        <v>0.0</v>
      </c>
      <c r="AS10" s="358">
        <f t="shared" si="2"/>
        <v>3</v>
      </c>
      <c r="AT10" s="358">
        <f t="shared" si="3"/>
        <v>1</v>
      </c>
    </row>
    <row r="11">
      <c r="A11" s="63">
        <v>10.0</v>
      </c>
      <c r="B11" s="48" t="s">
        <v>12</v>
      </c>
      <c r="C11" s="63" t="s">
        <v>16</v>
      </c>
      <c r="D11" s="48" t="s">
        <v>13</v>
      </c>
      <c r="E11" s="482" t="s">
        <v>374</v>
      </c>
      <c r="F11" s="593">
        <v>40206.0</v>
      </c>
      <c r="G11" s="48">
        <v>1.0</v>
      </c>
      <c r="H11" s="48" t="s">
        <v>8</v>
      </c>
      <c r="I11" s="63" t="s">
        <v>37</v>
      </c>
      <c r="J11" s="235" t="s">
        <v>354</v>
      </c>
      <c r="K11" s="235">
        <v>0.0</v>
      </c>
      <c r="L11" s="546">
        <v>122.0</v>
      </c>
      <c r="M11" s="546">
        <v>175.0</v>
      </c>
      <c r="N11" s="235" t="s">
        <v>354</v>
      </c>
      <c r="O11" s="235" t="s">
        <v>354</v>
      </c>
      <c r="P11" s="235" t="s">
        <v>354</v>
      </c>
      <c r="Q11" s="72" t="s">
        <v>377</v>
      </c>
      <c r="R11" s="151">
        <v>30.03</v>
      </c>
      <c r="S11" s="551">
        <v>0.0</v>
      </c>
      <c r="T11" s="551">
        <v>0.0</v>
      </c>
      <c r="U11" s="551">
        <v>0.0</v>
      </c>
      <c r="V11" s="551" t="s">
        <v>354</v>
      </c>
      <c r="W11" s="551" t="s">
        <v>354</v>
      </c>
      <c r="X11" s="221" t="s">
        <v>365</v>
      </c>
      <c r="Y11" s="26" t="s">
        <v>357</v>
      </c>
      <c r="Z11" s="548" t="s">
        <v>365</v>
      </c>
      <c r="AA11" s="73" t="s">
        <v>357</v>
      </c>
      <c r="AB11" s="549" t="s">
        <v>365</v>
      </c>
      <c r="AC11" s="26" t="s">
        <v>357</v>
      </c>
      <c r="AD11" s="36" t="s">
        <v>365</v>
      </c>
      <c r="AE11" s="35" t="s">
        <v>363</v>
      </c>
      <c r="AF11" s="357">
        <f t="shared" si="1"/>
        <v>4</v>
      </c>
      <c r="AG11" s="182"/>
      <c r="AH11" s="182"/>
      <c r="AI11" s="182"/>
      <c r="AJ11" s="182"/>
      <c r="AK11" s="80">
        <v>0.0</v>
      </c>
      <c r="AL11" s="80">
        <v>0.0</v>
      </c>
      <c r="AM11" s="80">
        <v>0.0</v>
      </c>
      <c r="AN11" s="224">
        <v>1.0</v>
      </c>
      <c r="AO11" s="80">
        <v>0.0</v>
      </c>
      <c r="AP11" s="224">
        <v>2.0</v>
      </c>
      <c r="AQ11" s="80">
        <v>0.0</v>
      </c>
      <c r="AR11" s="80">
        <v>0.0</v>
      </c>
      <c r="AS11" s="358">
        <f t="shared" si="2"/>
        <v>3</v>
      </c>
      <c r="AT11" s="358">
        <f t="shared" si="3"/>
        <v>2</v>
      </c>
    </row>
    <row r="12">
      <c r="A12" s="63">
        <v>11.0</v>
      </c>
      <c r="B12" s="48" t="s">
        <v>23</v>
      </c>
      <c r="C12" s="63" t="s">
        <v>27</v>
      </c>
      <c r="D12" s="48" t="s">
        <v>24</v>
      </c>
      <c r="E12" s="482" t="s">
        <v>391</v>
      </c>
      <c r="F12" s="593">
        <v>40206.0</v>
      </c>
      <c r="G12" s="48">
        <v>1.0</v>
      </c>
      <c r="H12" s="48" t="s">
        <v>8</v>
      </c>
      <c r="I12" s="63" t="s">
        <v>37</v>
      </c>
      <c r="J12" s="235" t="s">
        <v>354</v>
      </c>
      <c r="K12" s="235">
        <v>0.0</v>
      </c>
      <c r="L12" s="546">
        <v>127.0</v>
      </c>
      <c r="M12" s="546">
        <v>200.0</v>
      </c>
      <c r="N12" s="235" t="s">
        <v>354</v>
      </c>
      <c r="O12" s="235" t="s">
        <v>354</v>
      </c>
      <c r="P12" s="235" t="s">
        <v>354</v>
      </c>
      <c r="Q12" s="235" t="s">
        <v>354</v>
      </c>
      <c r="R12" s="551">
        <v>0.0</v>
      </c>
      <c r="S12" s="551">
        <v>0.0</v>
      </c>
      <c r="T12" s="551">
        <v>0.0</v>
      </c>
      <c r="U12" s="551">
        <v>0.0</v>
      </c>
      <c r="V12" s="551" t="s">
        <v>354</v>
      </c>
      <c r="W12" s="551" t="s">
        <v>354</v>
      </c>
      <c r="X12" s="221" t="s">
        <v>365</v>
      </c>
      <c r="Y12" s="26" t="s">
        <v>357</v>
      </c>
      <c r="Z12" s="548" t="s">
        <v>365</v>
      </c>
      <c r="AA12" s="73" t="s">
        <v>357</v>
      </c>
      <c r="AB12" s="549" t="s">
        <v>365</v>
      </c>
      <c r="AC12" s="26" t="s">
        <v>357</v>
      </c>
      <c r="AD12" s="36" t="s">
        <v>365</v>
      </c>
      <c r="AE12" s="73" t="s">
        <v>357</v>
      </c>
      <c r="AF12" s="357">
        <f t="shared" si="1"/>
        <v>3</v>
      </c>
      <c r="AG12" s="182"/>
      <c r="AH12" s="182"/>
      <c r="AI12" s="182"/>
      <c r="AJ12" s="182"/>
      <c r="AK12" s="80">
        <v>0.0</v>
      </c>
      <c r="AL12" s="80">
        <v>0.0</v>
      </c>
      <c r="AM12" s="80">
        <v>0.0</v>
      </c>
      <c r="AN12" s="80">
        <v>0.0</v>
      </c>
      <c r="AO12" s="80">
        <v>0.0</v>
      </c>
      <c r="AP12" s="224">
        <v>3.0</v>
      </c>
      <c r="AQ12" s="80">
        <v>0.0</v>
      </c>
      <c r="AR12" s="80">
        <v>0.0</v>
      </c>
      <c r="AS12" s="358">
        <f t="shared" si="2"/>
        <v>3</v>
      </c>
      <c r="AT12" s="358">
        <f t="shared" si="3"/>
        <v>1</v>
      </c>
    </row>
    <row r="13">
      <c r="A13" s="63">
        <v>12.0</v>
      </c>
      <c r="B13" s="48" t="s">
        <v>83</v>
      </c>
      <c r="C13" s="63" t="s">
        <v>86</v>
      </c>
      <c r="D13" s="48" t="s">
        <v>84</v>
      </c>
      <c r="E13" s="482" t="s">
        <v>474</v>
      </c>
      <c r="F13" s="593">
        <v>40206.0</v>
      </c>
      <c r="G13" s="48">
        <v>2.0</v>
      </c>
      <c r="H13" s="48" t="s">
        <v>67</v>
      </c>
      <c r="I13" s="48" t="s">
        <v>7</v>
      </c>
      <c r="J13" s="235" t="s">
        <v>1057</v>
      </c>
      <c r="K13" s="235">
        <v>0.0</v>
      </c>
      <c r="L13" s="546">
        <v>121.0</v>
      </c>
      <c r="M13" s="546">
        <v>285.0</v>
      </c>
      <c r="N13" s="235" t="s">
        <v>354</v>
      </c>
      <c r="O13" s="235" t="s">
        <v>354</v>
      </c>
      <c r="P13" s="235" t="s">
        <v>354</v>
      </c>
      <c r="Q13" s="72" t="s">
        <v>476</v>
      </c>
      <c r="R13" s="557">
        <v>40.43</v>
      </c>
      <c r="S13" s="551">
        <v>0.0</v>
      </c>
      <c r="T13" s="551">
        <v>0.0</v>
      </c>
      <c r="U13" s="551">
        <v>0.0</v>
      </c>
      <c r="V13" s="551" t="s">
        <v>354</v>
      </c>
      <c r="W13" s="551" t="s">
        <v>354</v>
      </c>
      <c r="X13" s="166" t="s">
        <v>356</v>
      </c>
      <c r="Y13" s="166" t="s">
        <v>354</v>
      </c>
      <c r="Z13" s="598" t="s">
        <v>365</v>
      </c>
      <c r="AA13" s="391" t="s">
        <v>380</v>
      </c>
      <c r="AB13" s="555" t="s">
        <v>356</v>
      </c>
      <c r="AC13" s="555" t="s">
        <v>354</v>
      </c>
      <c r="AD13" s="600" t="s">
        <v>365</v>
      </c>
      <c r="AE13" s="391" t="s">
        <v>380</v>
      </c>
      <c r="AF13" s="357">
        <f t="shared" si="1"/>
        <v>3</v>
      </c>
      <c r="AG13" s="182"/>
      <c r="AH13" s="182"/>
      <c r="AI13" s="182"/>
      <c r="AJ13" s="182"/>
      <c r="AK13" s="80">
        <v>0.0</v>
      </c>
      <c r="AL13" s="80">
        <v>0.0</v>
      </c>
      <c r="AM13" s="80">
        <v>0.0</v>
      </c>
      <c r="AN13" s="80">
        <v>0.0</v>
      </c>
      <c r="AO13" s="80">
        <v>0.0</v>
      </c>
      <c r="AP13" s="80">
        <v>0.0</v>
      </c>
      <c r="AQ13" s="224">
        <v>2.0</v>
      </c>
      <c r="AR13" s="80">
        <v>0.0</v>
      </c>
      <c r="AS13" s="358">
        <f t="shared" si="2"/>
        <v>2</v>
      </c>
      <c r="AT13" s="358">
        <f t="shared" si="3"/>
        <v>1</v>
      </c>
    </row>
    <row r="14">
      <c r="A14" s="63">
        <v>13.0</v>
      </c>
      <c r="B14" s="48" t="s">
        <v>17</v>
      </c>
      <c r="C14" s="63" t="s">
        <v>17</v>
      </c>
      <c r="D14" s="48" t="s">
        <v>17</v>
      </c>
      <c r="E14" s="482" t="s">
        <v>17</v>
      </c>
      <c r="F14" s="593">
        <v>40206.0</v>
      </c>
      <c r="G14" s="63">
        <v>3.0</v>
      </c>
      <c r="H14" s="63" t="s">
        <v>354</v>
      </c>
      <c r="I14" s="63" t="s">
        <v>354</v>
      </c>
      <c r="J14" s="63" t="s">
        <v>354</v>
      </c>
      <c r="K14" s="63" t="s">
        <v>354</v>
      </c>
      <c r="L14" s="550" t="s">
        <v>354</v>
      </c>
      <c r="M14" s="550" t="s">
        <v>354</v>
      </c>
      <c r="N14" s="63" t="s">
        <v>354</v>
      </c>
      <c r="O14" s="63" t="s">
        <v>354</v>
      </c>
      <c r="P14" s="63" t="s">
        <v>354</v>
      </c>
      <c r="Q14" s="63" t="s">
        <v>354</v>
      </c>
      <c r="R14" s="551">
        <v>0.0</v>
      </c>
      <c r="S14" s="551">
        <v>0.0</v>
      </c>
      <c r="T14" s="551">
        <v>0.0</v>
      </c>
      <c r="U14" s="551">
        <v>0.0</v>
      </c>
      <c r="V14" s="551" t="s">
        <v>354</v>
      </c>
      <c r="W14" s="551" t="s">
        <v>354</v>
      </c>
      <c r="X14" s="166" t="s">
        <v>356</v>
      </c>
      <c r="Y14" s="166" t="s">
        <v>354</v>
      </c>
      <c r="Z14" s="553" t="s">
        <v>356</v>
      </c>
      <c r="AA14" s="554" t="s">
        <v>354</v>
      </c>
      <c r="AB14" s="555" t="s">
        <v>356</v>
      </c>
      <c r="AC14" s="555" t="s">
        <v>354</v>
      </c>
      <c r="AD14" s="36" t="s">
        <v>365</v>
      </c>
      <c r="AE14" s="73" t="s">
        <v>357</v>
      </c>
      <c r="AF14" s="357">
        <f t="shared" si="1"/>
        <v>1</v>
      </c>
      <c r="AG14" s="182"/>
      <c r="AH14" s="182"/>
      <c r="AI14" s="182"/>
      <c r="AJ14" s="182"/>
      <c r="AK14" s="80">
        <v>0.0</v>
      </c>
      <c r="AL14" s="80">
        <v>0.0</v>
      </c>
      <c r="AM14" s="80">
        <v>0.0</v>
      </c>
      <c r="AN14" s="80">
        <v>0.0</v>
      </c>
      <c r="AO14" s="80">
        <v>0.0</v>
      </c>
      <c r="AP14" s="224">
        <v>1.0</v>
      </c>
      <c r="AQ14" s="80">
        <v>0.0</v>
      </c>
      <c r="AR14" s="80">
        <v>0.0</v>
      </c>
      <c r="AS14" s="363">
        <f t="shared" si="2"/>
        <v>1</v>
      </c>
      <c r="AT14" s="363">
        <f t="shared" si="3"/>
        <v>1</v>
      </c>
    </row>
    <row r="15">
      <c r="A15" s="63">
        <v>14.0</v>
      </c>
      <c r="B15" s="48" t="s">
        <v>35</v>
      </c>
      <c r="C15" s="63" t="s">
        <v>40</v>
      </c>
      <c r="D15" s="48" t="s">
        <v>36</v>
      </c>
      <c r="E15" s="482" t="s">
        <v>411</v>
      </c>
      <c r="F15" s="593">
        <v>40206.0</v>
      </c>
      <c r="G15" s="48">
        <v>1.0</v>
      </c>
      <c r="H15" s="48" t="s">
        <v>8</v>
      </c>
      <c r="I15" s="63" t="s">
        <v>433</v>
      </c>
      <c r="J15" s="235" t="s">
        <v>354</v>
      </c>
      <c r="K15" s="235">
        <v>0.0</v>
      </c>
      <c r="L15" s="546">
        <v>115.0</v>
      </c>
      <c r="M15" s="546">
        <v>155.0</v>
      </c>
      <c r="N15" s="235" t="s">
        <v>354</v>
      </c>
      <c r="O15" s="235" t="s">
        <v>354</v>
      </c>
      <c r="P15" s="235" t="s">
        <v>354</v>
      </c>
      <c r="Q15" s="72" t="s">
        <v>414</v>
      </c>
      <c r="R15" s="551">
        <v>0.0</v>
      </c>
      <c r="S15" s="551">
        <v>0.0</v>
      </c>
      <c r="T15" s="551">
        <v>0.0</v>
      </c>
      <c r="U15" s="551">
        <v>0.0</v>
      </c>
      <c r="V15" s="551" t="s">
        <v>354</v>
      </c>
      <c r="W15" s="551" t="s">
        <v>354</v>
      </c>
      <c r="X15" s="166" t="s">
        <v>356</v>
      </c>
      <c r="Y15" s="166" t="s">
        <v>354</v>
      </c>
      <c r="Z15" s="553" t="s">
        <v>356</v>
      </c>
      <c r="AA15" s="554" t="s">
        <v>354</v>
      </c>
      <c r="AB15" s="555" t="s">
        <v>356</v>
      </c>
      <c r="AC15" s="555" t="s">
        <v>354</v>
      </c>
      <c r="AD15" s="23" t="s">
        <v>356</v>
      </c>
      <c r="AE15" s="19" t="s">
        <v>354</v>
      </c>
      <c r="AF15" s="46">
        <f t="shared" si="1"/>
        <v>0</v>
      </c>
      <c r="AG15" s="182"/>
      <c r="AH15" s="182"/>
      <c r="AI15" s="182"/>
      <c r="AJ15" s="182"/>
      <c r="AK15" s="80">
        <v>0.0</v>
      </c>
      <c r="AL15" s="80">
        <v>0.0</v>
      </c>
      <c r="AM15" s="80">
        <v>0.0</v>
      </c>
      <c r="AN15" s="80">
        <v>0.0</v>
      </c>
      <c r="AO15" s="80">
        <v>0.0</v>
      </c>
      <c r="AP15" s="80">
        <v>0.0</v>
      </c>
      <c r="AQ15" s="80">
        <v>0.0</v>
      </c>
      <c r="AR15" s="80">
        <v>0.0</v>
      </c>
      <c r="AS15" s="182">
        <f t="shared" si="2"/>
        <v>0</v>
      </c>
      <c r="AT15" s="182">
        <f t="shared" si="3"/>
        <v>0</v>
      </c>
    </row>
    <row r="16">
      <c r="A16" s="63">
        <v>15.0</v>
      </c>
      <c r="B16" s="48" t="s">
        <v>41</v>
      </c>
      <c r="C16" s="63" t="s">
        <v>45</v>
      </c>
      <c r="D16" s="48" t="s">
        <v>42</v>
      </c>
      <c r="E16" s="482" t="s">
        <v>421</v>
      </c>
      <c r="F16" s="593">
        <v>40206.0</v>
      </c>
      <c r="G16" s="48">
        <v>1.0</v>
      </c>
      <c r="H16" s="48" t="s">
        <v>8</v>
      </c>
      <c r="I16" s="48" t="s">
        <v>7</v>
      </c>
      <c r="J16" s="235" t="s">
        <v>354</v>
      </c>
      <c r="K16" s="235">
        <v>0.0</v>
      </c>
      <c r="L16" s="546">
        <v>122.0</v>
      </c>
      <c r="M16" s="546">
        <v>245.0</v>
      </c>
      <c r="N16" s="235" t="s">
        <v>354</v>
      </c>
      <c r="O16" s="235" t="s">
        <v>354</v>
      </c>
      <c r="P16" s="235" t="s">
        <v>354</v>
      </c>
      <c r="Q16" s="235" t="s">
        <v>354</v>
      </c>
      <c r="R16" s="551">
        <v>0.0</v>
      </c>
      <c r="S16" s="551">
        <v>0.0</v>
      </c>
      <c r="T16" s="551">
        <v>0.0</v>
      </c>
      <c r="U16" s="551">
        <v>0.0</v>
      </c>
      <c r="V16" s="551" t="s">
        <v>354</v>
      </c>
      <c r="W16" s="551" t="s">
        <v>354</v>
      </c>
      <c r="X16" s="166" t="s">
        <v>356</v>
      </c>
      <c r="Y16" s="166" t="s">
        <v>354</v>
      </c>
      <c r="Z16" s="553" t="s">
        <v>356</v>
      </c>
      <c r="AA16" s="554" t="s">
        <v>354</v>
      </c>
      <c r="AB16" s="555" t="s">
        <v>356</v>
      </c>
      <c r="AC16" s="555" t="s">
        <v>354</v>
      </c>
      <c r="AD16" s="36" t="s">
        <v>365</v>
      </c>
      <c r="AE16" s="88" t="s">
        <v>358</v>
      </c>
      <c r="AF16" s="357">
        <f t="shared" si="1"/>
        <v>1</v>
      </c>
      <c r="AG16" s="182"/>
      <c r="AH16" s="182"/>
      <c r="AI16" s="182"/>
      <c r="AJ16" s="182"/>
      <c r="AK16" s="80">
        <v>0.0</v>
      </c>
      <c r="AL16" s="80">
        <v>0.0</v>
      </c>
      <c r="AM16" s="224">
        <v>1.0</v>
      </c>
      <c r="AN16" s="80">
        <v>0.0</v>
      </c>
      <c r="AO16" s="80">
        <v>0.0</v>
      </c>
      <c r="AP16" s="80">
        <v>0.0</v>
      </c>
      <c r="AQ16" s="80">
        <v>0.0</v>
      </c>
      <c r="AR16" s="80">
        <v>0.0</v>
      </c>
      <c r="AS16" s="363">
        <f t="shared" si="2"/>
        <v>1</v>
      </c>
      <c r="AT16" s="363">
        <f t="shared" si="3"/>
        <v>1</v>
      </c>
    </row>
    <row r="17">
      <c r="A17" s="63">
        <v>16.0</v>
      </c>
      <c r="B17" s="48" t="s">
        <v>18</v>
      </c>
      <c r="C17" s="63" t="s">
        <v>22</v>
      </c>
      <c r="D17" s="48" t="s">
        <v>19</v>
      </c>
      <c r="E17" s="482" t="s">
        <v>383</v>
      </c>
      <c r="F17" s="593">
        <v>40206.0</v>
      </c>
      <c r="G17" s="48">
        <v>1.0</v>
      </c>
      <c r="H17" s="48" t="s">
        <v>8</v>
      </c>
      <c r="I17" s="48" t="s">
        <v>7</v>
      </c>
      <c r="J17" s="235" t="s">
        <v>354</v>
      </c>
      <c r="K17" s="235">
        <v>0.0</v>
      </c>
      <c r="L17" s="546">
        <v>123.0</v>
      </c>
      <c r="M17" s="546">
        <v>210.0</v>
      </c>
      <c r="N17" s="235" t="s">
        <v>354</v>
      </c>
      <c r="O17" s="235" t="s">
        <v>354</v>
      </c>
      <c r="P17" s="235" t="s">
        <v>354</v>
      </c>
      <c r="Q17" s="72" t="s">
        <v>386</v>
      </c>
      <c r="R17" s="551">
        <v>0.0</v>
      </c>
      <c r="S17" s="551">
        <v>0.0</v>
      </c>
      <c r="T17" s="551">
        <v>0.0</v>
      </c>
      <c r="U17" s="551">
        <v>0.0</v>
      </c>
      <c r="V17" s="551" t="s">
        <v>354</v>
      </c>
      <c r="W17" s="551" t="s">
        <v>354</v>
      </c>
      <c r="X17" s="166" t="s">
        <v>356</v>
      </c>
      <c r="Y17" s="166" t="s">
        <v>354</v>
      </c>
      <c r="Z17" s="598" t="s">
        <v>365</v>
      </c>
      <c r="AA17" s="366" t="s">
        <v>387</v>
      </c>
      <c r="AB17" s="599" t="s">
        <v>365</v>
      </c>
      <c r="AC17" s="366" t="s">
        <v>387</v>
      </c>
      <c r="AD17" s="23" t="s">
        <v>356</v>
      </c>
      <c r="AE17" s="19" t="s">
        <v>354</v>
      </c>
      <c r="AF17" s="357">
        <f t="shared" si="1"/>
        <v>2</v>
      </c>
      <c r="AG17" s="182"/>
      <c r="AH17" s="182"/>
      <c r="AI17" s="182"/>
      <c r="AJ17" s="182"/>
      <c r="AK17" s="80">
        <v>0.0</v>
      </c>
      <c r="AL17" s="80">
        <v>0.0</v>
      </c>
      <c r="AM17" s="80">
        <v>0.0</v>
      </c>
      <c r="AN17" s="80">
        <v>0.0</v>
      </c>
      <c r="AO17" s="80">
        <v>0.0</v>
      </c>
      <c r="AP17" s="80">
        <v>0.0</v>
      </c>
      <c r="AQ17" s="80">
        <v>0.0</v>
      </c>
      <c r="AR17" s="224">
        <v>2.0</v>
      </c>
      <c r="AS17" s="358">
        <f t="shared" si="2"/>
        <v>2</v>
      </c>
      <c r="AT17" s="358">
        <f t="shared" si="3"/>
        <v>1</v>
      </c>
    </row>
    <row r="18">
      <c r="A18" s="63">
        <v>17.0</v>
      </c>
      <c r="B18" s="48" t="s">
        <v>70</v>
      </c>
      <c r="C18" s="63" t="s">
        <v>73</v>
      </c>
      <c r="D18" s="48" t="s">
        <v>71</v>
      </c>
      <c r="E18" s="482" t="s">
        <v>459</v>
      </c>
      <c r="F18" s="593">
        <v>40206.0</v>
      </c>
      <c r="G18" s="48">
        <v>2.0</v>
      </c>
      <c r="H18" s="48" t="s">
        <v>8</v>
      </c>
      <c r="I18" s="48" t="s">
        <v>7</v>
      </c>
      <c r="J18" s="235" t="s">
        <v>354</v>
      </c>
      <c r="K18" s="235">
        <v>0.0</v>
      </c>
      <c r="L18" s="546">
        <v>124.0</v>
      </c>
      <c r="M18" s="546">
        <v>250.0</v>
      </c>
      <c r="N18" s="235" t="s">
        <v>354</v>
      </c>
      <c r="O18" s="235" t="s">
        <v>354</v>
      </c>
      <c r="P18" s="235" t="s">
        <v>354</v>
      </c>
      <c r="Q18" s="235" t="s">
        <v>354</v>
      </c>
      <c r="R18" s="551">
        <v>0.0</v>
      </c>
      <c r="S18" s="551">
        <v>0.0</v>
      </c>
      <c r="T18" s="551">
        <v>0.0</v>
      </c>
      <c r="U18" s="551">
        <v>0.0</v>
      </c>
      <c r="V18" s="551" t="s">
        <v>354</v>
      </c>
      <c r="W18" s="551" t="s">
        <v>354</v>
      </c>
      <c r="X18" s="166" t="s">
        <v>356</v>
      </c>
      <c r="Y18" s="166" t="s">
        <v>354</v>
      </c>
      <c r="Z18" s="548" t="s">
        <v>365</v>
      </c>
      <c r="AA18" s="35" t="s">
        <v>363</v>
      </c>
      <c r="AB18" s="549" t="s">
        <v>365</v>
      </c>
      <c r="AC18" s="99" t="s">
        <v>363</v>
      </c>
      <c r="AD18" s="36" t="s">
        <v>365</v>
      </c>
      <c r="AE18" s="111" t="s">
        <v>363</v>
      </c>
      <c r="AF18" s="357">
        <f t="shared" si="1"/>
        <v>3</v>
      </c>
      <c r="AG18" s="182"/>
      <c r="AH18" s="182"/>
      <c r="AI18" s="182"/>
      <c r="AJ18" s="182"/>
      <c r="AK18" s="80">
        <v>0.0</v>
      </c>
      <c r="AL18" s="80">
        <v>0.0</v>
      </c>
      <c r="AM18" s="80">
        <v>0.0</v>
      </c>
      <c r="AN18" s="224">
        <v>3.0</v>
      </c>
      <c r="AO18" s="80">
        <v>0.0</v>
      </c>
      <c r="AP18" s="80">
        <v>0.0</v>
      </c>
      <c r="AQ18" s="80">
        <v>0.0</v>
      </c>
      <c r="AR18" s="80">
        <v>0.0</v>
      </c>
      <c r="AS18" s="358">
        <f t="shared" si="2"/>
        <v>3</v>
      </c>
      <c r="AT18" s="358">
        <f t="shared" si="3"/>
        <v>1</v>
      </c>
    </row>
    <row r="19">
      <c r="A19" s="63">
        <v>18.0</v>
      </c>
      <c r="B19" s="48" t="s">
        <v>104</v>
      </c>
      <c r="C19" s="63" t="s">
        <v>107</v>
      </c>
      <c r="D19" s="48" t="s">
        <v>105</v>
      </c>
      <c r="E19" s="482" t="s">
        <v>522</v>
      </c>
      <c r="F19" s="593">
        <v>40206.0</v>
      </c>
      <c r="G19" s="48">
        <v>2.0</v>
      </c>
      <c r="H19" s="48" t="s">
        <v>67</v>
      </c>
      <c r="I19" s="48" t="s">
        <v>7</v>
      </c>
      <c r="J19" s="235" t="s">
        <v>1611</v>
      </c>
      <c r="K19" s="235">
        <v>0.0</v>
      </c>
      <c r="L19" s="546">
        <v>126.0</v>
      </c>
      <c r="M19" s="546">
        <v>255.0</v>
      </c>
      <c r="N19" s="235" t="s">
        <v>354</v>
      </c>
      <c r="O19" s="235" t="s">
        <v>354</v>
      </c>
      <c r="P19" s="235" t="s">
        <v>354</v>
      </c>
      <c r="Q19" s="72" t="s">
        <v>525</v>
      </c>
      <c r="R19" s="151">
        <v>30.63</v>
      </c>
      <c r="S19" s="551">
        <v>0.0</v>
      </c>
      <c r="T19" s="551">
        <v>0.0</v>
      </c>
      <c r="U19" s="551">
        <v>0.0</v>
      </c>
      <c r="V19" s="551" t="s">
        <v>354</v>
      </c>
      <c r="W19" s="551" t="s">
        <v>354</v>
      </c>
      <c r="X19" s="221" t="s">
        <v>365</v>
      </c>
      <c r="Y19" s="26" t="s">
        <v>357</v>
      </c>
      <c r="Z19" s="548" t="s">
        <v>365</v>
      </c>
      <c r="AA19" s="73" t="s">
        <v>357</v>
      </c>
      <c r="AB19" s="549" t="s">
        <v>365</v>
      </c>
      <c r="AC19" s="26" t="s">
        <v>357</v>
      </c>
      <c r="AD19" s="43" t="s">
        <v>361</v>
      </c>
      <c r="AE19" s="43" t="s">
        <v>361</v>
      </c>
      <c r="AF19" s="357">
        <f t="shared" si="1"/>
        <v>3</v>
      </c>
      <c r="AG19" s="182"/>
      <c r="AH19" s="182"/>
      <c r="AI19" s="182"/>
      <c r="AJ19" s="182"/>
      <c r="AK19" s="80">
        <v>0.0</v>
      </c>
      <c r="AL19" s="80">
        <v>0.0</v>
      </c>
      <c r="AM19" s="80">
        <v>0.0</v>
      </c>
      <c r="AN19" s="80">
        <v>0.0</v>
      </c>
      <c r="AO19" s="80">
        <v>0.0</v>
      </c>
      <c r="AP19" s="224">
        <v>2.0</v>
      </c>
      <c r="AQ19" s="80">
        <v>0.0</v>
      </c>
      <c r="AR19" s="80">
        <v>0.0</v>
      </c>
      <c r="AS19" s="358">
        <f t="shared" si="2"/>
        <v>2</v>
      </c>
      <c r="AT19" s="358">
        <f t="shared" si="3"/>
        <v>1</v>
      </c>
    </row>
    <row r="20">
      <c r="A20" s="63">
        <v>19.0</v>
      </c>
      <c r="B20" s="48" t="s">
        <v>28</v>
      </c>
      <c r="C20" s="63" t="s">
        <v>32</v>
      </c>
      <c r="D20" s="48" t="s">
        <v>29</v>
      </c>
      <c r="E20" s="482" t="s">
        <v>401</v>
      </c>
      <c r="F20" s="593">
        <v>40206.0</v>
      </c>
      <c r="G20" s="48">
        <v>1.0</v>
      </c>
      <c r="H20" s="48" t="s">
        <v>8</v>
      </c>
      <c r="I20" s="48" t="s">
        <v>7</v>
      </c>
      <c r="J20" s="235" t="s">
        <v>354</v>
      </c>
      <c r="K20" s="235">
        <v>0.0</v>
      </c>
      <c r="L20" s="546">
        <v>117.0</v>
      </c>
      <c r="M20" s="546">
        <v>195.0</v>
      </c>
      <c r="N20" s="235" t="s">
        <v>354</v>
      </c>
      <c r="O20" s="235" t="s">
        <v>354</v>
      </c>
      <c r="P20" s="235" t="s">
        <v>354</v>
      </c>
      <c r="Q20" s="72" t="s">
        <v>402</v>
      </c>
      <c r="R20" s="551">
        <v>0.0</v>
      </c>
      <c r="S20" s="551">
        <v>0.0</v>
      </c>
      <c r="T20" s="551">
        <v>0.0</v>
      </c>
      <c r="U20" s="551">
        <v>0.0</v>
      </c>
      <c r="V20" s="551" t="s">
        <v>354</v>
      </c>
      <c r="W20" s="551" t="s">
        <v>354</v>
      </c>
      <c r="X20" s="166" t="s">
        <v>356</v>
      </c>
      <c r="Y20" s="166" t="s">
        <v>354</v>
      </c>
      <c r="Z20" s="553" t="s">
        <v>356</v>
      </c>
      <c r="AA20" s="554" t="s">
        <v>354</v>
      </c>
      <c r="AB20" s="549" t="s">
        <v>365</v>
      </c>
      <c r="AC20" s="26" t="s">
        <v>357</v>
      </c>
      <c r="AD20" s="23" t="s">
        <v>356</v>
      </c>
      <c r="AE20" s="19" t="s">
        <v>354</v>
      </c>
      <c r="AF20" s="357">
        <f t="shared" si="1"/>
        <v>1</v>
      </c>
      <c r="AG20" s="182"/>
      <c r="AH20" s="182"/>
      <c r="AI20" s="182"/>
      <c r="AJ20" s="182"/>
      <c r="AK20" s="80">
        <v>0.0</v>
      </c>
      <c r="AL20" s="80">
        <v>0.0</v>
      </c>
      <c r="AM20" s="80">
        <v>0.0</v>
      </c>
      <c r="AN20" s="80">
        <v>0.0</v>
      </c>
      <c r="AO20" s="80">
        <v>0.0</v>
      </c>
      <c r="AP20" s="224">
        <v>1.0</v>
      </c>
      <c r="AQ20" s="80">
        <v>0.0</v>
      </c>
      <c r="AR20" s="80">
        <v>0.0</v>
      </c>
      <c r="AS20" s="363">
        <f t="shared" si="2"/>
        <v>1</v>
      </c>
      <c r="AT20" s="363">
        <f t="shared" si="3"/>
        <v>1</v>
      </c>
    </row>
    <row r="21">
      <c r="A21" s="63">
        <v>20.0</v>
      </c>
      <c r="B21" s="48" t="s">
        <v>79</v>
      </c>
      <c r="C21" s="63" t="s">
        <v>82</v>
      </c>
      <c r="D21" s="48" t="s">
        <v>80</v>
      </c>
      <c r="E21" s="482" t="s">
        <v>467</v>
      </c>
      <c r="F21" s="593">
        <v>40206.0</v>
      </c>
      <c r="G21" s="48">
        <v>2.0</v>
      </c>
      <c r="H21" s="48" t="s">
        <v>8</v>
      </c>
      <c r="I21" s="48" t="s">
        <v>7</v>
      </c>
      <c r="J21" s="235" t="s">
        <v>354</v>
      </c>
      <c r="K21" s="235">
        <v>0.0</v>
      </c>
      <c r="L21" s="546">
        <v>129.0</v>
      </c>
      <c r="M21" s="546">
        <v>325.0</v>
      </c>
      <c r="N21" s="235" t="s">
        <v>354</v>
      </c>
      <c r="O21" s="235" t="s">
        <v>354</v>
      </c>
      <c r="P21" s="235" t="s">
        <v>354</v>
      </c>
      <c r="Q21" s="72" t="s">
        <v>468</v>
      </c>
      <c r="R21" s="151">
        <v>28.64</v>
      </c>
      <c r="S21" s="551">
        <v>0.0</v>
      </c>
      <c r="T21" s="551">
        <v>0.0</v>
      </c>
      <c r="U21" s="551">
        <v>0.0</v>
      </c>
      <c r="V21" s="551" t="s">
        <v>354</v>
      </c>
      <c r="W21" s="551" t="s">
        <v>354</v>
      </c>
      <c r="X21" s="166" t="s">
        <v>356</v>
      </c>
      <c r="Y21" s="166" t="s">
        <v>354</v>
      </c>
      <c r="Z21" s="548" t="s">
        <v>365</v>
      </c>
      <c r="AA21" s="88" t="s">
        <v>358</v>
      </c>
      <c r="AB21" s="549" t="s">
        <v>365</v>
      </c>
      <c r="AC21" s="51" t="s">
        <v>358</v>
      </c>
      <c r="AD21" s="36" t="s">
        <v>365</v>
      </c>
      <c r="AE21" s="88" t="s">
        <v>358</v>
      </c>
      <c r="AF21" s="357">
        <f t="shared" si="1"/>
        <v>4</v>
      </c>
      <c r="AG21" s="182"/>
      <c r="AH21" s="182"/>
      <c r="AI21" s="182"/>
      <c r="AJ21" s="182"/>
      <c r="AK21" s="80">
        <v>0.0</v>
      </c>
      <c r="AL21" s="80">
        <v>0.0</v>
      </c>
      <c r="AM21" s="224">
        <v>3.0</v>
      </c>
      <c r="AN21" s="80">
        <v>0.0</v>
      </c>
      <c r="AO21" s="80">
        <v>0.0</v>
      </c>
      <c r="AP21" s="80">
        <v>0.0</v>
      </c>
      <c r="AQ21" s="80">
        <v>0.0</v>
      </c>
      <c r="AR21" s="80">
        <v>0.0</v>
      </c>
      <c r="AS21" s="358">
        <f t="shared" si="2"/>
        <v>3</v>
      </c>
      <c r="AT21" s="358">
        <f t="shared" si="3"/>
        <v>1</v>
      </c>
    </row>
    <row r="22">
      <c r="A22" s="63">
        <v>21.0</v>
      </c>
      <c r="B22" s="48" t="s">
        <v>116</v>
      </c>
      <c r="C22" s="63" t="s">
        <v>118</v>
      </c>
      <c r="D22" s="48" t="s">
        <v>117</v>
      </c>
      <c r="E22" s="482" t="s">
        <v>546</v>
      </c>
      <c r="F22" s="593">
        <v>40206.0</v>
      </c>
      <c r="G22" s="48">
        <v>3.0</v>
      </c>
      <c r="H22" s="48" t="s">
        <v>8</v>
      </c>
      <c r="I22" s="48" t="s">
        <v>7</v>
      </c>
      <c r="J22" s="235" t="s">
        <v>354</v>
      </c>
      <c r="K22" s="235">
        <v>0.0</v>
      </c>
      <c r="L22" s="546">
        <v>121.0</v>
      </c>
      <c r="M22" s="546">
        <v>225.0</v>
      </c>
      <c r="N22" s="235" t="s">
        <v>354</v>
      </c>
      <c r="O22" s="235" t="s">
        <v>354</v>
      </c>
      <c r="P22" s="235" t="s">
        <v>354</v>
      </c>
      <c r="Q22" s="235" t="s">
        <v>354</v>
      </c>
      <c r="R22" s="551">
        <v>0.0</v>
      </c>
      <c r="S22" s="551">
        <v>0.0</v>
      </c>
      <c r="T22" s="551">
        <v>0.0</v>
      </c>
      <c r="U22" s="551">
        <v>0.0</v>
      </c>
      <c r="V22" s="551" t="s">
        <v>354</v>
      </c>
      <c r="W22" s="551" t="s">
        <v>354</v>
      </c>
      <c r="X22" s="166" t="s">
        <v>356</v>
      </c>
      <c r="Y22" s="166" t="s">
        <v>354</v>
      </c>
      <c r="Z22" s="548" t="s">
        <v>365</v>
      </c>
      <c r="AA22" s="73" t="s">
        <v>357</v>
      </c>
      <c r="AB22" s="549" t="s">
        <v>365</v>
      </c>
      <c r="AC22" s="26" t="s">
        <v>357</v>
      </c>
      <c r="AD22" s="36" t="s">
        <v>365</v>
      </c>
      <c r="AE22" s="73" t="s">
        <v>357</v>
      </c>
      <c r="AF22" s="357">
        <f t="shared" si="1"/>
        <v>3</v>
      </c>
      <c r="AG22" s="182"/>
      <c r="AH22" s="182"/>
      <c r="AI22" s="182"/>
      <c r="AJ22" s="182"/>
      <c r="AK22" s="80">
        <v>0.0</v>
      </c>
      <c r="AL22" s="80">
        <v>0.0</v>
      </c>
      <c r="AM22" s="80">
        <v>0.0</v>
      </c>
      <c r="AN22" s="80">
        <v>0.0</v>
      </c>
      <c r="AO22" s="80">
        <v>0.0</v>
      </c>
      <c r="AP22" s="224">
        <v>3.0</v>
      </c>
      <c r="AQ22" s="80">
        <v>0.0</v>
      </c>
      <c r="AR22" s="80">
        <v>0.0</v>
      </c>
      <c r="AS22" s="358">
        <f t="shared" si="2"/>
        <v>3</v>
      </c>
      <c r="AT22" s="358">
        <f t="shared" si="3"/>
        <v>1</v>
      </c>
    </row>
    <row r="23">
      <c r="A23" s="63">
        <v>22.0</v>
      </c>
      <c r="B23" s="48" t="s">
        <v>119</v>
      </c>
      <c r="C23" s="63" t="s">
        <v>121</v>
      </c>
      <c r="D23" s="48" t="s">
        <v>120</v>
      </c>
      <c r="E23" s="482" t="s">
        <v>552</v>
      </c>
      <c r="F23" s="593">
        <v>40206.0</v>
      </c>
      <c r="G23" s="48">
        <v>3.0</v>
      </c>
      <c r="H23" s="48" t="s">
        <v>8</v>
      </c>
      <c r="I23" s="63" t="s">
        <v>433</v>
      </c>
      <c r="J23" s="235" t="s">
        <v>354</v>
      </c>
      <c r="K23" s="235">
        <v>0.0</v>
      </c>
      <c r="L23" s="546">
        <v>114.0</v>
      </c>
      <c r="M23" s="546">
        <v>210.0</v>
      </c>
      <c r="N23" s="235" t="s">
        <v>354</v>
      </c>
      <c r="O23" s="235" t="s">
        <v>354</v>
      </c>
      <c r="P23" s="235" t="s">
        <v>354</v>
      </c>
      <c r="Q23" s="235" t="s">
        <v>354</v>
      </c>
      <c r="R23" s="551">
        <v>0.0</v>
      </c>
      <c r="S23" s="551">
        <v>0.0</v>
      </c>
      <c r="T23" s="551">
        <v>0.0</v>
      </c>
      <c r="U23" s="551">
        <v>0.0</v>
      </c>
      <c r="V23" s="551" t="s">
        <v>354</v>
      </c>
      <c r="W23" s="551" t="s">
        <v>354</v>
      </c>
      <c r="X23" s="221" t="s">
        <v>365</v>
      </c>
      <c r="Y23" s="58" t="s">
        <v>380</v>
      </c>
      <c r="Z23" s="548" t="s">
        <v>365</v>
      </c>
      <c r="AA23" s="118" t="s">
        <v>420</v>
      </c>
      <c r="AB23" s="549" t="s">
        <v>365</v>
      </c>
      <c r="AC23" s="164" t="s">
        <v>413</v>
      </c>
      <c r="AD23" s="36" t="s">
        <v>365</v>
      </c>
      <c r="AE23" s="88" t="s">
        <v>358</v>
      </c>
      <c r="AF23" s="357">
        <f t="shared" si="1"/>
        <v>3</v>
      </c>
      <c r="AG23" s="182"/>
      <c r="AH23" s="182"/>
      <c r="AI23" s="182"/>
      <c r="AJ23" s="182"/>
      <c r="AK23" s="80">
        <v>0.0</v>
      </c>
      <c r="AL23" s="224">
        <v>1.0</v>
      </c>
      <c r="AM23" s="224">
        <v>1.0</v>
      </c>
      <c r="AN23" s="80">
        <v>0.0</v>
      </c>
      <c r="AO23" s="224">
        <v>1.0</v>
      </c>
      <c r="AP23" s="80">
        <v>0.0</v>
      </c>
      <c r="AQ23" s="224">
        <v>0.0</v>
      </c>
      <c r="AR23" s="80">
        <v>0.0</v>
      </c>
      <c r="AS23" s="358">
        <f t="shared" si="2"/>
        <v>3</v>
      </c>
      <c r="AT23" s="358">
        <f t="shared" si="3"/>
        <v>3</v>
      </c>
    </row>
    <row r="24">
      <c r="A24" s="63">
        <v>23.0</v>
      </c>
      <c r="B24" s="48" t="s">
        <v>122</v>
      </c>
      <c r="C24" s="63" t="s">
        <v>124</v>
      </c>
      <c r="D24" s="48" t="s">
        <v>123</v>
      </c>
      <c r="E24" s="98" t="s">
        <v>557</v>
      </c>
      <c r="F24" s="593">
        <v>40206.0</v>
      </c>
      <c r="G24" s="48">
        <v>3.0</v>
      </c>
      <c r="H24" s="48" t="s">
        <v>8</v>
      </c>
      <c r="I24" s="48" t="s">
        <v>7</v>
      </c>
      <c r="J24" s="235" t="s">
        <v>354</v>
      </c>
      <c r="K24" s="235">
        <v>0.0</v>
      </c>
      <c r="L24" s="546">
        <v>127.0</v>
      </c>
      <c r="M24" s="546">
        <v>325.0</v>
      </c>
      <c r="N24" s="235" t="s">
        <v>354</v>
      </c>
      <c r="O24" s="235" t="s">
        <v>354</v>
      </c>
      <c r="P24" s="235" t="s">
        <v>354</v>
      </c>
      <c r="Q24" s="235" t="s">
        <v>354</v>
      </c>
      <c r="R24" s="551">
        <v>0.0</v>
      </c>
      <c r="S24" s="551">
        <v>0.0</v>
      </c>
      <c r="T24" s="551">
        <v>0.0</v>
      </c>
      <c r="U24" s="551">
        <v>0.0</v>
      </c>
      <c r="V24" s="551" t="s">
        <v>354</v>
      </c>
      <c r="W24" s="551" t="s">
        <v>354</v>
      </c>
      <c r="X24" s="166" t="s">
        <v>356</v>
      </c>
      <c r="Y24" s="166" t="s">
        <v>354</v>
      </c>
      <c r="Z24" s="548" t="s">
        <v>365</v>
      </c>
      <c r="AA24" s="73" t="s">
        <v>357</v>
      </c>
      <c r="AB24" s="555" t="s">
        <v>356</v>
      </c>
      <c r="AC24" s="555" t="s">
        <v>354</v>
      </c>
      <c r="AD24" s="36" t="s">
        <v>365</v>
      </c>
      <c r="AE24" s="118" t="s">
        <v>420</v>
      </c>
      <c r="AF24" s="357">
        <f t="shared" si="1"/>
        <v>2</v>
      </c>
      <c r="AG24" s="182"/>
      <c r="AH24" s="182"/>
      <c r="AI24" s="182"/>
      <c r="AJ24" s="182"/>
      <c r="AK24" s="80">
        <v>0.0</v>
      </c>
      <c r="AL24" s="224">
        <v>1.0</v>
      </c>
      <c r="AM24" s="80">
        <v>0.0</v>
      </c>
      <c r="AN24" s="80">
        <v>0.0</v>
      </c>
      <c r="AO24" s="80">
        <v>0.0</v>
      </c>
      <c r="AP24" s="224">
        <v>1.0</v>
      </c>
      <c r="AQ24" s="80">
        <v>0.0</v>
      </c>
      <c r="AR24" s="80">
        <v>0.0</v>
      </c>
      <c r="AS24" s="358">
        <f t="shared" si="2"/>
        <v>2</v>
      </c>
      <c r="AT24" s="358">
        <f t="shared" si="3"/>
        <v>2</v>
      </c>
    </row>
    <row r="25">
      <c r="A25" s="63">
        <v>24.0</v>
      </c>
      <c r="B25" s="48" t="s">
        <v>125</v>
      </c>
      <c r="C25" s="63" t="s">
        <v>127</v>
      </c>
      <c r="D25" s="63" t="s">
        <v>560</v>
      </c>
      <c r="E25" s="482" t="s">
        <v>561</v>
      </c>
      <c r="F25" s="593">
        <v>40206.0</v>
      </c>
      <c r="G25" s="48">
        <v>3.0</v>
      </c>
      <c r="H25" s="48" t="s">
        <v>8</v>
      </c>
      <c r="I25" s="48" t="s">
        <v>7</v>
      </c>
      <c r="J25" s="235" t="s">
        <v>354</v>
      </c>
      <c r="K25" s="235">
        <v>0.0</v>
      </c>
      <c r="L25" s="546">
        <v>120.0</v>
      </c>
      <c r="M25" s="546">
        <v>265.0</v>
      </c>
      <c r="N25" s="235" t="s">
        <v>354</v>
      </c>
      <c r="O25" s="235" t="s">
        <v>354</v>
      </c>
      <c r="P25" s="235" t="s">
        <v>354</v>
      </c>
      <c r="Q25" s="235" t="s">
        <v>354</v>
      </c>
      <c r="R25" s="151">
        <v>37.35</v>
      </c>
      <c r="S25" s="551">
        <v>0.0</v>
      </c>
      <c r="T25" s="551">
        <v>0.0</v>
      </c>
      <c r="U25" s="551">
        <v>0.0</v>
      </c>
      <c r="V25" s="551" t="s">
        <v>354</v>
      </c>
      <c r="W25" s="551" t="s">
        <v>354</v>
      </c>
      <c r="X25" s="166" t="s">
        <v>356</v>
      </c>
      <c r="Y25" s="166" t="s">
        <v>354</v>
      </c>
      <c r="Z25" s="548" t="s">
        <v>365</v>
      </c>
      <c r="AA25" s="88" t="s">
        <v>358</v>
      </c>
      <c r="AB25" s="549" t="s">
        <v>365</v>
      </c>
      <c r="AC25" s="99" t="s">
        <v>363</v>
      </c>
      <c r="AD25" s="36" t="s">
        <v>365</v>
      </c>
      <c r="AE25" s="88" t="s">
        <v>358</v>
      </c>
      <c r="AF25" s="357">
        <f t="shared" si="1"/>
        <v>4</v>
      </c>
      <c r="AG25" s="182"/>
      <c r="AH25" s="182"/>
      <c r="AI25" s="182"/>
      <c r="AJ25" s="182"/>
      <c r="AK25" s="80">
        <v>0.0</v>
      </c>
      <c r="AL25" s="80">
        <v>0.0</v>
      </c>
      <c r="AM25" s="224">
        <v>2.0</v>
      </c>
      <c r="AN25" s="224">
        <v>1.0</v>
      </c>
      <c r="AO25" s="80">
        <v>0.0</v>
      </c>
      <c r="AP25" s="80">
        <v>0.0</v>
      </c>
      <c r="AQ25" s="80">
        <v>0.0</v>
      </c>
      <c r="AR25" s="80">
        <v>0.0</v>
      </c>
      <c r="AS25" s="358">
        <f t="shared" si="2"/>
        <v>3</v>
      </c>
      <c r="AT25" s="358">
        <f t="shared" si="3"/>
        <v>2</v>
      </c>
    </row>
    <row r="26">
      <c r="A26" s="63">
        <v>25.0</v>
      </c>
      <c r="B26" s="48" t="s">
        <v>128</v>
      </c>
      <c r="C26" s="63" t="s">
        <v>130</v>
      </c>
      <c r="D26" s="48" t="s">
        <v>129</v>
      </c>
      <c r="E26" s="482" t="s">
        <v>564</v>
      </c>
      <c r="F26" s="593">
        <v>40206.0</v>
      </c>
      <c r="G26" s="48">
        <v>3.0</v>
      </c>
      <c r="H26" s="48" t="s">
        <v>8</v>
      </c>
      <c r="I26" s="48" t="s">
        <v>7</v>
      </c>
      <c r="J26" s="235" t="s">
        <v>354</v>
      </c>
      <c r="K26" s="235">
        <v>0.0</v>
      </c>
      <c r="L26" s="546">
        <v>122.0</v>
      </c>
      <c r="M26" s="546">
        <v>295.0</v>
      </c>
      <c r="N26" s="235" t="s">
        <v>354</v>
      </c>
      <c r="O26" s="235" t="s">
        <v>354</v>
      </c>
      <c r="P26" s="235" t="s">
        <v>354</v>
      </c>
      <c r="Q26" s="235" t="s">
        <v>354</v>
      </c>
      <c r="R26" s="551">
        <v>0.0</v>
      </c>
      <c r="S26" s="551">
        <v>0.0</v>
      </c>
      <c r="T26" s="551">
        <v>0.0</v>
      </c>
      <c r="U26" s="551">
        <v>0.0</v>
      </c>
      <c r="V26" s="551" t="s">
        <v>354</v>
      </c>
      <c r="W26" s="551" t="s">
        <v>354</v>
      </c>
      <c r="X26" s="166" t="s">
        <v>356</v>
      </c>
      <c r="Y26" s="166" t="s">
        <v>354</v>
      </c>
      <c r="Z26" s="553" t="s">
        <v>356</v>
      </c>
      <c r="AA26" s="554" t="s">
        <v>354</v>
      </c>
      <c r="AB26" s="555" t="s">
        <v>356</v>
      </c>
      <c r="AC26" s="555" t="s">
        <v>354</v>
      </c>
      <c r="AD26" s="23" t="s">
        <v>356</v>
      </c>
      <c r="AE26" s="19" t="s">
        <v>354</v>
      </c>
      <c r="AF26" s="46">
        <f t="shared" si="1"/>
        <v>0</v>
      </c>
      <c r="AG26" s="182"/>
      <c r="AH26" s="182"/>
      <c r="AI26" s="182"/>
      <c r="AJ26" s="182"/>
      <c r="AK26" s="80">
        <v>0.0</v>
      </c>
      <c r="AL26" s="80">
        <v>0.0</v>
      </c>
      <c r="AM26" s="80">
        <v>0.0</v>
      </c>
      <c r="AN26" s="80">
        <v>0.0</v>
      </c>
      <c r="AO26" s="80">
        <v>0.0</v>
      </c>
      <c r="AP26" s="80">
        <v>0.0</v>
      </c>
      <c r="AQ26" s="80">
        <v>0.0</v>
      </c>
      <c r="AR26" s="80">
        <v>0.0</v>
      </c>
      <c r="AS26" s="182">
        <f t="shared" si="2"/>
        <v>0</v>
      </c>
      <c r="AT26" s="182">
        <f t="shared" si="3"/>
        <v>0</v>
      </c>
    </row>
    <row r="27" ht="1.5" customHeight="1">
      <c r="A27" s="63">
        <v>26.0</v>
      </c>
      <c r="B27" s="48" t="s">
        <v>131</v>
      </c>
      <c r="C27" s="601" t="s">
        <v>133</v>
      </c>
      <c r="D27" s="601" t="s">
        <v>1425</v>
      </c>
      <c r="E27" s="602" t="s">
        <v>573</v>
      </c>
      <c r="F27" s="593">
        <v>40206.0</v>
      </c>
      <c r="G27" s="48">
        <v>3.0</v>
      </c>
      <c r="H27" s="48" t="s">
        <v>67</v>
      </c>
      <c r="I27" s="48" t="s">
        <v>7</v>
      </c>
      <c r="J27" s="235" t="s">
        <v>1611</v>
      </c>
      <c r="K27" s="235">
        <v>0.0</v>
      </c>
      <c r="L27" s="546">
        <v>120.0</v>
      </c>
      <c r="M27" s="546">
        <v>255.0</v>
      </c>
      <c r="N27" s="235" t="s">
        <v>354</v>
      </c>
      <c r="O27" s="235" t="s">
        <v>354</v>
      </c>
      <c r="P27" s="235" t="s">
        <v>354</v>
      </c>
      <c r="Q27" s="72" t="s">
        <v>575</v>
      </c>
      <c r="R27" s="551">
        <v>0.0</v>
      </c>
      <c r="S27" s="551">
        <v>0.0</v>
      </c>
      <c r="T27" s="551">
        <v>0.0</v>
      </c>
      <c r="U27" s="221">
        <v>36.97</v>
      </c>
      <c r="V27" s="551" t="s">
        <v>356</v>
      </c>
      <c r="W27" s="551" t="s">
        <v>354</v>
      </c>
      <c r="X27" s="166" t="s">
        <v>356</v>
      </c>
      <c r="Y27" s="166" t="s">
        <v>354</v>
      </c>
      <c r="Z27" s="548" t="s">
        <v>365</v>
      </c>
      <c r="AA27" s="73" t="s">
        <v>357</v>
      </c>
      <c r="AB27" s="549" t="s">
        <v>365</v>
      </c>
      <c r="AC27" s="26" t="s">
        <v>357</v>
      </c>
      <c r="AD27" s="36" t="s">
        <v>365</v>
      </c>
      <c r="AE27" s="73" t="s">
        <v>357</v>
      </c>
      <c r="AF27" s="357">
        <f t="shared" si="1"/>
        <v>3</v>
      </c>
      <c r="AG27" s="182"/>
      <c r="AH27" s="182"/>
      <c r="AI27" s="182"/>
      <c r="AJ27" s="182"/>
      <c r="AK27" s="80">
        <v>0.0</v>
      </c>
      <c r="AL27" s="80">
        <v>0.0</v>
      </c>
      <c r="AM27" s="80">
        <v>0.0</v>
      </c>
      <c r="AN27" s="80">
        <v>0.0</v>
      </c>
      <c r="AO27" s="80">
        <v>0.0</v>
      </c>
      <c r="AP27" s="224">
        <v>3.0</v>
      </c>
      <c r="AQ27" s="80">
        <v>0.0</v>
      </c>
      <c r="AR27" s="80">
        <v>0.0</v>
      </c>
      <c r="AS27" s="358">
        <f t="shared" si="2"/>
        <v>3</v>
      </c>
      <c r="AT27" s="358">
        <f t="shared" si="3"/>
        <v>1</v>
      </c>
    </row>
    <row r="28">
      <c r="A28" s="63">
        <v>27.0</v>
      </c>
      <c r="B28" s="48" t="s">
        <v>134</v>
      </c>
      <c r="C28" s="63" t="s">
        <v>136</v>
      </c>
      <c r="D28" s="48" t="s">
        <v>135</v>
      </c>
      <c r="E28" s="482" t="s">
        <v>596</v>
      </c>
      <c r="F28" s="593">
        <v>40206.0</v>
      </c>
      <c r="G28" s="48">
        <v>3.0</v>
      </c>
      <c r="H28" s="48" t="s">
        <v>8</v>
      </c>
      <c r="I28" s="48" t="s">
        <v>7</v>
      </c>
      <c r="J28" s="235" t="s">
        <v>354</v>
      </c>
      <c r="K28" s="235">
        <v>0.0</v>
      </c>
      <c r="L28" s="546">
        <v>122.0</v>
      </c>
      <c r="M28" s="546">
        <v>290.0</v>
      </c>
      <c r="N28" s="235" t="s">
        <v>354</v>
      </c>
      <c r="O28" s="235" t="s">
        <v>354</v>
      </c>
      <c r="P28" s="235" t="s">
        <v>354</v>
      </c>
      <c r="Q28" s="235" t="s">
        <v>354</v>
      </c>
      <c r="R28" s="557">
        <v>40.3</v>
      </c>
      <c r="S28" s="551">
        <v>0.0</v>
      </c>
      <c r="T28" s="551">
        <v>0.0</v>
      </c>
      <c r="U28" s="551">
        <v>0.0</v>
      </c>
      <c r="V28" s="551" t="s">
        <v>354</v>
      </c>
      <c r="W28" s="551" t="s">
        <v>354</v>
      </c>
      <c r="X28" s="221" t="s">
        <v>365</v>
      </c>
      <c r="Y28" s="65" t="s">
        <v>387</v>
      </c>
      <c r="Z28" s="548" t="s">
        <v>365</v>
      </c>
      <c r="AA28" s="87" t="s">
        <v>413</v>
      </c>
      <c r="AB28" s="549" t="s">
        <v>365</v>
      </c>
      <c r="AC28" s="164" t="s">
        <v>413</v>
      </c>
      <c r="AD28" s="36" t="s">
        <v>365</v>
      </c>
      <c r="AE28" s="87" t="s">
        <v>413</v>
      </c>
      <c r="AF28" s="357">
        <f t="shared" si="1"/>
        <v>4</v>
      </c>
      <c r="AG28" s="182"/>
      <c r="AH28" s="182"/>
      <c r="AI28" s="182"/>
      <c r="AJ28" s="182"/>
      <c r="AK28" s="80">
        <v>0.0</v>
      </c>
      <c r="AL28" s="80">
        <v>0.0</v>
      </c>
      <c r="AM28" s="80">
        <v>0.0</v>
      </c>
      <c r="AN28" s="80">
        <v>0.0</v>
      </c>
      <c r="AO28" s="224">
        <v>3.0</v>
      </c>
      <c r="AP28" s="80">
        <v>0.0</v>
      </c>
      <c r="AQ28" s="80">
        <v>0.0</v>
      </c>
      <c r="AR28" s="224">
        <v>0.0</v>
      </c>
      <c r="AS28" s="358">
        <f t="shared" si="2"/>
        <v>3</v>
      </c>
      <c r="AT28" s="358">
        <f t="shared" si="3"/>
        <v>1</v>
      </c>
    </row>
    <row r="29">
      <c r="A29" s="63">
        <v>28.0</v>
      </c>
      <c r="B29" s="48" t="s">
        <v>137</v>
      </c>
      <c r="C29" s="63" t="s">
        <v>139</v>
      </c>
      <c r="D29" s="48" t="s">
        <v>138</v>
      </c>
      <c r="E29" s="98" t="s">
        <v>1614</v>
      </c>
      <c r="F29" s="593">
        <v>40206.0</v>
      </c>
      <c r="G29" s="48">
        <v>3.0</v>
      </c>
      <c r="H29" s="48" t="s">
        <v>8</v>
      </c>
      <c r="I29" s="48" t="s">
        <v>37</v>
      </c>
      <c r="J29" s="235" t="s">
        <v>354</v>
      </c>
      <c r="K29" s="235">
        <v>0.0</v>
      </c>
      <c r="L29" s="546">
        <v>115.0</v>
      </c>
      <c r="M29" s="546">
        <v>275.0</v>
      </c>
      <c r="N29" s="235" t="s">
        <v>354</v>
      </c>
      <c r="O29" s="235" t="s">
        <v>354</v>
      </c>
      <c r="P29" s="235" t="s">
        <v>354</v>
      </c>
      <c r="Q29" s="235" t="s">
        <v>354</v>
      </c>
      <c r="R29" s="551">
        <v>0.0</v>
      </c>
      <c r="S29" s="551">
        <v>0.0</v>
      </c>
      <c r="T29" s="551">
        <v>0.0</v>
      </c>
      <c r="U29" s="551">
        <v>0.0</v>
      </c>
      <c r="V29" s="551" t="s">
        <v>354</v>
      </c>
      <c r="W29" s="551" t="s">
        <v>354</v>
      </c>
      <c r="X29" s="221" t="s">
        <v>365</v>
      </c>
      <c r="Y29" s="26" t="s">
        <v>357</v>
      </c>
      <c r="Z29" s="548" t="s">
        <v>365</v>
      </c>
      <c r="AA29" s="73" t="s">
        <v>357</v>
      </c>
      <c r="AB29" s="549" t="s">
        <v>365</v>
      </c>
      <c r="AC29" s="26" t="s">
        <v>357</v>
      </c>
      <c r="AD29" s="36" t="s">
        <v>365</v>
      </c>
      <c r="AE29" s="73" t="s">
        <v>357</v>
      </c>
      <c r="AF29" s="357">
        <f t="shared" si="1"/>
        <v>3</v>
      </c>
      <c r="AG29" s="182"/>
      <c r="AH29" s="182"/>
      <c r="AI29" s="182"/>
      <c r="AJ29" s="182"/>
      <c r="AK29" s="80">
        <v>0.0</v>
      </c>
      <c r="AL29" s="80">
        <v>0.0</v>
      </c>
      <c r="AM29" s="80">
        <v>0.0</v>
      </c>
      <c r="AN29" s="80">
        <v>0.0</v>
      </c>
      <c r="AO29" s="80">
        <v>0.0</v>
      </c>
      <c r="AP29" s="224">
        <v>3.0</v>
      </c>
      <c r="AQ29" s="80">
        <v>0.0</v>
      </c>
      <c r="AR29" s="80">
        <v>0.0</v>
      </c>
      <c r="AS29" s="358">
        <f t="shared" si="2"/>
        <v>3</v>
      </c>
      <c r="AT29" s="358">
        <f t="shared" si="3"/>
        <v>1</v>
      </c>
    </row>
    <row r="30">
      <c r="A30" s="63">
        <v>29.0</v>
      </c>
      <c r="B30" s="48" t="s">
        <v>140</v>
      </c>
      <c r="C30" s="63" t="s">
        <v>142</v>
      </c>
      <c r="D30" s="48" t="s">
        <v>141</v>
      </c>
      <c r="E30" s="482" t="s">
        <v>609</v>
      </c>
      <c r="F30" s="593">
        <v>40206.0</v>
      </c>
      <c r="G30" s="48">
        <v>3.0</v>
      </c>
      <c r="H30" s="48" t="s">
        <v>8</v>
      </c>
      <c r="I30" s="48" t="s">
        <v>7</v>
      </c>
      <c r="J30" s="235" t="s">
        <v>354</v>
      </c>
      <c r="K30" s="235">
        <v>0.0</v>
      </c>
      <c r="L30" s="492">
        <v>119.0</v>
      </c>
      <c r="M30" s="546">
        <v>280.0</v>
      </c>
      <c r="N30" s="235" t="s">
        <v>354</v>
      </c>
      <c r="O30" s="235" t="s">
        <v>354</v>
      </c>
      <c r="P30" s="235" t="s">
        <v>354</v>
      </c>
      <c r="Q30" s="235" t="s">
        <v>354</v>
      </c>
      <c r="R30" s="151">
        <v>27.41</v>
      </c>
      <c r="S30" s="551">
        <v>0.0</v>
      </c>
      <c r="T30" s="551">
        <v>0.0</v>
      </c>
      <c r="U30" s="551">
        <v>0.0</v>
      </c>
      <c r="V30" s="551" t="s">
        <v>354</v>
      </c>
      <c r="W30" s="551" t="s">
        <v>354</v>
      </c>
      <c r="X30" s="221" t="s">
        <v>365</v>
      </c>
      <c r="Y30" s="58" t="s">
        <v>380</v>
      </c>
      <c r="Z30" s="553" t="s">
        <v>356</v>
      </c>
      <c r="AA30" s="554" t="s">
        <v>354</v>
      </c>
      <c r="AB30" s="555" t="s">
        <v>356</v>
      </c>
      <c r="AC30" s="555" t="s">
        <v>354</v>
      </c>
      <c r="AD30" s="36" t="s">
        <v>365</v>
      </c>
      <c r="AE30" s="88" t="s">
        <v>358</v>
      </c>
      <c r="AF30" s="357">
        <f t="shared" si="1"/>
        <v>2</v>
      </c>
      <c r="AG30" s="182"/>
      <c r="AH30" s="182"/>
      <c r="AI30" s="182"/>
      <c r="AJ30" s="182"/>
      <c r="AK30" s="80">
        <v>0.0</v>
      </c>
      <c r="AL30" s="80">
        <v>0.0</v>
      </c>
      <c r="AM30" s="224">
        <v>1.0</v>
      </c>
      <c r="AN30" s="80">
        <v>0.0</v>
      </c>
      <c r="AO30" s="80">
        <v>0.0</v>
      </c>
      <c r="AP30" s="80">
        <v>0.0</v>
      </c>
      <c r="AQ30" s="224">
        <v>0.0</v>
      </c>
      <c r="AR30" s="80">
        <v>0.0</v>
      </c>
      <c r="AS30" s="358">
        <f t="shared" si="2"/>
        <v>1</v>
      </c>
      <c r="AT30" s="358">
        <f t="shared" si="3"/>
        <v>1</v>
      </c>
    </row>
    <row r="31">
      <c r="A31" s="63">
        <v>30.0</v>
      </c>
      <c r="B31" s="48" t="s">
        <v>143</v>
      </c>
      <c r="C31" s="63" t="s">
        <v>145</v>
      </c>
      <c r="D31" s="63" t="s">
        <v>616</v>
      </c>
      <c r="E31" s="482" t="s">
        <v>617</v>
      </c>
      <c r="F31" s="593">
        <v>40206.0</v>
      </c>
      <c r="G31" s="48">
        <v>3.0</v>
      </c>
      <c r="H31" s="48" t="s">
        <v>8</v>
      </c>
      <c r="I31" s="48" t="s">
        <v>7</v>
      </c>
      <c r="J31" s="235" t="s">
        <v>354</v>
      </c>
      <c r="K31" s="235">
        <v>0.0</v>
      </c>
      <c r="L31" s="492">
        <v>119.0</v>
      </c>
      <c r="M31" s="546">
        <v>275.0</v>
      </c>
      <c r="N31" s="235" t="s">
        <v>354</v>
      </c>
      <c r="O31" s="235" t="s">
        <v>354</v>
      </c>
      <c r="P31" s="235" t="s">
        <v>354</v>
      </c>
      <c r="Q31" s="235" t="s">
        <v>354</v>
      </c>
      <c r="R31" s="151">
        <v>26.92</v>
      </c>
      <c r="S31" s="551">
        <v>0.0</v>
      </c>
      <c r="T31" s="551">
        <v>0.0</v>
      </c>
      <c r="U31" s="551">
        <v>0.0</v>
      </c>
      <c r="V31" s="551" t="s">
        <v>354</v>
      </c>
      <c r="W31" s="551" t="s">
        <v>354</v>
      </c>
      <c r="X31" s="221" t="s">
        <v>365</v>
      </c>
      <c r="Y31" s="87" t="s">
        <v>413</v>
      </c>
      <c r="Z31" s="548" t="s">
        <v>365</v>
      </c>
      <c r="AA31" s="87" t="s">
        <v>413</v>
      </c>
      <c r="AB31" s="549" t="s">
        <v>365</v>
      </c>
      <c r="AC31" s="164" t="s">
        <v>413</v>
      </c>
      <c r="AD31" s="43" t="s">
        <v>361</v>
      </c>
      <c r="AE31" s="43" t="s">
        <v>361</v>
      </c>
      <c r="AF31" s="357">
        <f t="shared" si="1"/>
        <v>3</v>
      </c>
      <c r="AG31" s="182"/>
      <c r="AH31" s="182"/>
      <c r="AI31" s="182"/>
      <c r="AJ31" s="182"/>
      <c r="AK31" s="80">
        <v>0.0</v>
      </c>
      <c r="AL31" s="80">
        <v>0.0</v>
      </c>
      <c r="AM31" s="80">
        <v>0.0</v>
      </c>
      <c r="AN31" s="80">
        <v>0.0</v>
      </c>
      <c r="AO31" s="224">
        <v>2.0</v>
      </c>
      <c r="AP31" s="80">
        <v>0.0</v>
      </c>
      <c r="AQ31" s="80">
        <v>0.0</v>
      </c>
      <c r="AR31" s="80">
        <v>0.0</v>
      </c>
      <c r="AS31" s="358">
        <f t="shared" si="2"/>
        <v>2</v>
      </c>
      <c r="AT31" s="358">
        <f t="shared" si="3"/>
        <v>1</v>
      </c>
    </row>
    <row r="32">
      <c r="A32" s="63">
        <v>31.0</v>
      </c>
      <c r="B32" s="48" t="s">
        <v>146</v>
      </c>
      <c r="C32" s="63" t="s">
        <v>148</v>
      </c>
      <c r="D32" s="48" t="s">
        <v>147</v>
      </c>
      <c r="E32" s="98" t="s">
        <v>626</v>
      </c>
      <c r="F32" s="593">
        <v>40206.0</v>
      </c>
      <c r="G32" s="48">
        <v>3.0</v>
      </c>
      <c r="H32" s="48" t="s">
        <v>67</v>
      </c>
      <c r="I32" s="48" t="s">
        <v>7</v>
      </c>
      <c r="J32" s="235" t="s">
        <v>1611</v>
      </c>
      <c r="K32" s="235">
        <v>0.0</v>
      </c>
      <c r="L32" s="492">
        <v>118.0</v>
      </c>
      <c r="M32" s="546">
        <v>250.0</v>
      </c>
      <c r="N32" s="235" t="s">
        <v>354</v>
      </c>
      <c r="O32" s="235" t="s">
        <v>354</v>
      </c>
      <c r="P32" s="235" t="s">
        <v>354</v>
      </c>
      <c r="Q32" s="235" t="s">
        <v>354</v>
      </c>
      <c r="R32" s="551">
        <v>0.0</v>
      </c>
      <c r="S32" s="551">
        <v>0.0</v>
      </c>
      <c r="T32" s="551">
        <v>0.0</v>
      </c>
      <c r="U32" s="551">
        <v>0.0</v>
      </c>
      <c r="V32" s="551" t="s">
        <v>354</v>
      </c>
      <c r="W32" s="551" t="s">
        <v>354</v>
      </c>
      <c r="X32" s="166" t="s">
        <v>356</v>
      </c>
      <c r="Y32" s="166" t="s">
        <v>354</v>
      </c>
      <c r="Z32" s="548" t="s">
        <v>365</v>
      </c>
      <c r="AA32" s="88" t="s">
        <v>358</v>
      </c>
      <c r="AB32" s="555" t="s">
        <v>356</v>
      </c>
      <c r="AC32" s="555" t="s">
        <v>354</v>
      </c>
      <c r="AD32" s="36" t="s">
        <v>365</v>
      </c>
      <c r="AE32" s="88" t="s">
        <v>358</v>
      </c>
      <c r="AF32" s="357">
        <f t="shared" si="1"/>
        <v>2</v>
      </c>
      <c r="AG32" s="182"/>
      <c r="AH32" s="182"/>
      <c r="AI32" s="182"/>
      <c r="AJ32" s="182"/>
      <c r="AK32" s="80">
        <v>0.0</v>
      </c>
      <c r="AL32" s="80">
        <v>0.0</v>
      </c>
      <c r="AM32" s="224">
        <v>2.0</v>
      </c>
      <c r="AN32" s="80">
        <v>0.0</v>
      </c>
      <c r="AO32" s="80">
        <v>0.0</v>
      </c>
      <c r="AP32" s="80">
        <v>0.0</v>
      </c>
      <c r="AQ32" s="80">
        <v>0.0</v>
      </c>
      <c r="AR32" s="80">
        <v>0.0</v>
      </c>
      <c r="AS32" s="358">
        <f t="shared" si="2"/>
        <v>2</v>
      </c>
      <c r="AT32" s="358">
        <f t="shared" si="3"/>
        <v>1</v>
      </c>
    </row>
    <row r="33">
      <c r="A33" s="63">
        <v>32.0</v>
      </c>
      <c r="B33" s="48" t="s">
        <v>151</v>
      </c>
      <c r="C33" s="63" t="s">
        <v>153</v>
      </c>
      <c r="D33" s="48" t="s">
        <v>152</v>
      </c>
      <c r="E33" s="482" t="s">
        <v>629</v>
      </c>
      <c r="F33" s="593">
        <v>40206.0</v>
      </c>
      <c r="G33" s="48">
        <v>3.0</v>
      </c>
      <c r="H33" s="48" t="s">
        <v>8</v>
      </c>
      <c r="I33" s="48" t="s">
        <v>37</v>
      </c>
      <c r="J33" s="235" t="s">
        <v>354</v>
      </c>
      <c r="K33" s="235">
        <v>0.0</v>
      </c>
      <c r="L33" s="492">
        <v>123.0</v>
      </c>
      <c r="M33" s="546">
        <v>250.0</v>
      </c>
      <c r="N33" s="235" t="s">
        <v>354</v>
      </c>
      <c r="O33" s="235" t="s">
        <v>354</v>
      </c>
      <c r="P33" s="235" t="s">
        <v>354</v>
      </c>
      <c r="Q33" s="72" t="s">
        <v>630</v>
      </c>
      <c r="R33" s="151">
        <v>28.43</v>
      </c>
      <c r="S33" s="551">
        <v>0.0</v>
      </c>
      <c r="T33" s="551">
        <v>0.0</v>
      </c>
      <c r="U33" s="551">
        <v>0.0</v>
      </c>
      <c r="V33" s="551" t="s">
        <v>354</v>
      </c>
      <c r="W33" s="551" t="s">
        <v>354</v>
      </c>
      <c r="X33" s="221" t="s">
        <v>365</v>
      </c>
      <c r="Y33" s="26" t="s">
        <v>357</v>
      </c>
      <c r="Z33" s="598" t="s">
        <v>365</v>
      </c>
      <c r="AA33" s="341" t="s">
        <v>1615</v>
      </c>
      <c r="AB33" s="549" t="s">
        <v>365</v>
      </c>
      <c r="AC33" s="26" t="s">
        <v>357</v>
      </c>
      <c r="AD33" s="36" t="s">
        <v>365</v>
      </c>
      <c r="AE33" s="88" t="s">
        <v>358</v>
      </c>
      <c r="AF33" s="357">
        <f t="shared" si="1"/>
        <v>4</v>
      </c>
      <c r="AG33" s="182"/>
      <c r="AH33" s="182"/>
      <c r="AI33" s="182"/>
      <c r="AJ33" s="182"/>
      <c r="AK33" s="80">
        <v>0.0</v>
      </c>
      <c r="AL33" s="80">
        <v>0.0</v>
      </c>
      <c r="AM33" s="224">
        <v>1.0</v>
      </c>
      <c r="AN33" s="80">
        <v>0.0</v>
      </c>
      <c r="AO33" s="224">
        <v>1.0</v>
      </c>
      <c r="AP33" s="224">
        <v>1.0</v>
      </c>
      <c r="AQ33" s="224">
        <v>1.0</v>
      </c>
      <c r="AR33" s="80">
        <v>0.0</v>
      </c>
      <c r="AS33" s="358">
        <f t="shared" si="2"/>
        <v>4</v>
      </c>
      <c r="AT33" s="358">
        <f t="shared" si="3"/>
        <v>4</v>
      </c>
    </row>
    <row r="34">
      <c r="A34" s="63">
        <v>33.0</v>
      </c>
      <c r="B34" s="48" t="s">
        <v>154</v>
      </c>
      <c r="C34" s="63" t="s">
        <v>156</v>
      </c>
      <c r="D34" s="48" t="s">
        <v>155</v>
      </c>
      <c r="E34" s="98" t="s">
        <v>638</v>
      </c>
      <c r="F34" s="593">
        <v>40206.0</v>
      </c>
      <c r="G34" s="48">
        <v>3.0</v>
      </c>
      <c r="H34" s="48" t="s">
        <v>67</v>
      </c>
      <c r="I34" s="48" t="s">
        <v>7</v>
      </c>
      <c r="J34" s="235" t="s">
        <v>1611</v>
      </c>
      <c r="K34" s="235">
        <v>0.0</v>
      </c>
      <c r="L34" s="492">
        <v>127.0</v>
      </c>
      <c r="M34" s="546">
        <v>345.0</v>
      </c>
      <c r="N34" s="235" t="s">
        <v>354</v>
      </c>
      <c r="O34" s="235" t="s">
        <v>354</v>
      </c>
      <c r="P34" s="235" t="s">
        <v>354</v>
      </c>
      <c r="Q34" s="72" t="s">
        <v>1616</v>
      </c>
      <c r="R34" s="551">
        <v>0.0</v>
      </c>
      <c r="S34" s="551">
        <v>0.0</v>
      </c>
      <c r="T34" s="551">
        <v>0.0</v>
      </c>
      <c r="U34" s="551">
        <v>0.0</v>
      </c>
      <c r="V34" s="551" t="s">
        <v>354</v>
      </c>
      <c r="W34" s="551" t="s">
        <v>354</v>
      </c>
      <c r="X34" s="166" t="s">
        <v>356</v>
      </c>
      <c r="Y34" s="166" t="s">
        <v>354</v>
      </c>
      <c r="Z34" s="553" t="s">
        <v>356</v>
      </c>
      <c r="AA34" s="554" t="s">
        <v>354</v>
      </c>
      <c r="AB34" s="555" t="s">
        <v>356</v>
      </c>
      <c r="AC34" s="555" t="s">
        <v>354</v>
      </c>
      <c r="AD34" s="33" t="s">
        <v>356</v>
      </c>
      <c r="AE34" s="19" t="s">
        <v>354</v>
      </c>
      <c r="AF34" s="46">
        <f t="shared" si="1"/>
        <v>0</v>
      </c>
      <c r="AG34" s="182"/>
      <c r="AH34" s="182"/>
      <c r="AI34" s="182"/>
      <c r="AJ34" s="182"/>
      <c r="AK34" s="80">
        <v>0.0</v>
      </c>
      <c r="AL34" s="80">
        <v>0.0</v>
      </c>
      <c r="AM34" s="80">
        <v>0.0</v>
      </c>
      <c r="AN34" s="80">
        <v>0.0</v>
      </c>
      <c r="AO34" s="80">
        <v>0.0</v>
      </c>
      <c r="AP34" s="80">
        <v>0.0</v>
      </c>
      <c r="AQ34" s="80">
        <v>0.0</v>
      </c>
      <c r="AR34" s="80">
        <v>0.0</v>
      </c>
      <c r="AS34" s="182">
        <f t="shared" si="2"/>
        <v>0</v>
      </c>
      <c r="AT34" s="182">
        <f t="shared" si="3"/>
        <v>0</v>
      </c>
    </row>
    <row r="35">
      <c r="A35" s="63">
        <v>34.0</v>
      </c>
      <c r="B35" s="48" t="s">
        <v>157</v>
      </c>
      <c r="C35" s="63" t="s">
        <v>159</v>
      </c>
      <c r="D35" s="48" t="s">
        <v>158</v>
      </c>
      <c r="E35" s="482" t="s">
        <v>640</v>
      </c>
      <c r="F35" s="593">
        <v>40206.0</v>
      </c>
      <c r="G35" s="48">
        <v>3.0</v>
      </c>
      <c r="H35" s="48" t="s">
        <v>8</v>
      </c>
      <c r="I35" s="48" t="s">
        <v>7</v>
      </c>
      <c r="J35" s="235" t="s">
        <v>354</v>
      </c>
      <c r="K35" s="235">
        <v>0.0</v>
      </c>
      <c r="L35" s="492">
        <v>120.0</v>
      </c>
      <c r="M35" s="546">
        <v>295.0</v>
      </c>
      <c r="N35" s="235" t="s">
        <v>354</v>
      </c>
      <c r="O35" s="235" t="s">
        <v>354</v>
      </c>
      <c r="P35" s="235" t="s">
        <v>354</v>
      </c>
      <c r="Q35" s="182"/>
      <c r="R35" s="151">
        <v>31.13</v>
      </c>
      <c r="S35" s="551">
        <v>0.0</v>
      </c>
      <c r="T35" s="551">
        <v>0.0</v>
      </c>
      <c r="U35" s="551">
        <v>0.0</v>
      </c>
      <c r="V35" s="551" t="s">
        <v>354</v>
      </c>
      <c r="W35" s="551" t="s">
        <v>354</v>
      </c>
      <c r="X35" s="166" t="s">
        <v>356</v>
      </c>
      <c r="Y35" s="166" t="s">
        <v>354</v>
      </c>
      <c r="Z35" s="548" t="s">
        <v>365</v>
      </c>
      <c r="AA35" s="73" t="s">
        <v>357</v>
      </c>
      <c r="AB35" s="549" t="s">
        <v>365</v>
      </c>
      <c r="AC35" s="26" t="s">
        <v>357</v>
      </c>
      <c r="AD35" s="36" t="s">
        <v>365</v>
      </c>
      <c r="AE35" s="73" t="s">
        <v>357</v>
      </c>
      <c r="AF35" s="357">
        <f t="shared" si="1"/>
        <v>4</v>
      </c>
      <c r="AG35" s="182"/>
      <c r="AH35" s="182"/>
      <c r="AI35" s="182"/>
      <c r="AJ35" s="182"/>
      <c r="AK35" s="80">
        <v>0.0</v>
      </c>
      <c r="AL35" s="80">
        <v>0.0</v>
      </c>
      <c r="AM35" s="80">
        <v>0.0</v>
      </c>
      <c r="AN35" s="80">
        <v>0.0</v>
      </c>
      <c r="AO35" s="80">
        <v>0.0</v>
      </c>
      <c r="AP35" s="224">
        <v>3.0</v>
      </c>
      <c r="AQ35" s="80">
        <v>0.0</v>
      </c>
      <c r="AR35" s="80">
        <v>0.0</v>
      </c>
      <c r="AS35" s="358">
        <f t="shared" si="2"/>
        <v>3</v>
      </c>
      <c r="AT35" s="358">
        <f t="shared" si="3"/>
        <v>1</v>
      </c>
    </row>
    <row r="36">
      <c r="A36" s="63">
        <v>35.0</v>
      </c>
      <c r="B36" s="48" t="s">
        <v>160</v>
      </c>
      <c r="C36" s="63" t="s">
        <v>162</v>
      </c>
      <c r="D36" s="48" t="s">
        <v>161</v>
      </c>
      <c r="E36" s="482" t="s">
        <v>645</v>
      </c>
      <c r="F36" s="593">
        <v>40206.0</v>
      </c>
      <c r="G36" s="48">
        <v>3.0</v>
      </c>
      <c r="H36" s="48" t="s">
        <v>67</v>
      </c>
      <c r="I36" s="63" t="s">
        <v>433</v>
      </c>
      <c r="J36" s="235" t="s">
        <v>770</v>
      </c>
      <c r="K36" s="235">
        <v>0.0</v>
      </c>
      <c r="L36" s="546">
        <v>116.0</v>
      </c>
      <c r="M36" s="546">
        <v>210.0</v>
      </c>
      <c r="N36" s="235" t="s">
        <v>354</v>
      </c>
      <c r="O36" s="235" t="s">
        <v>354</v>
      </c>
      <c r="P36" s="235" t="s">
        <v>354</v>
      </c>
      <c r="Q36" s="235" t="s">
        <v>354</v>
      </c>
      <c r="R36" s="151">
        <v>25.26</v>
      </c>
      <c r="S36" s="551">
        <v>0.0</v>
      </c>
      <c r="T36" s="551">
        <v>0.0</v>
      </c>
      <c r="U36" s="551">
        <v>0.0</v>
      </c>
      <c r="V36" s="551" t="s">
        <v>354</v>
      </c>
      <c r="W36" s="551" t="s">
        <v>354</v>
      </c>
      <c r="X36" s="221" t="s">
        <v>365</v>
      </c>
      <c r="Y36" s="87" t="s">
        <v>413</v>
      </c>
      <c r="Z36" s="548" t="s">
        <v>365</v>
      </c>
      <c r="AA36" s="87" t="s">
        <v>413</v>
      </c>
      <c r="AB36" s="549" t="s">
        <v>365</v>
      </c>
      <c r="AC36" s="164" t="s">
        <v>413</v>
      </c>
      <c r="AD36" s="43" t="s">
        <v>361</v>
      </c>
      <c r="AE36" s="43" t="s">
        <v>361</v>
      </c>
      <c r="AF36" s="357">
        <f t="shared" si="1"/>
        <v>3</v>
      </c>
      <c r="AG36" s="182"/>
      <c r="AH36" s="182"/>
      <c r="AI36" s="182"/>
      <c r="AJ36" s="182"/>
      <c r="AK36" s="80">
        <v>0.0</v>
      </c>
      <c r="AL36" s="80">
        <v>0.0</v>
      </c>
      <c r="AM36" s="80">
        <v>0.0</v>
      </c>
      <c r="AN36" s="80">
        <v>0.0</v>
      </c>
      <c r="AO36" s="224">
        <v>2.0</v>
      </c>
      <c r="AP36" s="80">
        <v>0.0</v>
      </c>
      <c r="AQ36" s="80">
        <v>0.0</v>
      </c>
      <c r="AR36" s="80">
        <v>0.0</v>
      </c>
      <c r="AS36" s="358">
        <f t="shared" si="2"/>
        <v>2</v>
      </c>
      <c r="AT36" s="358">
        <f t="shared" si="3"/>
        <v>1</v>
      </c>
    </row>
    <row r="37" ht="15.75" customHeight="1">
      <c r="A37" s="63">
        <v>36.0</v>
      </c>
      <c r="B37" s="48" t="s">
        <v>164</v>
      </c>
      <c r="C37" s="63" t="s">
        <v>166</v>
      </c>
      <c r="D37" s="48" t="s">
        <v>165</v>
      </c>
      <c r="E37" s="482" t="s">
        <v>650</v>
      </c>
      <c r="F37" s="593">
        <v>40206.0</v>
      </c>
      <c r="G37" s="48">
        <v>3.0</v>
      </c>
      <c r="H37" s="48" t="s">
        <v>8</v>
      </c>
      <c r="I37" s="63" t="s">
        <v>433</v>
      </c>
      <c r="J37" s="235" t="s">
        <v>354</v>
      </c>
      <c r="K37" s="235">
        <v>0.0</v>
      </c>
      <c r="L37" s="546">
        <v>113.0</v>
      </c>
      <c r="M37" s="546">
        <v>230.0</v>
      </c>
      <c r="N37" s="235" t="s">
        <v>354</v>
      </c>
      <c r="O37" s="235" t="s">
        <v>354</v>
      </c>
      <c r="P37" s="235" t="s">
        <v>354</v>
      </c>
      <c r="Q37" s="235" t="s">
        <v>354</v>
      </c>
      <c r="R37" s="151">
        <v>26.29</v>
      </c>
      <c r="S37" s="551">
        <v>0.0</v>
      </c>
      <c r="T37" s="551">
        <v>0.0</v>
      </c>
      <c r="U37" s="551">
        <v>0.0</v>
      </c>
      <c r="V37" s="551" t="s">
        <v>354</v>
      </c>
      <c r="W37" s="551" t="s">
        <v>354</v>
      </c>
      <c r="X37" s="221" t="s">
        <v>365</v>
      </c>
      <c r="Y37" s="58" t="s">
        <v>380</v>
      </c>
      <c r="Z37" s="548" t="s">
        <v>365</v>
      </c>
      <c r="AA37" s="341" t="s">
        <v>1617</v>
      </c>
      <c r="AB37" s="549" t="s">
        <v>365</v>
      </c>
      <c r="AC37" s="26" t="s">
        <v>357</v>
      </c>
      <c r="AD37" s="43" t="s">
        <v>361</v>
      </c>
      <c r="AE37" s="43" t="s">
        <v>361</v>
      </c>
      <c r="AF37" s="357">
        <f t="shared" si="1"/>
        <v>3</v>
      </c>
      <c r="AG37" s="182"/>
      <c r="AH37" s="182"/>
      <c r="AI37" s="182"/>
      <c r="AJ37" s="182"/>
      <c r="AK37" s="80">
        <v>0.0</v>
      </c>
      <c r="AL37" s="80">
        <v>0.0</v>
      </c>
      <c r="AM37" s="80">
        <v>0.0</v>
      </c>
      <c r="AN37" s="80">
        <v>0.0</v>
      </c>
      <c r="AO37" s="224">
        <v>1.0</v>
      </c>
      <c r="AP37" s="224">
        <v>2.0</v>
      </c>
      <c r="AQ37" s="224">
        <v>0.0</v>
      </c>
      <c r="AR37" s="80">
        <v>0.0</v>
      </c>
      <c r="AS37" s="358">
        <f t="shared" si="2"/>
        <v>3</v>
      </c>
      <c r="AT37" s="358">
        <f t="shared" si="3"/>
        <v>2</v>
      </c>
    </row>
    <row r="38">
      <c r="A38" s="63">
        <v>37.0</v>
      </c>
      <c r="B38" s="48" t="s">
        <v>167</v>
      </c>
      <c r="C38" s="63" t="s">
        <v>169</v>
      </c>
      <c r="D38" s="48" t="s">
        <v>168</v>
      </c>
      <c r="E38" s="482" t="s">
        <v>656</v>
      </c>
      <c r="F38" s="593">
        <v>40206.0</v>
      </c>
      <c r="G38" s="48">
        <v>3.0</v>
      </c>
      <c r="H38" s="48" t="s">
        <v>8</v>
      </c>
      <c r="I38" s="48" t="s">
        <v>7</v>
      </c>
      <c r="J38" s="235" t="s">
        <v>354</v>
      </c>
      <c r="K38" s="235">
        <v>0.0</v>
      </c>
      <c r="L38" s="546">
        <v>121.0</v>
      </c>
      <c r="M38" s="546">
        <v>280.0</v>
      </c>
      <c r="N38" s="235" t="s">
        <v>354</v>
      </c>
      <c r="O38" s="235" t="s">
        <v>354</v>
      </c>
      <c r="P38" s="235" t="s">
        <v>354</v>
      </c>
      <c r="Q38" s="72" t="s">
        <v>354</v>
      </c>
      <c r="R38" s="551">
        <v>0.0</v>
      </c>
      <c r="S38" s="551">
        <v>0.0</v>
      </c>
      <c r="T38" s="551">
        <v>0.0</v>
      </c>
      <c r="U38" s="551">
        <v>0.0</v>
      </c>
      <c r="V38" s="551" t="s">
        <v>354</v>
      </c>
      <c r="W38" s="551" t="s">
        <v>354</v>
      </c>
      <c r="X38" s="166" t="s">
        <v>356</v>
      </c>
      <c r="Y38" s="166" t="s">
        <v>354</v>
      </c>
      <c r="Z38" s="548" t="s">
        <v>365</v>
      </c>
      <c r="AA38" s="88" t="s">
        <v>358</v>
      </c>
      <c r="AB38" s="555" t="s">
        <v>356</v>
      </c>
      <c r="AC38" s="555" t="s">
        <v>354</v>
      </c>
      <c r="AD38" s="36" t="s">
        <v>365</v>
      </c>
      <c r="AE38" s="88" t="s">
        <v>358</v>
      </c>
      <c r="AF38" s="357">
        <f t="shared" si="1"/>
        <v>2</v>
      </c>
      <c r="AG38" s="182"/>
      <c r="AH38" s="182"/>
      <c r="AI38" s="182"/>
      <c r="AJ38" s="182"/>
      <c r="AK38" s="80">
        <v>0.0</v>
      </c>
      <c r="AL38" s="80">
        <v>0.0</v>
      </c>
      <c r="AM38" s="224">
        <v>2.0</v>
      </c>
      <c r="AN38" s="80">
        <v>0.0</v>
      </c>
      <c r="AO38" s="80">
        <v>0.0</v>
      </c>
      <c r="AP38" s="80">
        <v>0.0</v>
      </c>
      <c r="AQ38" s="80">
        <v>0.0</v>
      </c>
      <c r="AR38" s="80">
        <v>0.0</v>
      </c>
      <c r="AS38" s="358">
        <f t="shared" si="2"/>
        <v>2</v>
      </c>
      <c r="AT38" s="358">
        <f t="shared" si="3"/>
        <v>1</v>
      </c>
    </row>
    <row r="39" ht="1.5" customHeight="1">
      <c r="A39" s="63">
        <v>38.0</v>
      </c>
      <c r="B39" s="48" t="s">
        <v>170</v>
      </c>
      <c r="C39" s="63" t="s">
        <v>172</v>
      </c>
      <c r="D39" s="48" t="s">
        <v>171</v>
      </c>
      <c r="E39" s="482" t="s">
        <v>658</v>
      </c>
      <c r="F39" s="593">
        <v>40206.0</v>
      </c>
      <c r="G39" s="48">
        <v>3.0</v>
      </c>
      <c r="H39" s="48" t="s">
        <v>67</v>
      </c>
      <c r="I39" s="48" t="s">
        <v>7</v>
      </c>
      <c r="J39" s="235" t="s">
        <v>1611</v>
      </c>
      <c r="K39" s="235">
        <v>0.0</v>
      </c>
      <c r="L39" s="546">
        <v>127.0</v>
      </c>
      <c r="M39" s="546">
        <v>340.0</v>
      </c>
      <c r="N39" s="235" t="s">
        <v>354</v>
      </c>
      <c r="O39" s="235" t="s">
        <v>354</v>
      </c>
      <c r="P39" s="235" t="s">
        <v>354</v>
      </c>
      <c r="Q39" s="235" t="s">
        <v>354</v>
      </c>
      <c r="R39" s="551">
        <v>0.0</v>
      </c>
      <c r="S39" s="551">
        <v>0.0</v>
      </c>
      <c r="T39" s="551">
        <v>0.0</v>
      </c>
      <c r="U39" s="551">
        <v>0.0</v>
      </c>
      <c r="V39" s="551" t="s">
        <v>354</v>
      </c>
      <c r="W39" s="551" t="s">
        <v>354</v>
      </c>
      <c r="X39" s="166" t="s">
        <v>356</v>
      </c>
      <c r="Y39" s="166" t="s">
        <v>354</v>
      </c>
      <c r="Z39" s="560" t="s">
        <v>361</v>
      </c>
      <c r="AA39" s="560" t="s">
        <v>361</v>
      </c>
      <c r="AB39" s="555" t="s">
        <v>356</v>
      </c>
      <c r="AC39" s="555" t="s">
        <v>354</v>
      </c>
      <c r="AD39" s="36" t="s">
        <v>365</v>
      </c>
      <c r="AE39" s="73" t="s">
        <v>357</v>
      </c>
      <c r="AF39" s="357">
        <f t="shared" si="1"/>
        <v>1</v>
      </c>
      <c r="AG39" s="182"/>
      <c r="AH39" s="182"/>
      <c r="AI39" s="182"/>
      <c r="AJ39" s="182"/>
      <c r="AK39" s="80">
        <v>0.0</v>
      </c>
      <c r="AL39" s="80">
        <v>0.0</v>
      </c>
      <c r="AM39" s="80">
        <v>0.0</v>
      </c>
      <c r="AN39" s="80">
        <v>0.0</v>
      </c>
      <c r="AO39" s="80">
        <v>0.0</v>
      </c>
      <c r="AP39" s="224">
        <v>1.0</v>
      </c>
      <c r="AQ39" s="80">
        <v>0.0</v>
      </c>
      <c r="AR39" s="80">
        <v>0.0</v>
      </c>
      <c r="AS39" s="363">
        <f t="shared" si="2"/>
        <v>1</v>
      </c>
      <c r="AT39" s="363">
        <f t="shared" si="3"/>
        <v>1</v>
      </c>
    </row>
    <row r="40">
      <c r="A40" s="63">
        <v>39.0</v>
      </c>
      <c r="B40" s="48" t="s">
        <v>173</v>
      </c>
      <c r="C40" s="63" t="s">
        <v>175</v>
      </c>
      <c r="D40" s="48" t="s">
        <v>174</v>
      </c>
      <c r="E40" s="98" t="s">
        <v>673</v>
      </c>
      <c r="F40" s="593">
        <v>40206.0</v>
      </c>
      <c r="G40" s="48">
        <v>3.0</v>
      </c>
      <c r="H40" s="48" t="s">
        <v>8</v>
      </c>
      <c r="I40" s="48" t="s">
        <v>7</v>
      </c>
      <c r="J40" s="235" t="s">
        <v>354</v>
      </c>
      <c r="K40" s="235">
        <v>0.0</v>
      </c>
      <c r="L40" s="546">
        <v>123.0</v>
      </c>
      <c r="M40" s="546">
        <v>290.0</v>
      </c>
      <c r="N40" s="235" t="s">
        <v>354</v>
      </c>
      <c r="O40" s="235" t="s">
        <v>354</v>
      </c>
      <c r="P40" s="235" t="s">
        <v>354</v>
      </c>
      <c r="Q40" s="72" t="s">
        <v>1618</v>
      </c>
      <c r="R40" s="151">
        <v>35.74</v>
      </c>
      <c r="S40" s="551">
        <v>0.0</v>
      </c>
      <c r="T40" s="551">
        <v>0.0</v>
      </c>
      <c r="U40" s="551">
        <v>0.0</v>
      </c>
      <c r="V40" s="551" t="s">
        <v>354</v>
      </c>
      <c r="W40" s="551" t="s">
        <v>354</v>
      </c>
      <c r="X40" s="166" t="s">
        <v>356</v>
      </c>
      <c r="Y40" s="166" t="s">
        <v>354</v>
      </c>
      <c r="Z40" s="548" t="s">
        <v>365</v>
      </c>
      <c r="AA40" s="88" t="s">
        <v>358</v>
      </c>
      <c r="AB40" s="555" t="s">
        <v>356</v>
      </c>
      <c r="AC40" s="555" t="s">
        <v>354</v>
      </c>
      <c r="AD40" s="36" t="s">
        <v>365</v>
      </c>
      <c r="AE40" s="88" t="s">
        <v>358</v>
      </c>
      <c r="AF40" s="357">
        <f t="shared" si="1"/>
        <v>3</v>
      </c>
      <c r="AG40" s="182"/>
      <c r="AH40" s="182"/>
      <c r="AI40" s="182"/>
      <c r="AJ40" s="182"/>
      <c r="AK40" s="80">
        <v>0.0</v>
      </c>
      <c r="AL40" s="80">
        <v>0.0</v>
      </c>
      <c r="AM40" s="224">
        <v>2.0</v>
      </c>
      <c r="AN40" s="80">
        <v>0.0</v>
      </c>
      <c r="AO40" s="80">
        <v>0.0</v>
      </c>
      <c r="AP40" s="80">
        <v>0.0</v>
      </c>
      <c r="AQ40" s="80">
        <v>0.0</v>
      </c>
      <c r="AR40" s="80">
        <v>0.0</v>
      </c>
      <c r="AS40" s="358">
        <f t="shared" si="2"/>
        <v>2</v>
      </c>
      <c r="AT40" s="358">
        <f t="shared" si="3"/>
        <v>1</v>
      </c>
    </row>
    <row r="41">
      <c r="A41" s="63">
        <v>40.0</v>
      </c>
      <c r="B41" s="48" t="s">
        <v>176</v>
      </c>
      <c r="C41" s="63" t="s">
        <v>178</v>
      </c>
      <c r="D41" s="63" t="s">
        <v>675</v>
      </c>
      <c r="E41" s="482" t="s">
        <v>676</v>
      </c>
      <c r="F41" s="593">
        <v>40206.0</v>
      </c>
      <c r="G41" s="48">
        <v>3.0</v>
      </c>
      <c r="H41" s="48" t="s">
        <v>8</v>
      </c>
      <c r="I41" s="48" t="s">
        <v>37</v>
      </c>
      <c r="J41" s="235" t="s">
        <v>354</v>
      </c>
      <c r="K41" s="235">
        <v>0.0</v>
      </c>
      <c r="L41" s="546">
        <v>117.0</v>
      </c>
      <c r="M41" s="546">
        <v>255.0</v>
      </c>
      <c r="N41" s="235" t="s">
        <v>354</v>
      </c>
      <c r="O41" s="235" t="s">
        <v>354</v>
      </c>
      <c r="P41" s="235" t="s">
        <v>354</v>
      </c>
      <c r="Q41" s="235" t="s">
        <v>354</v>
      </c>
      <c r="R41" s="151">
        <v>31.64</v>
      </c>
      <c r="S41" s="551">
        <v>0.0</v>
      </c>
      <c r="T41" s="551">
        <v>0.0</v>
      </c>
      <c r="U41" s="551">
        <v>0.0</v>
      </c>
      <c r="V41" s="551" t="s">
        <v>354</v>
      </c>
      <c r="W41" s="551" t="s">
        <v>354</v>
      </c>
      <c r="X41" s="221" t="s">
        <v>365</v>
      </c>
      <c r="Y41" s="58" t="s">
        <v>380</v>
      </c>
      <c r="Z41" s="548" t="s">
        <v>365</v>
      </c>
      <c r="AA41" s="73" t="s">
        <v>357</v>
      </c>
      <c r="AB41" s="599" t="s">
        <v>365</v>
      </c>
      <c r="AC41" s="342" t="s">
        <v>1619</v>
      </c>
      <c r="AD41" s="43" t="s">
        <v>361</v>
      </c>
      <c r="AE41" s="43" t="s">
        <v>361</v>
      </c>
      <c r="AF41" s="357">
        <f t="shared" si="1"/>
        <v>3</v>
      </c>
      <c r="AG41" s="182"/>
      <c r="AH41" s="182"/>
      <c r="AI41" s="182"/>
      <c r="AJ41" s="182"/>
      <c r="AK41" s="80">
        <v>0.0</v>
      </c>
      <c r="AL41" s="80">
        <v>0.0</v>
      </c>
      <c r="AM41" s="80">
        <v>0.0</v>
      </c>
      <c r="AN41" s="80">
        <v>0.0</v>
      </c>
      <c r="AO41" s="80">
        <v>0.0</v>
      </c>
      <c r="AP41" s="224">
        <v>2.0</v>
      </c>
      <c r="AQ41" s="224">
        <v>1.0</v>
      </c>
      <c r="AR41" s="80">
        <v>0.0</v>
      </c>
      <c r="AS41" s="358">
        <f t="shared" si="2"/>
        <v>3</v>
      </c>
      <c r="AT41" s="358">
        <f t="shared" si="3"/>
        <v>2</v>
      </c>
    </row>
    <row r="42">
      <c r="A42" s="63">
        <v>41.0</v>
      </c>
      <c r="B42" s="48" t="s">
        <v>179</v>
      </c>
      <c r="C42" s="63" t="s">
        <v>181</v>
      </c>
      <c r="D42" s="48" t="s">
        <v>180</v>
      </c>
      <c r="E42" s="482" t="s">
        <v>685</v>
      </c>
      <c r="F42" s="593">
        <v>40206.0</v>
      </c>
      <c r="G42" s="48">
        <v>3.0</v>
      </c>
      <c r="H42" s="48" t="s">
        <v>8</v>
      </c>
      <c r="I42" s="48" t="s">
        <v>7</v>
      </c>
      <c r="J42" s="235" t="s">
        <v>354</v>
      </c>
      <c r="K42" s="235">
        <v>0.0</v>
      </c>
      <c r="L42" s="546">
        <v>116.0</v>
      </c>
      <c r="M42" s="546">
        <v>260.0</v>
      </c>
      <c r="N42" s="235" t="s">
        <v>354</v>
      </c>
      <c r="O42" s="235" t="s">
        <v>354</v>
      </c>
      <c r="P42" s="235" t="s">
        <v>354</v>
      </c>
      <c r="Q42" s="235" t="s">
        <v>354</v>
      </c>
      <c r="R42" s="151">
        <v>28.89</v>
      </c>
      <c r="S42" s="551">
        <v>0.0</v>
      </c>
      <c r="T42" s="551">
        <v>0.0</v>
      </c>
      <c r="U42" s="551">
        <v>0.0</v>
      </c>
      <c r="V42" s="551" t="s">
        <v>354</v>
      </c>
      <c r="W42" s="551" t="s">
        <v>354</v>
      </c>
      <c r="X42" s="221" t="s">
        <v>365</v>
      </c>
      <c r="Y42" s="87" t="s">
        <v>413</v>
      </c>
      <c r="Z42" s="548" t="s">
        <v>365</v>
      </c>
      <c r="AA42" s="87" t="s">
        <v>413</v>
      </c>
      <c r="AB42" s="549" t="s">
        <v>365</v>
      </c>
      <c r="AC42" s="87" t="s">
        <v>413</v>
      </c>
      <c r="AD42" s="36" t="s">
        <v>365</v>
      </c>
      <c r="AE42" s="87" t="s">
        <v>413</v>
      </c>
      <c r="AF42" s="357">
        <f t="shared" si="1"/>
        <v>4</v>
      </c>
      <c r="AG42" s="182"/>
      <c r="AH42" s="182"/>
      <c r="AI42" s="182"/>
      <c r="AJ42" s="182"/>
      <c r="AK42" s="80">
        <v>0.0</v>
      </c>
      <c r="AL42" s="80">
        <v>0.0</v>
      </c>
      <c r="AM42" s="80">
        <v>0.0</v>
      </c>
      <c r="AN42" s="80">
        <v>0.0</v>
      </c>
      <c r="AO42" s="224">
        <v>3.0</v>
      </c>
      <c r="AP42" s="80">
        <v>0.0</v>
      </c>
      <c r="AQ42" s="80">
        <v>0.0</v>
      </c>
      <c r="AR42" s="80">
        <v>0.0</v>
      </c>
      <c r="AS42" s="358">
        <f t="shared" si="2"/>
        <v>3</v>
      </c>
      <c r="AT42" s="358">
        <f t="shared" si="3"/>
        <v>1</v>
      </c>
    </row>
    <row r="43">
      <c r="A43" s="63">
        <v>42.0</v>
      </c>
      <c r="B43" s="48" t="s">
        <v>182</v>
      </c>
      <c r="C43" s="63" t="s">
        <v>184</v>
      </c>
      <c r="D43" s="63" t="s">
        <v>694</v>
      </c>
      <c r="E43" s="482" t="s">
        <v>695</v>
      </c>
      <c r="F43" s="593">
        <v>40206.0</v>
      </c>
      <c r="G43" s="48">
        <v>3.0</v>
      </c>
      <c r="H43" s="48" t="s">
        <v>8</v>
      </c>
      <c r="I43" s="48" t="s">
        <v>7</v>
      </c>
      <c r="J43" s="235" t="s">
        <v>354</v>
      </c>
      <c r="K43" s="235">
        <v>0.0</v>
      </c>
      <c r="L43" s="546">
        <v>122.0</v>
      </c>
      <c r="M43" s="546">
        <v>265.0</v>
      </c>
      <c r="N43" s="235" t="s">
        <v>354</v>
      </c>
      <c r="O43" s="235" t="s">
        <v>354</v>
      </c>
      <c r="P43" s="235" t="s">
        <v>354</v>
      </c>
      <c r="Q43" s="235" t="s">
        <v>354</v>
      </c>
      <c r="R43" s="151">
        <v>27.09</v>
      </c>
      <c r="S43" s="551">
        <v>0.0</v>
      </c>
      <c r="T43" s="551">
        <v>0.0</v>
      </c>
      <c r="U43" s="551">
        <v>0.0</v>
      </c>
      <c r="V43" s="551" t="s">
        <v>354</v>
      </c>
      <c r="W43" s="551" t="s">
        <v>354</v>
      </c>
      <c r="X43" s="221" t="s">
        <v>365</v>
      </c>
      <c r="Y43" s="26" t="s">
        <v>357</v>
      </c>
      <c r="Z43" s="548" t="s">
        <v>365</v>
      </c>
      <c r="AA43" s="341" t="s">
        <v>1620</v>
      </c>
      <c r="AB43" s="549" t="s">
        <v>365</v>
      </c>
      <c r="AC43" s="26" t="s">
        <v>357</v>
      </c>
      <c r="AD43" s="36" t="s">
        <v>365</v>
      </c>
      <c r="AE43" s="88" t="s">
        <v>358</v>
      </c>
      <c r="AF43" s="357">
        <f t="shared" si="1"/>
        <v>4</v>
      </c>
      <c r="AG43" s="182"/>
      <c r="AH43" s="182"/>
      <c r="AI43" s="182"/>
      <c r="AJ43" s="182"/>
      <c r="AK43" s="80">
        <v>0.0</v>
      </c>
      <c r="AL43" s="80">
        <v>0.0</v>
      </c>
      <c r="AM43" s="224">
        <v>2.0</v>
      </c>
      <c r="AN43" s="80">
        <v>0.0</v>
      </c>
      <c r="AO43" s="224">
        <v>1.0</v>
      </c>
      <c r="AP43" s="224">
        <v>2.0</v>
      </c>
      <c r="AQ43" s="80">
        <v>0.0</v>
      </c>
      <c r="AR43" s="80">
        <v>0.0</v>
      </c>
      <c r="AS43" s="358">
        <f t="shared" si="2"/>
        <v>5</v>
      </c>
      <c r="AT43" s="358">
        <f t="shared" si="3"/>
        <v>3</v>
      </c>
    </row>
    <row r="44">
      <c r="A44" s="63">
        <v>43.0</v>
      </c>
      <c r="B44" s="48" t="s">
        <v>185</v>
      </c>
      <c r="C44" s="63" t="s">
        <v>187</v>
      </c>
      <c r="D44" s="48" t="s">
        <v>186</v>
      </c>
      <c r="E44" s="98" t="s">
        <v>701</v>
      </c>
      <c r="F44" s="593">
        <v>40206.0</v>
      </c>
      <c r="G44" s="48">
        <v>3.0</v>
      </c>
      <c r="H44" s="48" t="s">
        <v>67</v>
      </c>
      <c r="I44" s="48" t="s">
        <v>7</v>
      </c>
      <c r="J44" s="235" t="s">
        <v>1057</v>
      </c>
      <c r="K44" s="235">
        <v>0.0</v>
      </c>
      <c r="L44" s="492" t="s">
        <v>354</v>
      </c>
      <c r="M44" s="492" t="s">
        <v>354</v>
      </c>
      <c r="N44" s="235" t="s">
        <v>354</v>
      </c>
      <c r="O44" s="235" t="s">
        <v>354</v>
      </c>
      <c r="P44" s="235" t="s">
        <v>354</v>
      </c>
      <c r="Q44" s="72" t="s">
        <v>1621</v>
      </c>
      <c r="R44" s="551">
        <v>0.0</v>
      </c>
      <c r="S44" s="551">
        <v>0.0</v>
      </c>
      <c r="T44" s="551">
        <v>0.0</v>
      </c>
      <c r="U44" s="551">
        <v>0.0</v>
      </c>
      <c r="V44" s="551" t="s">
        <v>354</v>
      </c>
      <c r="W44" s="551" t="s">
        <v>354</v>
      </c>
      <c r="X44" s="166" t="s">
        <v>356</v>
      </c>
      <c r="Y44" s="166" t="s">
        <v>354</v>
      </c>
      <c r="Z44" s="548" t="s">
        <v>365</v>
      </c>
      <c r="AA44" s="88" t="s">
        <v>358</v>
      </c>
      <c r="AB44" s="555" t="s">
        <v>356</v>
      </c>
      <c r="AC44" s="555" t="s">
        <v>354</v>
      </c>
      <c r="AD44" s="36" t="s">
        <v>365</v>
      </c>
      <c r="AE44" s="88" t="s">
        <v>358</v>
      </c>
      <c r="AF44" s="357">
        <f t="shared" si="1"/>
        <v>2</v>
      </c>
      <c r="AG44" s="182"/>
      <c r="AH44" s="182"/>
      <c r="AI44" s="182"/>
      <c r="AJ44" s="182"/>
      <c r="AK44" s="80">
        <v>0.0</v>
      </c>
      <c r="AL44" s="80">
        <v>0.0</v>
      </c>
      <c r="AM44" s="224">
        <v>2.0</v>
      </c>
      <c r="AN44" s="80">
        <v>0.0</v>
      </c>
      <c r="AO44" s="80">
        <v>0.0</v>
      </c>
      <c r="AP44" s="80">
        <v>0.0</v>
      </c>
      <c r="AQ44" s="80">
        <v>0.0</v>
      </c>
      <c r="AR44" s="80">
        <v>0.0</v>
      </c>
      <c r="AS44" s="358">
        <f t="shared" si="2"/>
        <v>2</v>
      </c>
      <c r="AT44" s="358">
        <f t="shared" si="3"/>
        <v>1</v>
      </c>
    </row>
    <row r="45">
      <c r="A45" s="63">
        <v>44.0</v>
      </c>
      <c r="B45" s="48" t="s">
        <v>188</v>
      </c>
      <c r="C45" s="63" t="s">
        <v>190</v>
      </c>
      <c r="D45" s="48" t="s">
        <v>189</v>
      </c>
      <c r="E45" s="98" t="s">
        <v>703</v>
      </c>
      <c r="F45" s="593">
        <v>40206.0</v>
      </c>
      <c r="G45" s="48">
        <v>3.0</v>
      </c>
      <c r="H45" s="48" t="s">
        <v>67</v>
      </c>
      <c r="I45" s="48" t="s">
        <v>7</v>
      </c>
      <c r="J45" s="235" t="s">
        <v>1611</v>
      </c>
      <c r="K45" s="235">
        <v>0.0</v>
      </c>
      <c r="L45" s="546">
        <v>122.0</v>
      </c>
      <c r="M45" s="546">
        <v>270.0</v>
      </c>
      <c r="N45" s="235" t="s">
        <v>354</v>
      </c>
      <c r="O45" s="235" t="s">
        <v>354</v>
      </c>
      <c r="P45" s="235" t="s">
        <v>354</v>
      </c>
      <c r="Q45" s="235" t="s">
        <v>354</v>
      </c>
      <c r="R45" s="151">
        <v>22.88</v>
      </c>
      <c r="S45" s="551">
        <v>0.0</v>
      </c>
      <c r="T45" s="551">
        <v>0.0</v>
      </c>
      <c r="U45" s="551">
        <v>0.0</v>
      </c>
      <c r="V45" s="551" t="s">
        <v>354</v>
      </c>
      <c r="W45" s="551" t="s">
        <v>354</v>
      </c>
      <c r="X45" s="166" t="s">
        <v>356</v>
      </c>
      <c r="Y45" s="166" t="s">
        <v>354</v>
      </c>
      <c r="Z45" s="548" t="s">
        <v>365</v>
      </c>
      <c r="AA45" s="87" t="s">
        <v>413</v>
      </c>
      <c r="AB45" s="549" t="s">
        <v>365</v>
      </c>
      <c r="AC45" s="164" t="s">
        <v>413</v>
      </c>
      <c r="AD45" s="36" t="s">
        <v>365</v>
      </c>
      <c r="AE45" s="88" t="s">
        <v>358</v>
      </c>
      <c r="AF45" s="357">
        <f t="shared" si="1"/>
        <v>4</v>
      </c>
      <c r="AG45" s="182"/>
      <c r="AH45" s="182"/>
      <c r="AI45" s="182"/>
      <c r="AJ45" s="182"/>
      <c r="AK45" s="80">
        <v>0.0</v>
      </c>
      <c r="AL45" s="80">
        <v>0.0</v>
      </c>
      <c r="AM45" s="224">
        <v>1.0</v>
      </c>
      <c r="AN45" s="80">
        <v>0.0</v>
      </c>
      <c r="AO45" s="224">
        <v>2.0</v>
      </c>
      <c r="AP45" s="80">
        <v>0.0</v>
      </c>
      <c r="AQ45" s="80">
        <v>0.0</v>
      </c>
      <c r="AR45" s="80">
        <v>0.0</v>
      </c>
      <c r="AS45" s="358">
        <f t="shared" si="2"/>
        <v>3</v>
      </c>
      <c r="AT45" s="358">
        <f t="shared" si="3"/>
        <v>2</v>
      </c>
    </row>
    <row r="46">
      <c r="A46" s="63">
        <v>45.0</v>
      </c>
      <c r="B46" s="48" t="s">
        <v>191</v>
      </c>
      <c r="C46" s="63" t="s">
        <v>193</v>
      </c>
      <c r="D46" s="48" t="s">
        <v>192</v>
      </c>
      <c r="E46" s="98" t="s">
        <v>705</v>
      </c>
      <c r="F46" s="593">
        <v>40206.0</v>
      </c>
      <c r="G46" s="48">
        <v>3.0</v>
      </c>
      <c r="H46" s="48" t="s">
        <v>67</v>
      </c>
      <c r="I46" s="48" t="s">
        <v>7</v>
      </c>
      <c r="J46" s="235" t="s">
        <v>1611</v>
      </c>
      <c r="K46" s="235">
        <v>0.0</v>
      </c>
      <c r="L46" s="546">
        <v>125.0</v>
      </c>
      <c r="M46" s="492" t="s">
        <v>354</v>
      </c>
      <c r="N46" s="235" t="s">
        <v>354</v>
      </c>
      <c r="O46" s="235" t="s">
        <v>354</v>
      </c>
      <c r="P46" s="235" t="s">
        <v>354</v>
      </c>
      <c r="Q46" s="235" t="s">
        <v>354</v>
      </c>
      <c r="R46" s="551">
        <v>0.0</v>
      </c>
      <c r="S46" s="551">
        <v>0.0</v>
      </c>
      <c r="T46" s="551">
        <v>0.0</v>
      </c>
      <c r="U46" s="551">
        <v>0.0</v>
      </c>
      <c r="V46" s="551" t="s">
        <v>354</v>
      </c>
      <c r="W46" s="551" t="s">
        <v>354</v>
      </c>
      <c r="X46" s="166" t="s">
        <v>356</v>
      </c>
      <c r="Y46" s="166" t="s">
        <v>354</v>
      </c>
      <c r="Z46" s="553" t="s">
        <v>356</v>
      </c>
      <c r="AA46" s="554" t="s">
        <v>354</v>
      </c>
      <c r="AB46" s="555" t="s">
        <v>356</v>
      </c>
      <c r="AC46" s="555" t="s">
        <v>354</v>
      </c>
      <c r="AD46" s="23" t="s">
        <v>356</v>
      </c>
      <c r="AE46" s="19" t="s">
        <v>354</v>
      </c>
      <c r="AF46" s="46">
        <f t="shared" si="1"/>
        <v>0</v>
      </c>
      <c r="AG46" s="182"/>
      <c r="AH46" s="182"/>
      <c r="AI46" s="182"/>
      <c r="AJ46" s="182"/>
      <c r="AK46" s="80">
        <v>0.0</v>
      </c>
      <c r="AL46" s="80">
        <v>0.0</v>
      </c>
      <c r="AM46" s="80">
        <v>0.0</v>
      </c>
      <c r="AN46" s="80">
        <v>0.0</v>
      </c>
      <c r="AO46" s="80">
        <v>0.0</v>
      </c>
      <c r="AP46" s="80">
        <v>0.0</v>
      </c>
      <c r="AQ46" s="80">
        <v>0.0</v>
      </c>
      <c r="AR46" s="80">
        <v>0.0</v>
      </c>
      <c r="AS46" s="182">
        <f t="shared" si="2"/>
        <v>0</v>
      </c>
      <c r="AT46" s="182">
        <f t="shared" si="3"/>
        <v>0</v>
      </c>
    </row>
    <row r="47" ht="13.5" customHeight="1">
      <c r="A47" s="63">
        <v>46.0</v>
      </c>
      <c r="B47" s="48" t="s">
        <v>194</v>
      </c>
      <c r="C47" s="63" t="s">
        <v>196</v>
      </c>
      <c r="D47" s="48" t="s">
        <v>195</v>
      </c>
      <c r="E47" s="482" t="s">
        <v>707</v>
      </c>
      <c r="F47" s="593">
        <v>40206.0</v>
      </c>
      <c r="G47" s="48">
        <v>3.0</v>
      </c>
      <c r="H47" s="48" t="s">
        <v>67</v>
      </c>
      <c r="I47" s="48" t="s">
        <v>7</v>
      </c>
      <c r="J47" s="235" t="s">
        <v>1611</v>
      </c>
      <c r="K47" s="235">
        <v>0.0</v>
      </c>
      <c r="L47" s="546">
        <v>121.0</v>
      </c>
      <c r="M47" s="546">
        <v>275.0</v>
      </c>
      <c r="N47" s="235" t="s">
        <v>354</v>
      </c>
      <c r="O47" s="235" t="s">
        <v>354</v>
      </c>
      <c r="P47" s="235" t="s">
        <v>354</v>
      </c>
      <c r="Q47" s="72" t="s">
        <v>354</v>
      </c>
      <c r="R47" s="151">
        <v>35.91</v>
      </c>
      <c r="S47" s="551">
        <v>0.0</v>
      </c>
      <c r="T47" s="551">
        <v>0.0</v>
      </c>
      <c r="U47" s="551">
        <v>0.0</v>
      </c>
      <c r="V47" s="551" t="s">
        <v>354</v>
      </c>
      <c r="W47" s="551" t="s">
        <v>354</v>
      </c>
      <c r="X47" s="166" t="s">
        <v>356</v>
      </c>
      <c r="Y47" s="166" t="s">
        <v>354</v>
      </c>
      <c r="Z47" s="548" t="s">
        <v>365</v>
      </c>
      <c r="AA47" s="73" t="s">
        <v>357</v>
      </c>
      <c r="AB47" s="549" t="s">
        <v>365</v>
      </c>
      <c r="AC47" s="26" t="s">
        <v>357</v>
      </c>
      <c r="AD47" s="43" t="s">
        <v>361</v>
      </c>
      <c r="AE47" s="43" t="s">
        <v>361</v>
      </c>
      <c r="AF47" s="357">
        <f t="shared" si="1"/>
        <v>3</v>
      </c>
      <c r="AG47" s="182"/>
      <c r="AH47" s="182"/>
      <c r="AI47" s="182"/>
      <c r="AJ47" s="182"/>
      <c r="AK47" s="80">
        <v>0.0</v>
      </c>
      <c r="AL47" s="80">
        <v>0.0</v>
      </c>
      <c r="AM47" s="80">
        <v>0.0</v>
      </c>
      <c r="AN47" s="80">
        <v>0.0</v>
      </c>
      <c r="AO47" s="80">
        <v>0.0</v>
      </c>
      <c r="AP47" s="224">
        <v>2.0</v>
      </c>
      <c r="AQ47" s="80">
        <v>0.0</v>
      </c>
      <c r="AR47" s="80">
        <v>0.0</v>
      </c>
      <c r="AS47" s="358">
        <f t="shared" si="2"/>
        <v>2</v>
      </c>
      <c r="AT47" s="358">
        <f t="shared" si="3"/>
        <v>1</v>
      </c>
    </row>
    <row r="48">
      <c r="A48" s="63">
        <v>47.0</v>
      </c>
      <c r="B48" s="48" t="s">
        <v>197</v>
      </c>
      <c r="C48" s="63" t="s">
        <v>199</v>
      </c>
      <c r="D48" s="63" t="s">
        <v>712</v>
      </c>
      <c r="E48" s="482" t="s">
        <v>1171</v>
      </c>
      <c r="F48" s="593">
        <v>40206.0</v>
      </c>
      <c r="G48" s="48">
        <v>3.0</v>
      </c>
      <c r="H48" s="48" t="s">
        <v>67</v>
      </c>
      <c r="I48" s="48" t="s">
        <v>7</v>
      </c>
      <c r="J48" s="235" t="s">
        <v>1611</v>
      </c>
      <c r="K48" s="235">
        <v>0.0</v>
      </c>
      <c r="L48" s="546">
        <v>129.0</v>
      </c>
      <c r="M48" s="546">
        <v>310.0</v>
      </c>
      <c r="N48" s="235" t="s">
        <v>354</v>
      </c>
      <c r="O48" s="235" t="s">
        <v>354</v>
      </c>
      <c r="P48" s="235" t="s">
        <v>354</v>
      </c>
      <c r="Q48" s="72" t="s">
        <v>575</v>
      </c>
      <c r="R48" s="551">
        <v>0.0</v>
      </c>
      <c r="S48" s="551">
        <v>0.0</v>
      </c>
      <c r="T48" s="551">
        <v>0.0</v>
      </c>
      <c r="U48" s="551">
        <v>0.0</v>
      </c>
      <c r="V48" s="551" t="s">
        <v>354</v>
      </c>
      <c r="W48" s="551" t="s">
        <v>354</v>
      </c>
      <c r="X48" s="166" t="s">
        <v>356</v>
      </c>
      <c r="Y48" s="166" t="s">
        <v>354</v>
      </c>
      <c r="Z48" s="560" t="s">
        <v>361</v>
      </c>
      <c r="AA48" s="560" t="s">
        <v>361</v>
      </c>
      <c r="AB48" s="549" t="s">
        <v>365</v>
      </c>
      <c r="AC48" s="26" t="s">
        <v>357</v>
      </c>
      <c r="AD48" s="36" t="s">
        <v>365</v>
      </c>
      <c r="AE48" s="73" t="s">
        <v>357</v>
      </c>
      <c r="AF48" s="357">
        <f t="shared" si="1"/>
        <v>2</v>
      </c>
      <c r="AG48" s="182"/>
      <c r="AH48" s="182"/>
      <c r="AI48" s="182"/>
      <c r="AJ48" s="182"/>
      <c r="AK48" s="80">
        <v>0.0</v>
      </c>
      <c r="AL48" s="80">
        <v>0.0</v>
      </c>
      <c r="AM48" s="80">
        <v>0.0</v>
      </c>
      <c r="AN48" s="80">
        <v>0.0</v>
      </c>
      <c r="AO48" s="80">
        <v>0.0</v>
      </c>
      <c r="AP48" s="224">
        <v>2.0</v>
      </c>
      <c r="AQ48" s="80">
        <v>0.0</v>
      </c>
      <c r="AR48" s="80">
        <v>0.0</v>
      </c>
      <c r="AS48" s="358">
        <f t="shared" si="2"/>
        <v>2</v>
      </c>
      <c r="AT48" s="358">
        <f t="shared" si="3"/>
        <v>1</v>
      </c>
    </row>
    <row r="49">
      <c r="A49" s="63">
        <v>48.0</v>
      </c>
      <c r="B49" s="48" t="s">
        <v>200</v>
      </c>
      <c r="C49" s="63" t="s">
        <v>202</v>
      </c>
      <c r="D49" s="48" t="s">
        <v>201</v>
      </c>
      <c r="E49" s="482" t="s">
        <v>1622</v>
      </c>
      <c r="F49" s="593">
        <v>40206.0</v>
      </c>
      <c r="G49" s="48">
        <v>3.0</v>
      </c>
      <c r="H49" s="48" t="s">
        <v>67</v>
      </c>
      <c r="I49" s="48" t="s">
        <v>7</v>
      </c>
      <c r="J49" s="235" t="s">
        <v>1611</v>
      </c>
      <c r="K49" s="235">
        <v>0.0</v>
      </c>
      <c r="L49" s="546">
        <v>123.0</v>
      </c>
      <c r="M49" s="546">
        <v>265.0</v>
      </c>
      <c r="N49" s="235" t="s">
        <v>354</v>
      </c>
      <c r="O49" s="235" t="s">
        <v>354</v>
      </c>
      <c r="P49" s="235" t="s">
        <v>354</v>
      </c>
      <c r="Q49" s="235" t="s">
        <v>354</v>
      </c>
      <c r="R49" s="551">
        <v>0.0</v>
      </c>
      <c r="S49" s="551">
        <v>0.0</v>
      </c>
      <c r="T49" s="551">
        <v>0.0</v>
      </c>
      <c r="U49" s="551">
        <v>0.0</v>
      </c>
      <c r="V49" s="551" t="s">
        <v>354</v>
      </c>
      <c r="W49" s="551" t="s">
        <v>354</v>
      </c>
      <c r="X49" s="166" t="s">
        <v>356</v>
      </c>
      <c r="Y49" s="166" t="s">
        <v>354</v>
      </c>
      <c r="Z49" s="553" t="s">
        <v>356</v>
      </c>
      <c r="AA49" s="554" t="s">
        <v>354</v>
      </c>
      <c r="AB49" s="555" t="s">
        <v>356</v>
      </c>
      <c r="AC49" s="555" t="s">
        <v>354</v>
      </c>
      <c r="AD49" s="23" t="s">
        <v>356</v>
      </c>
      <c r="AE49" s="19" t="s">
        <v>354</v>
      </c>
      <c r="AF49" s="46">
        <f t="shared" si="1"/>
        <v>0</v>
      </c>
      <c r="AG49" s="182"/>
      <c r="AH49" s="182"/>
      <c r="AI49" s="182"/>
      <c r="AJ49" s="182"/>
      <c r="AK49" s="80">
        <v>0.0</v>
      </c>
      <c r="AL49" s="80">
        <v>0.0</v>
      </c>
      <c r="AM49" s="80">
        <v>0.0</v>
      </c>
      <c r="AN49" s="80">
        <v>0.0</v>
      </c>
      <c r="AO49" s="80">
        <v>0.0</v>
      </c>
      <c r="AP49" s="80">
        <v>0.0</v>
      </c>
      <c r="AQ49" s="80">
        <v>0.0</v>
      </c>
      <c r="AR49" s="80">
        <v>0.0</v>
      </c>
      <c r="AS49" s="182">
        <f t="shared" si="2"/>
        <v>0</v>
      </c>
      <c r="AT49" s="182">
        <f t="shared" si="3"/>
        <v>0</v>
      </c>
    </row>
    <row r="50">
      <c r="A50" s="63">
        <v>49.0</v>
      </c>
      <c r="B50" s="48" t="s">
        <v>203</v>
      </c>
      <c r="C50" s="601" t="s">
        <v>205</v>
      </c>
      <c r="D50" s="603" t="s">
        <v>204</v>
      </c>
      <c r="E50" s="602" t="s">
        <v>725</v>
      </c>
      <c r="F50" s="593">
        <v>40206.0</v>
      </c>
      <c r="G50" s="48">
        <v>3.0</v>
      </c>
      <c r="H50" s="48" t="s">
        <v>67</v>
      </c>
      <c r="I50" s="48" t="s">
        <v>37</v>
      </c>
      <c r="J50" s="235" t="s">
        <v>1611</v>
      </c>
      <c r="K50" s="235">
        <v>0.0</v>
      </c>
      <c r="L50" s="492" t="s">
        <v>354</v>
      </c>
      <c r="M50" s="546">
        <v>255.0</v>
      </c>
      <c r="N50" s="235" t="s">
        <v>354</v>
      </c>
      <c r="O50" s="235" t="s">
        <v>354</v>
      </c>
      <c r="P50" s="235" t="s">
        <v>354</v>
      </c>
      <c r="Q50" s="72" t="s">
        <v>727</v>
      </c>
      <c r="R50" s="151">
        <v>28.9</v>
      </c>
      <c r="S50" s="551">
        <v>0.0</v>
      </c>
      <c r="T50" s="551">
        <v>0.0</v>
      </c>
      <c r="U50" s="221">
        <v>41.39</v>
      </c>
      <c r="V50" s="551" t="s">
        <v>356</v>
      </c>
      <c r="W50" s="551" t="s">
        <v>354</v>
      </c>
      <c r="X50" s="166" t="s">
        <v>356</v>
      </c>
      <c r="Y50" s="166" t="s">
        <v>354</v>
      </c>
      <c r="Z50" s="548" t="s">
        <v>365</v>
      </c>
      <c r="AA50" s="88" t="s">
        <v>358</v>
      </c>
      <c r="AB50" s="549" t="s">
        <v>365</v>
      </c>
      <c r="AC50" s="99" t="s">
        <v>363</v>
      </c>
      <c r="AD50" s="36" t="s">
        <v>365</v>
      </c>
      <c r="AE50" s="88" t="s">
        <v>358</v>
      </c>
      <c r="AF50" s="357">
        <f t="shared" si="1"/>
        <v>4</v>
      </c>
      <c r="AG50" s="182"/>
      <c r="AH50" s="182"/>
      <c r="AI50" s="182"/>
      <c r="AJ50" s="182"/>
      <c r="AK50" s="80">
        <v>0.0</v>
      </c>
      <c r="AL50" s="80">
        <v>0.0</v>
      </c>
      <c r="AM50" s="224">
        <v>2.0</v>
      </c>
      <c r="AN50" s="224">
        <v>1.0</v>
      </c>
      <c r="AO50" s="80">
        <v>0.0</v>
      </c>
      <c r="AP50" s="80">
        <v>0.0</v>
      </c>
      <c r="AQ50" s="80">
        <v>0.0</v>
      </c>
      <c r="AR50" s="80">
        <v>0.0</v>
      </c>
      <c r="AS50" s="358">
        <f t="shared" si="2"/>
        <v>3</v>
      </c>
      <c r="AT50" s="358">
        <f t="shared" si="3"/>
        <v>2</v>
      </c>
    </row>
    <row r="51">
      <c r="A51" s="63">
        <v>50.0</v>
      </c>
      <c r="B51" s="48" t="s">
        <v>206</v>
      </c>
      <c r="C51" s="601" t="s">
        <v>208</v>
      </c>
      <c r="D51" s="603" t="s">
        <v>207</v>
      </c>
      <c r="E51" s="604" t="s">
        <v>743</v>
      </c>
      <c r="F51" s="593">
        <v>40206.0</v>
      </c>
      <c r="G51" s="48">
        <v>3.0</v>
      </c>
      <c r="H51" s="48" t="s">
        <v>67</v>
      </c>
      <c r="I51" s="48" t="s">
        <v>7</v>
      </c>
      <c r="J51" s="235" t="s">
        <v>1611</v>
      </c>
      <c r="K51" s="235">
        <v>0.0</v>
      </c>
      <c r="L51" s="492" t="s">
        <v>354</v>
      </c>
      <c r="M51" s="546">
        <v>245.0</v>
      </c>
      <c r="N51" s="235" t="s">
        <v>354</v>
      </c>
      <c r="O51" s="235" t="s">
        <v>354</v>
      </c>
      <c r="P51" s="235" t="s">
        <v>354</v>
      </c>
      <c r="Q51" s="235" t="s">
        <v>354</v>
      </c>
      <c r="R51" s="151">
        <v>34.46</v>
      </c>
      <c r="S51" s="551">
        <v>0.0</v>
      </c>
      <c r="T51" s="551">
        <v>0.0</v>
      </c>
      <c r="U51" s="221">
        <v>38.57</v>
      </c>
      <c r="V51" s="551" t="s">
        <v>356</v>
      </c>
      <c r="W51" s="551" t="s">
        <v>354</v>
      </c>
      <c r="X51" s="166" t="s">
        <v>356</v>
      </c>
      <c r="Y51" s="166" t="s">
        <v>354</v>
      </c>
      <c r="Z51" s="548" t="s">
        <v>365</v>
      </c>
      <c r="AA51" s="118" t="s">
        <v>420</v>
      </c>
      <c r="AB51" s="555" t="s">
        <v>356</v>
      </c>
      <c r="AC51" s="555" t="s">
        <v>354</v>
      </c>
      <c r="AD51" s="36" t="s">
        <v>365</v>
      </c>
      <c r="AE51" s="118" t="s">
        <v>420</v>
      </c>
      <c r="AF51" s="357">
        <f t="shared" si="1"/>
        <v>3</v>
      </c>
      <c r="AG51" s="182"/>
      <c r="AH51" s="182"/>
      <c r="AI51" s="182"/>
      <c r="AJ51" s="182"/>
      <c r="AK51" s="80">
        <v>0.0</v>
      </c>
      <c r="AL51" s="224">
        <v>2.0</v>
      </c>
      <c r="AM51" s="80">
        <v>0.0</v>
      </c>
      <c r="AN51" s="80">
        <v>0.0</v>
      </c>
      <c r="AO51" s="80">
        <v>0.0</v>
      </c>
      <c r="AP51" s="80">
        <v>0.0</v>
      </c>
      <c r="AQ51" s="80">
        <v>0.0</v>
      </c>
      <c r="AR51" s="80">
        <v>0.0</v>
      </c>
      <c r="AS51" s="358">
        <f t="shared" si="2"/>
        <v>2</v>
      </c>
      <c r="AT51" s="358">
        <f t="shared" si="3"/>
        <v>1</v>
      </c>
    </row>
    <row r="52">
      <c r="A52" s="63">
        <v>51.0</v>
      </c>
      <c r="B52" s="48" t="s">
        <v>209</v>
      </c>
      <c r="C52" s="63" t="s">
        <v>211</v>
      </c>
      <c r="D52" s="48" t="s">
        <v>210</v>
      </c>
      <c r="E52" s="482" t="s">
        <v>748</v>
      </c>
      <c r="F52" s="593">
        <v>40206.0</v>
      </c>
      <c r="G52" s="48">
        <v>3.0</v>
      </c>
      <c r="H52" s="48" t="s">
        <v>67</v>
      </c>
      <c r="I52" s="48" t="s">
        <v>7</v>
      </c>
      <c r="J52" s="235" t="s">
        <v>1611</v>
      </c>
      <c r="K52" s="235">
        <v>0.0</v>
      </c>
      <c r="L52" s="492" t="s">
        <v>354</v>
      </c>
      <c r="M52" s="546">
        <v>305.0</v>
      </c>
      <c r="N52" s="235" t="s">
        <v>354</v>
      </c>
      <c r="O52" s="235" t="s">
        <v>354</v>
      </c>
      <c r="P52" s="235" t="s">
        <v>354</v>
      </c>
      <c r="Q52" s="235" t="s">
        <v>354</v>
      </c>
      <c r="R52" s="551">
        <v>0.0</v>
      </c>
      <c r="S52" s="551">
        <v>0.0</v>
      </c>
      <c r="T52" s="551">
        <v>0.0</v>
      </c>
      <c r="U52" s="551">
        <v>0.0</v>
      </c>
      <c r="V52" s="551" t="s">
        <v>354</v>
      </c>
      <c r="W52" s="551" t="s">
        <v>354</v>
      </c>
      <c r="X52" s="166" t="s">
        <v>356</v>
      </c>
      <c r="Y52" s="166" t="s">
        <v>354</v>
      </c>
      <c r="Z52" s="553" t="s">
        <v>356</v>
      </c>
      <c r="AA52" s="554" t="s">
        <v>354</v>
      </c>
      <c r="AB52" s="555" t="s">
        <v>356</v>
      </c>
      <c r="AC52" s="555" t="s">
        <v>354</v>
      </c>
      <c r="AD52" s="23" t="s">
        <v>356</v>
      </c>
      <c r="AE52" s="19" t="s">
        <v>354</v>
      </c>
      <c r="AF52" s="46">
        <f t="shared" si="1"/>
        <v>0</v>
      </c>
      <c r="AG52" s="182"/>
      <c r="AH52" s="182"/>
      <c r="AI52" s="182"/>
      <c r="AJ52" s="182"/>
      <c r="AK52" s="80">
        <v>0.0</v>
      </c>
      <c r="AL52" s="80">
        <v>0.0</v>
      </c>
      <c r="AM52" s="80">
        <v>0.0</v>
      </c>
      <c r="AN52" s="80">
        <v>0.0</v>
      </c>
      <c r="AO52" s="80">
        <v>0.0</v>
      </c>
      <c r="AP52" s="80">
        <v>0.0</v>
      </c>
      <c r="AQ52" s="80">
        <v>0.0</v>
      </c>
      <c r="AR52" s="80">
        <v>0.0</v>
      </c>
      <c r="AS52" s="182">
        <f t="shared" si="2"/>
        <v>0</v>
      </c>
      <c r="AT52" s="182">
        <f t="shared" si="3"/>
        <v>0</v>
      </c>
    </row>
    <row r="53">
      <c r="A53" s="63">
        <v>52.0</v>
      </c>
      <c r="B53" s="48" t="s">
        <v>212</v>
      </c>
      <c r="C53" s="63" t="s">
        <v>214</v>
      </c>
      <c r="D53" s="48" t="s">
        <v>213</v>
      </c>
      <c r="E53" s="482" t="s">
        <v>753</v>
      </c>
      <c r="F53" s="593">
        <v>40206.0</v>
      </c>
      <c r="G53" s="48">
        <v>3.0</v>
      </c>
      <c r="H53" s="48" t="s">
        <v>67</v>
      </c>
      <c r="I53" s="48" t="s">
        <v>7</v>
      </c>
      <c r="J53" s="235" t="s">
        <v>1611</v>
      </c>
      <c r="K53" s="235">
        <v>0.0</v>
      </c>
      <c r="L53" s="492" t="s">
        <v>354</v>
      </c>
      <c r="M53" s="546">
        <v>290.0</v>
      </c>
      <c r="N53" s="235" t="s">
        <v>354</v>
      </c>
      <c r="O53" s="235" t="s">
        <v>354</v>
      </c>
      <c r="P53" s="235" t="s">
        <v>354</v>
      </c>
      <c r="Q53" s="235" t="s">
        <v>354</v>
      </c>
      <c r="R53" s="151">
        <v>29.48</v>
      </c>
      <c r="S53" s="551">
        <v>0.0</v>
      </c>
      <c r="T53" s="551">
        <v>0.0</v>
      </c>
      <c r="U53" s="551">
        <v>0.0</v>
      </c>
      <c r="V53" s="551" t="s">
        <v>354</v>
      </c>
      <c r="W53" s="551" t="s">
        <v>354</v>
      </c>
      <c r="X53" s="166" t="s">
        <v>356</v>
      </c>
      <c r="Y53" s="166" t="s">
        <v>354</v>
      </c>
      <c r="Z53" s="548" t="s">
        <v>365</v>
      </c>
      <c r="AA53" s="88" t="s">
        <v>358</v>
      </c>
      <c r="AB53" s="549" t="s">
        <v>365</v>
      </c>
      <c r="AC53" s="164" t="s">
        <v>413</v>
      </c>
      <c r="AD53" s="36" t="s">
        <v>365</v>
      </c>
      <c r="AE53" s="88" t="s">
        <v>358</v>
      </c>
      <c r="AF53" s="357">
        <f t="shared" si="1"/>
        <v>4</v>
      </c>
      <c r="AG53" s="182"/>
      <c r="AH53" s="182"/>
      <c r="AI53" s="182"/>
      <c r="AJ53" s="182"/>
      <c r="AK53" s="80">
        <v>0.0</v>
      </c>
      <c r="AL53" s="80">
        <v>0.0</v>
      </c>
      <c r="AM53" s="224">
        <v>2.0</v>
      </c>
      <c r="AN53" s="80">
        <v>0.0</v>
      </c>
      <c r="AO53" s="224">
        <v>1.0</v>
      </c>
      <c r="AP53" s="80">
        <v>0.0</v>
      </c>
      <c r="AQ53" s="80">
        <v>0.0</v>
      </c>
      <c r="AR53" s="80">
        <v>0.0</v>
      </c>
      <c r="AS53" s="358">
        <f t="shared" si="2"/>
        <v>3</v>
      </c>
      <c r="AT53" s="358">
        <f t="shared" si="3"/>
        <v>2</v>
      </c>
    </row>
    <row r="54">
      <c r="A54" s="63">
        <v>53.0</v>
      </c>
      <c r="B54" s="48" t="s">
        <v>215</v>
      </c>
      <c r="C54" s="63" t="s">
        <v>217</v>
      </c>
      <c r="D54" s="48" t="s">
        <v>216</v>
      </c>
      <c r="E54" s="482" t="s">
        <v>764</v>
      </c>
      <c r="F54" s="593">
        <v>40206.0</v>
      </c>
      <c r="G54" s="48">
        <v>3.0</v>
      </c>
      <c r="H54" s="48" t="s">
        <v>67</v>
      </c>
      <c r="I54" s="48" t="s">
        <v>37</v>
      </c>
      <c r="J54" s="235" t="s">
        <v>1611</v>
      </c>
      <c r="K54" s="235">
        <v>0.0</v>
      </c>
      <c r="L54" s="546">
        <v>124.0</v>
      </c>
      <c r="M54" s="546">
        <v>265.0</v>
      </c>
      <c r="N54" s="235" t="s">
        <v>354</v>
      </c>
      <c r="O54" s="235" t="s">
        <v>354</v>
      </c>
      <c r="P54" s="235" t="s">
        <v>354</v>
      </c>
      <c r="Q54" s="235" t="s">
        <v>354</v>
      </c>
      <c r="R54" s="151">
        <v>37.76</v>
      </c>
      <c r="S54" s="551">
        <v>0.0</v>
      </c>
      <c r="T54" s="551">
        <v>0.0</v>
      </c>
      <c r="U54" s="551">
        <v>0.0</v>
      </c>
      <c r="V54" s="551" t="s">
        <v>354</v>
      </c>
      <c r="W54" s="551" t="s">
        <v>354</v>
      </c>
      <c r="X54" s="166" t="s">
        <v>356</v>
      </c>
      <c r="Y54" s="166" t="s">
        <v>354</v>
      </c>
      <c r="Z54" s="598" t="s">
        <v>365</v>
      </c>
      <c r="AA54" s="391" t="s">
        <v>380</v>
      </c>
      <c r="AB54" s="549" t="s">
        <v>365</v>
      </c>
      <c r="AC54" s="99" t="s">
        <v>363</v>
      </c>
      <c r="AD54" s="36" t="s">
        <v>365</v>
      </c>
      <c r="AE54" s="35" t="s">
        <v>363</v>
      </c>
      <c r="AF54" s="357">
        <f t="shared" si="1"/>
        <v>4</v>
      </c>
      <c r="AG54" s="182"/>
      <c r="AH54" s="182"/>
      <c r="AI54" s="182"/>
      <c r="AJ54" s="182"/>
      <c r="AK54" s="80">
        <v>0.0</v>
      </c>
      <c r="AL54" s="80">
        <v>0.0</v>
      </c>
      <c r="AM54" s="80">
        <v>0.0</v>
      </c>
      <c r="AN54" s="224">
        <v>2.0</v>
      </c>
      <c r="AO54" s="80">
        <v>0.0</v>
      </c>
      <c r="AP54" s="80">
        <v>0.0</v>
      </c>
      <c r="AQ54" s="224">
        <v>1.0</v>
      </c>
      <c r="AR54" s="80">
        <v>0.0</v>
      </c>
      <c r="AS54" s="358">
        <f t="shared" si="2"/>
        <v>3</v>
      </c>
      <c r="AT54" s="358">
        <f t="shared" si="3"/>
        <v>2</v>
      </c>
    </row>
    <row r="55">
      <c r="A55" s="63">
        <v>54.0</v>
      </c>
      <c r="B55" s="48" t="s">
        <v>218</v>
      </c>
      <c r="C55" s="63" t="s">
        <v>220</v>
      </c>
      <c r="D55" s="48" t="s">
        <v>219</v>
      </c>
      <c r="E55" s="98" t="s">
        <v>769</v>
      </c>
      <c r="F55" s="593">
        <v>40206.0</v>
      </c>
      <c r="G55" s="48">
        <v>3.0</v>
      </c>
      <c r="H55" s="48" t="s">
        <v>67</v>
      </c>
      <c r="I55" s="48" t="s">
        <v>7</v>
      </c>
      <c r="J55" s="235" t="s">
        <v>1611</v>
      </c>
      <c r="K55" s="235">
        <v>0.0</v>
      </c>
      <c r="L55" s="546">
        <v>122.0</v>
      </c>
      <c r="M55" s="546">
        <v>260.0</v>
      </c>
      <c r="N55" s="235" t="s">
        <v>354</v>
      </c>
      <c r="O55" s="235" t="s">
        <v>354</v>
      </c>
      <c r="P55" s="235" t="s">
        <v>354</v>
      </c>
      <c r="Q55" s="235" t="s">
        <v>354</v>
      </c>
      <c r="R55" s="151">
        <v>30.17</v>
      </c>
      <c r="S55" s="551">
        <v>0.0</v>
      </c>
      <c r="T55" s="551">
        <v>0.0</v>
      </c>
      <c r="U55" s="551">
        <v>0.0</v>
      </c>
      <c r="V55" s="551" t="s">
        <v>354</v>
      </c>
      <c r="W55" s="551" t="s">
        <v>354</v>
      </c>
      <c r="X55" s="166" t="s">
        <v>356</v>
      </c>
      <c r="Y55" s="166" t="s">
        <v>354</v>
      </c>
      <c r="Z55" s="548" t="s">
        <v>365</v>
      </c>
      <c r="AA55" s="73" t="s">
        <v>357</v>
      </c>
      <c r="AB55" s="549" t="s">
        <v>365</v>
      </c>
      <c r="AC55" s="26" t="s">
        <v>357</v>
      </c>
      <c r="AD55" s="43" t="s">
        <v>361</v>
      </c>
      <c r="AE55" s="43" t="s">
        <v>361</v>
      </c>
      <c r="AF55" s="357">
        <f t="shared" si="1"/>
        <v>3</v>
      </c>
      <c r="AG55" s="182"/>
      <c r="AH55" s="182"/>
      <c r="AI55" s="182"/>
      <c r="AJ55" s="182"/>
      <c r="AK55" s="80">
        <v>0.0</v>
      </c>
      <c r="AL55" s="80">
        <v>0.0</v>
      </c>
      <c r="AM55" s="80">
        <v>0.0</v>
      </c>
      <c r="AN55" s="80">
        <v>0.0</v>
      </c>
      <c r="AO55" s="80">
        <v>0.0</v>
      </c>
      <c r="AP55" s="224">
        <v>2.0</v>
      </c>
      <c r="AQ55" s="80">
        <v>0.0</v>
      </c>
      <c r="AR55" s="80">
        <v>0.0</v>
      </c>
      <c r="AS55" s="358">
        <f t="shared" si="2"/>
        <v>2</v>
      </c>
      <c r="AT55" s="358">
        <f t="shared" si="3"/>
        <v>1</v>
      </c>
    </row>
    <row r="56">
      <c r="A56" s="63">
        <v>55.0</v>
      </c>
      <c r="B56" s="48" t="s">
        <v>221</v>
      </c>
      <c r="C56" s="601" t="s">
        <v>223</v>
      </c>
      <c r="D56" s="601" t="s">
        <v>1422</v>
      </c>
      <c r="E56" s="602" t="s">
        <v>775</v>
      </c>
      <c r="F56" s="593">
        <v>40206.0</v>
      </c>
      <c r="G56" s="48">
        <v>3.0</v>
      </c>
      <c r="H56" s="48" t="s">
        <v>67</v>
      </c>
      <c r="I56" s="48" t="s">
        <v>7</v>
      </c>
      <c r="J56" s="235" t="s">
        <v>1611</v>
      </c>
      <c r="K56" s="235">
        <v>0.0</v>
      </c>
      <c r="L56" s="546">
        <v>120.0</v>
      </c>
      <c r="M56" s="546">
        <v>275.0</v>
      </c>
      <c r="N56" s="235" t="s">
        <v>354</v>
      </c>
      <c r="O56" s="235" t="s">
        <v>354</v>
      </c>
      <c r="P56" s="235" t="s">
        <v>354</v>
      </c>
      <c r="Q56" s="235" t="s">
        <v>354</v>
      </c>
      <c r="R56" s="551">
        <v>0.0</v>
      </c>
      <c r="S56" s="551">
        <v>0.0</v>
      </c>
      <c r="T56" s="551">
        <v>0.0</v>
      </c>
      <c r="U56" s="221">
        <v>38.63</v>
      </c>
      <c r="V56" s="551" t="s">
        <v>356</v>
      </c>
      <c r="W56" s="551" t="s">
        <v>354</v>
      </c>
      <c r="X56" s="166" t="s">
        <v>356</v>
      </c>
      <c r="Y56" s="166" t="s">
        <v>354</v>
      </c>
      <c r="Z56" s="560" t="s">
        <v>361</v>
      </c>
      <c r="AA56" s="560" t="s">
        <v>361</v>
      </c>
      <c r="AB56" s="555" t="s">
        <v>356</v>
      </c>
      <c r="AC56" s="555" t="s">
        <v>354</v>
      </c>
      <c r="AD56" s="36" t="s">
        <v>365</v>
      </c>
      <c r="AE56" s="88" t="s">
        <v>358</v>
      </c>
      <c r="AF56" s="357">
        <f t="shared" si="1"/>
        <v>1</v>
      </c>
      <c r="AG56" s="182"/>
      <c r="AH56" s="182"/>
      <c r="AI56" s="182"/>
      <c r="AJ56" s="182"/>
      <c r="AK56" s="80">
        <v>0.0</v>
      </c>
      <c r="AL56" s="80">
        <v>0.0</v>
      </c>
      <c r="AM56" s="224">
        <v>1.0</v>
      </c>
      <c r="AN56" s="80">
        <v>0.0</v>
      </c>
      <c r="AO56" s="80">
        <v>0.0</v>
      </c>
      <c r="AP56" s="80">
        <v>0.0</v>
      </c>
      <c r="AQ56" s="80">
        <v>0.0</v>
      </c>
      <c r="AR56" s="80">
        <v>0.0</v>
      </c>
      <c r="AS56" s="363">
        <f t="shared" si="2"/>
        <v>1</v>
      </c>
      <c r="AT56" s="363">
        <f t="shared" si="3"/>
        <v>1</v>
      </c>
    </row>
    <row r="57">
      <c r="A57" s="63">
        <v>56.0</v>
      </c>
      <c r="B57" s="48" t="s">
        <v>224</v>
      </c>
      <c r="C57" s="63" t="s">
        <v>226</v>
      </c>
      <c r="D57" s="48" t="s">
        <v>225</v>
      </c>
      <c r="E57" s="605" t="s">
        <v>789</v>
      </c>
      <c r="F57" s="593">
        <v>40206.0</v>
      </c>
      <c r="G57" s="48">
        <v>3.0</v>
      </c>
      <c r="H57" s="48" t="s">
        <v>67</v>
      </c>
      <c r="I57" s="48" t="s">
        <v>7</v>
      </c>
      <c r="J57" s="235" t="s">
        <v>1611</v>
      </c>
      <c r="K57" s="235">
        <v>0.0</v>
      </c>
      <c r="L57" s="546">
        <v>118.0</v>
      </c>
      <c r="M57" s="546">
        <v>275.0</v>
      </c>
      <c r="N57" s="235" t="s">
        <v>354</v>
      </c>
      <c r="O57" s="235" t="s">
        <v>354</v>
      </c>
      <c r="P57" s="235" t="s">
        <v>354</v>
      </c>
      <c r="Q57" s="235" t="s">
        <v>354</v>
      </c>
      <c r="R57" s="151">
        <v>39.19</v>
      </c>
      <c r="S57" s="551">
        <v>0.0</v>
      </c>
      <c r="T57" s="551">
        <v>0.0</v>
      </c>
      <c r="U57" s="551">
        <v>0.0</v>
      </c>
      <c r="V57" s="551" t="s">
        <v>354</v>
      </c>
      <c r="W57" s="551" t="s">
        <v>354</v>
      </c>
      <c r="X57" s="166" t="s">
        <v>356</v>
      </c>
      <c r="Y57" s="166" t="s">
        <v>354</v>
      </c>
      <c r="Z57" s="548" t="s">
        <v>365</v>
      </c>
      <c r="AA57" s="73" t="s">
        <v>357</v>
      </c>
      <c r="AB57" s="549" t="s">
        <v>365</v>
      </c>
      <c r="AC57" s="62" t="s">
        <v>389</v>
      </c>
      <c r="AD57" s="43" t="s">
        <v>361</v>
      </c>
      <c r="AE57" s="43" t="s">
        <v>361</v>
      </c>
      <c r="AF57" s="357">
        <f t="shared" si="1"/>
        <v>3</v>
      </c>
      <c r="AG57" s="182"/>
      <c r="AH57" s="182"/>
      <c r="AI57" s="182"/>
      <c r="AJ57" s="182"/>
      <c r="AK57" s="224">
        <v>1.0</v>
      </c>
      <c r="AL57" s="80">
        <v>0.0</v>
      </c>
      <c r="AM57" s="80">
        <v>0.0</v>
      </c>
      <c r="AN57" s="80">
        <v>0.0</v>
      </c>
      <c r="AO57" s="80">
        <v>0.0</v>
      </c>
      <c r="AP57" s="224">
        <v>1.0</v>
      </c>
      <c r="AQ57" s="80">
        <v>0.0</v>
      </c>
      <c r="AR57" s="80">
        <v>0.0</v>
      </c>
      <c r="AS57" s="358">
        <f t="shared" si="2"/>
        <v>2</v>
      </c>
      <c r="AT57" s="358">
        <f t="shared" si="3"/>
        <v>2</v>
      </c>
    </row>
    <row r="58">
      <c r="A58" s="63">
        <v>57.0</v>
      </c>
      <c r="B58" s="48" t="s">
        <v>227</v>
      </c>
      <c r="C58" s="63" t="s">
        <v>229</v>
      </c>
      <c r="D58" s="48" t="s">
        <v>228</v>
      </c>
      <c r="E58" s="482" t="s">
        <v>1623</v>
      </c>
      <c r="F58" s="593">
        <v>40206.0</v>
      </c>
      <c r="G58" s="48">
        <v>3.0</v>
      </c>
      <c r="H58" s="48" t="s">
        <v>67</v>
      </c>
      <c r="I58" s="63" t="s">
        <v>433</v>
      </c>
      <c r="J58" s="235" t="s">
        <v>770</v>
      </c>
      <c r="K58" s="235">
        <v>0.0</v>
      </c>
      <c r="L58" s="492" t="s">
        <v>354</v>
      </c>
      <c r="M58" s="546">
        <v>185.0</v>
      </c>
      <c r="N58" s="235" t="s">
        <v>354</v>
      </c>
      <c r="O58" s="235" t="s">
        <v>354</v>
      </c>
      <c r="P58" s="235" t="s">
        <v>354</v>
      </c>
      <c r="Q58" s="235" t="s">
        <v>354</v>
      </c>
      <c r="R58" s="151">
        <v>28.36</v>
      </c>
      <c r="S58" s="551">
        <v>0.0</v>
      </c>
      <c r="T58" s="551">
        <v>0.0</v>
      </c>
      <c r="U58" s="551">
        <v>0.0</v>
      </c>
      <c r="V58" s="551" t="s">
        <v>354</v>
      </c>
      <c r="W58" s="551" t="s">
        <v>354</v>
      </c>
      <c r="X58" s="166" t="s">
        <v>356</v>
      </c>
      <c r="Y58" s="166" t="s">
        <v>354</v>
      </c>
      <c r="Z58" s="548" t="s">
        <v>365</v>
      </c>
      <c r="AA58" s="341" t="s">
        <v>1624</v>
      </c>
      <c r="AB58" s="549" t="s">
        <v>365</v>
      </c>
      <c r="AC58" s="62" t="s">
        <v>389</v>
      </c>
      <c r="AD58" s="36" t="s">
        <v>365</v>
      </c>
      <c r="AE58" s="88" t="s">
        <v>358</v>
      </c>
      <c r="AF58" s="357">
        <f t="shared" si="1"/>
        <v>4</v>
      </c>
      <c r="AG58" s="182"/>
      <c r="AH58" s="182"/>
      <c r="AI58" s="182"/>
      <c r="AJ58" s="182"/>
      <c r="AK58" s="224">
        <v>1.0</v>
      </c>
      <c r="AL58" s="80">
        <v>0.0</v>
      </c>
      <c r="AM58" s="224">
        <v>2.0</v>
      </c>
      <c r="AN58" s="80">
        <v>0.0</v>
      </c>
      <c r="AO58" s="80">
        <v>0.0</v>
      </c>
      <c r="AP58" s="224">
        <v>1.0</v>
      </c>
      <c r="AQ58" s="80">
        <v>0.0</v>
      </c>
      <c r="AR58" s="80">
        <v>0.0</v>
      </c>
      <c r="AS58" s="358">
        <f t="shared" si="2"/>
        <v>4</v>
      </c>
      <c r="AT58" s="358">
        <f t="shared" si="3"/>
        <v>3</v>
      </c>
    </row>
    <row r="59">
      <c r="A59" s="63">
        <v>58.0</v>
      </c>
      <c r="B59" s="48" t="s">
        <v>230</v>
      </c>
      <c r="C59" s="601" t="s">
        <v>232</v>
      </c>
      <c r="D59" s="603" t="s">
        <v>231</v>
      </c>
      <c r="E59" s="602" t="s">
        <v>808</v>
      </c>
      <c r="F59" s="593">
        <v>40206.0</v>
      </c>
      <c r="G59" s="48">
        <v>3.0</v>
      </c>
      <c r="H59" s="48" t="s">
        <v>67</v>
      </c>
      <c r="I59" s="48" t="s">
        <v>7</v>
      </c>
      <c r="J59" s="235" t="s">
        <v>1611</v>
      </c>
      <c r="K59" s="235">
        <v>0.0</v>
      </c>
      <c r="L59" s="492" t="s">
        <v>354</v>
      </c>
      <c r="M59" s="546">
        <v>320.0</v>
      </c>
      <c r="N59" s="235" t="s">
        <v>354</v>
      </c>
      <c r="O59" s="235" t="s">
        <v>354</v>
      </c>
      <c r="P59" s="235" t="s">
        <v>354</v>
      </c>
      <c r="Q59" s="235" t="s">
        <v>354</v>
      </c>
      <c r="R59" s="151">
        <v>30.71</v>
      </c>
      <c r="S59" s="551">
        <v>0.0</v>
      </c>
      <c r="T59" s="551">
        <v>0.0</v>
      </c>
      <c r="U59" s="221">
        <v>36.07</v>
      </c>
      <c r="V59" s="551" t="s">
        <v>356</v>
      </c>
      <c r="W59" s="551" t="s">
        <v>354</v>
      </c>
      <c r="X59" s="221" t="s">
        <v>365</v>
      </c>
      <c r="Y59" s="65" t="s">
        <v>387</v>
      </c>
      <c r="Z59" s="560" t="s">
        <v>361</v>
      </c>
      <c r="AA59" s="560" t="s">
        <v>361</v>
      </c>
      <c r="AB59" s="599" t="s">
        <v>365</v>
      </c>
      <c r="AC59" s="366" t="s">
        <v>387</v>
      </c>
      <c r="AD59" s="23" t="s">
        <v>356</v>
      </c>
      <c r="AE59" s="19" t="s">
        <v>354</v>
      </c>
      <c r="AF59" s="357">
        <f t="shared" si="1"/>
        <v>2</v>
      </c>
      <c r="AG59" s="182"/>
      <c r="AH59" s="182"/>
      <c r="AI59" s="182"/>
      <c r="AJ59" s="182"/>
      <c r="AK59" s="80">
        <v>0.0</v>
      </c>
      <c r="AL59" s="80">
        <v>0.0</v>
      </c>
      <c r="AM59" s="80">
        <v>0.0</v>
      </c>
      <c r="AN59" s="80">
        <v>0.0</v>
      </c>
      <c r="AO59" s="80">
        <v>0.0</v>
      </c>
      <c r="AP59" s="80">
        <v>0.0</v>
      </c>
      <c r="AQ59" s="80">
        <v>0.0</v>
      </c>
      <c r="AR59" s="224">
        <v>1.0</v>
      </c>
      <c r="AS59" s="358">
        <f t="shared" si="2"/>
        <v>1</v>
      </c>
      <c r="AT59" s="358">
        <f t="shared" si="3"/>
        <v>1</v>
      </c>
    </row>
    <row r="60">
      <c r="A60" s="63">
        <v>59.0</v>
      </c>
      <c r="B60" s="48" t="s">
        <v>233</v>
      </c>
      <c r="C60" s="63" t="s">
        <v>235</v>
      </c>
      <c r="D60" s="48" t="s">
        <v>234</v>
      </c>
      <c r="E60" s="482" t="s">
        <v>1625</v>
      </c>
      <c r="F60" s="593">
        <v>40206.0</v>
      </c>
      <c r="G60" s="48">
        <v>3.0</v>
      </c>
      <c r="H60" s="48" t="s">
        <v>67</v>
      </c>
      <c r="I60" s="48" t="s">
        <v>7</v>
      </c>
      <c r="J60" s="235" t="s">
        <v>1611</v>
      </c>
      <c r="K60" s="235">
        <v>0.0</v>
      </c>
      <c r="L60" s="492" t="s">
        <v>354</v>
      </c>
      <c r="M60" s="546">
        <v>330.0</v>
      </c>
      <c r="N60" s="235" t="s">
        <v>354</v>
      </c>
      <c r="O60" s="235" t="s">
        <v>354</v>
      </c>
      <c r="P60" s="235" t="s">
        <v>354</v>
      </c>
      <c r="Q60" s="235" t="s">
        <v>354</v>
      </c>
      <c r="R60" s="551">
        <v>0.0</v>
      </c>
      <c r="S60" s="551">
        <v>0.0</v>
      </c>
      <c r="T60" s="551">
        <v>0.0</v>
      </c>
      <c r="U60" s="551">
        <v>0.0</v>
      </c>
      <c r="V60" s="551" t="s">
        <v>354</v>
      </c>
      <c r="W60" s="551" t="s">
        <v>354</v>
      </c>
      <c r="X60" s="166" t="s">
        <v>356</v>
      </c>
      <c r="Y60" s="166" t="s">
        <v>354</v>
      </c>
      <c r="Z60" s="598" t="s">
        <v>365</v>
      </c>
      <c r="AA60" s="366" t="s">
        <v>387</v>
      </c>
      <c r="AB60" s="555" t="s">
        <v>356</v>
      </c>
      <c r="AC60" s="555" t="s">
        <v>354</v>
      </c>
      <c r="AD60" s="23" t="s">
        <v>356</v>
      </c>
      <c r="AE60" s="19" t="s">
        <v>354</v>
      </c>
      <c r="AF60" s="357">
        <f t="shared" si="1"/>
        <v>1</v>
      </c>
      <c r="AG60" s="182"/>
      <c r="AH60" s="182"/>
      <c r="AI60" s="182"/>
      <c r="AJ60" s="182"/>
      <c r="AK60" s="80">
        <v>0.0</v>
      </c>
      <c r="AL60" s="80">
        <v>0.0</v>
      </c>
      <c r="AM60" s="80">
        <v>0.0</v>
      </c>
      <c r="AN60" s="80">
        <v>0.0</v>
      </c>
      <c r="AO60" s="80">
        <v>0.0</v>
      </c>
      <c r="AP60" s="80">
        <v>0.0</v>
      </c>
      <c r="AQ60" s="80">
        <v>0.0</v>
      </c>
      <c r="AR60" s="224">
        <v>1.0</v>
      </c>
      <c r="AS60" s="363">
        <f t="shared" si="2"/>
        <v>1</v>
      </c>
      <c r="AT60" s="363">
        <f t="shared" si="3"/>
        <v>1</v>
      </c>
    </row>
    <row r="61">
      <c r="A61" s="63">
        <v>60.0</v>
      </c>
      <c r="B61" s="48" t="s">
        <v>237</v>
      </c>
      <c r="C61" s="601" t="s">
        <v>239</v>
      </c>
      <c r="D61" s="603" t="s">
        <v>238</v>
      </c>
      <c r="E61" s="602" t="s">
        <v>844</v>
      </c>
      <c r="F61" s="593">
        <v>40206.0</v>
      </c>
      <c r="G61" s="48">
        <v>3.0</v>
      </c>
      <c r="H61" s="48" t="s">
        <v>67</v>
      </c>
      <c r="I61" s="48" t="s">
        <v>7</v>
      </c>
      <c r="J61" s="235" t="s">
        <v>1611</v>
      </c>
      <c r="K61" s="235">
        <v>0.0</v>
      </c>
      <c r="L61" s="492" t="s">
        <v>354</v>
      </c>
      <c r="M61" s="546">
        <v>305.0</v>
      </c>
      <c r="N61" s="235" t="s">
        <v>354</v>
      </c>
      <c r="O61" s="235" t="s">
        <v>354</v>
      </c>
      <c r="P61" s="235" t="s">
        <v>354</v>
      </c>
      <c r="Q61" s="235" t="s">
        <v>354</v>
      </c>
      <c r="R61" s="551">
        <v>0.0</v>
      </c>
      <c r="S61" s="551">
        <v>0.0</v>
      </c>
      <c r="T61" s="551">
        <v>0.0</v>
      </c>
      <c r="U61" s="221">
        <v>40.21</v>
      </c>
      <c r="V61" s="551" t="s">
        <v>356</v>
      </c>
      <c r="W61" s="551" t="s">
        <v>354</v>
      </c>
      <c r="X61" s="166" t="s">
        <v>356</v>
      </c>
      <c r="Y61" s="166" t="s">
        <v>354</v>
      </c>
      <c r="Z61" s="553" t="s">
        <v>356</v>
      </c>
      <c r="AA61" s="554" t="s">
        <v>354</v>
      </c>
      <c r="AB61" s="555" t="s">
        <v>356</v>
      </c>
      <c r="AC61" s="555" t="s">
        <v>354</v>
      </c>
      <c r="AD61" s="23" t="s">
        <v>356</v>
      </c>
      <c r="AE61" s="19" t="s">
        <v>354</v>
      </c>
      <c r="AF61" s="46">
        <f t="shared" si="1"/>
        <v>0</v>
      </c>
      <c r="AG61" s="182"/>
      <c r="AH61" s="182"/>
      <c r="AI61" s="182"/>
      <c r="AJ61" s="182"/>
      <c r="AK61" s="80">
        <v>0.0</v>
      </c>
      <c r="AL61" s="80">
        <v>0.0</v>
      </c>
      <c r="AM61" s="80">
        <v>0.0</v>
      </c>
      <c r="AN61" s="80">
        <v>0.0</v>
      </c>
      <c r="AO61" s="80">
        <v>0.0</v>
      </c>
      <c r="AP61" s="80">
        <v>0.0</v>
      </c>
      <c r="AQ61" s="80">
        <v>0.0</v>
      </c>
      <c r="AR61" s="80">
        <v>0.0</v>
      </c>
      <c r="AS61" s="182">
        <f t="shared" si="2"/>
        <v>0</v>
      </c>
      <c r="AT61" s="182">
        <f t="shared" si="3"/>
        <v>0</v>
      </c>
    </row>
    <row r="62">
      <c r="A62" s="63">
        <v>61.0</v>
      </c>
      <c r="B62" s="48" t="s">
        <v>240</v>
      </c>
      <c r="C62" s="63" t="s">
        <v>242</v>
      </c>
      <c r="D62" s="48" t="s">
        <v>241</v>
      </c>
      <c r="E62" s="98" t="s">
        <v>853</v>
      </c>
      <c r="F62" s="593">
        <v>40206.0</v>
      </c>
      <c r="G62" s="48">
        <v>3.0</v>
      </c>
      <c r="H62" s="48" t="s">
        <v>67</v>
      </c>
      <c r="I62" s="48" t="s">
        <v>7</v>
      </c>
      <c r="J62" s="235" t="s">
        <v>1611</v>
      </c>
      <c r="K62" s="235">
        <v>0.0</v>
      </c>
      <c r="L62" s="492" t="s">
        <v>354</v>
      </c>
      <c r="M62" s="546">
        <v>295.0</v>
      </c>
      <c r="N62" s="235" t="s">
        <v>354</v>
      </c>
      <c r="O62" s="235" t="s">
        <v>354</v>
      </c>
      <c r="P62" s="235" t="s">
        <v>354</v>
      </c>
      <c r="Q62" s="235" t="s">
        <v>354</v>
      </c>
      <c r="R62" s="551">
        <v>0.0</v>
      </c>
      <c r="S62" s="551">
        <v>0.0</v>
      </c>
      <c r="T62" s="551">
        <v>0.0</v>
      </c>
      <c r="U62" s="551">
        <v>0.0</v>
      </c>
      <c r="V62" s="551" t="s">
        <v>354</v>
      </c>
      <c r="W62" s="551" t="s">
        <v>354</v>
      </c>
      <c r="X62" s="166" t="s">
        <v>356</v>
      </c>
      <c r="Y62" s="166" t="s">
        <v>354</v>
      </c>
      <c r="Z62" s="548" t="s">
        <v>365</v>
      </c>
      <c r="AA62" s="73" t="s">
        <v>357</v>
      </c>
      <c r="AB62" s="549" t="s">
        <v>365</v>
      </c>
      <c r="AC62" s="26" t="s">
        <v>357</v>
      </c>
      <c r="AD62" s="36" t="s">
        <v>365</v>
      </c>
      <c r="AE62" s="73" t="s">
        <v>357</v>
      </c>
      <c r="AF62" s="357">
        <f t="shared" si="1"/>
        <v>3</v>
      </c>
      <c r="AG62" s="182"/>
      <c r="AH62" s="182"/>
      <c r="AI62" s="182"/>
      <c r="AJ62" s="182"/>
      <c r="AK62" s="80">
        <v>0.0</v>
      </c>
      <c r="AL62" s="80">
        <v>0.0</v>
      </c>
      <c r="AM62" s="80">
        <v>0.0</v>
      </c>
      <c r="AN62" s="80">
        <v>0.0</v>
      </c>
      <c r="AO62" s="80">
        <v>0.0</v>
      </c>
      <c r="AP62" s="224">
        <v>3.0</v>
      </c>
      <c r="AQ62" s="80">
        <v>0.0</v>
      </c>
      <c r="AR62" s="80">
        <v>0.0</v>
      </c>
      <c r="AS62" s="358">
        <f t="shared" si="2"/>
        <v>3</v>
      </c>
      <c r="AT62" s="358">
        <f t="shared" si="3"/>
        <v>1</v>
      </c>
    </row>
    <row r="63">
      <c r="A63" s="63">
        <v>62.0</v>
      </c>
      <c r="B63" s="48" t="s">
        <v>243</v>
      </c>
      <c r="C63" s="63" t="s">
        <v>245</v>
      </c>
      <c r="D63" s="48" t="s">
        <v>244</v>
      </c>
      <c r="E63" s="482" t="s">
        <v>856</v>
      </c>
      <c r="F63" s="593">
        <v>40206.0</v>
      </c>
      <c r="G63" s="48">
        <v>3.0</v>
      </c>
      <c r="H63" s="48" t="s">
        <v>67</v>
      </c>
      <c r="I63" s="48" t="s">
        <v>7</v>
      </c>
      <c r="J63" s="235" t="s">
        <v>1611</v>
      </c>
      <c r="K63" s="235">
        <v>0.0</v>
      </c>
      <c r="L63" s="492" t="s">
        <v>354</v>
      </c>
      <c r="M63" s="546">
        <v>285.0</v>
      </c>
      <c r="N63" s="235" t="s">
        <v>354</v>
      </c>
      <c r="O63" s="235" t="s">
        <v>354</v>
      </c>
      <c r="P63" s="235" t="s">
        <v>354</v>
      </c>
      <c r="Q63" s="235" t="s">
        <v>354</v>
      </c>
      <c r="R63" s="557">
        <v>40.0</v>
      </c>
      <c r="S63" s="551">
        <v>0.0</v>
      </c>
      <c r="T63" s="551">
        <v>0.0</v>
      </c>
      <c r="U63" s="551">
        <v>0.0</v>
      </c>
      <c r="V63" s="551" t="s">
        <v>354</v>
      </c>
      <c r="W63" s="551" t="s">
        <v>354</v>
      </c>
      <c r="X63" s="166" t="s">
        <v>356</v>
      </c>
      <c r="Y63" s="166" t="s">
        <v>354</v>
      </c>
      <c r="Z63" s="548" t="s">
        <v>365</v>
      </c>
      <c r="AA63" s="73" t="s">
        <v>357</v>
      </c>
      <c r="AB63" s="549" t="s">
        <v>365</v>
      </c>
      <c r="AC63" s="26" t="s">
        <v>357</v>
      </c>
      <c r="AD63" s="36" t="s">
        <v>365</v>
      </c>
      <c r="AE63" s="35" t="s">
        <v>363</v>
      </c>
      <c r="AF63" s="357">
        <f t="shared" si="1"/>
        <v>4</v>
      </c>
      <c r="AG63" s="182"/>
      <c r="AH63" s="182"/>
      <c r="AI63" s="182"/>
      <c r="AJ63" s="182"/>
      <c r="AK63" s="80">
        <v>0.0</v>
      </c>
      <c r="AL63" s="80">
        <v>0.0</v>
      </c>
      <c r="AM63" s="80">
        <v>0.0</v>
      </c>
      <c r="AN63" s="224">
        <v>1.0</v>
      </c>
      <c r="AO63" s="80">
        <v>0.0</v>
      </c>
      <c r="AP63" s="224">
        <v>2.0</v>
      </c>
      <c r="AQ63" s="80">
        <v>0.0</v>
      </c>
      <c r="AR63" s="80">
        <v>0.0</v>
      </c>
      <c r="AS63" s="358">
        <f t="shared" si="2"/>
        <v>3</v>
      </c>
      <c r="AT63" s="358">
        <f t="shared" si="3"/>
        <v>2</v>
      </c>
    </row>
    <row r="64">
      <c r="A64" s="63">
        <v>63.0</v>
      </c>
      <c r="B64" s="48" t="s">
        <v>246</v>
      </c>
      <c r="C64" s="63" t="s">
        <v>248</v>
      </c>
      <c r="D64" s="49" t="s">
        <v>869</v>
      </c>
      <c r="E64" s="98" t="s">
        <v>870</v>
      </c>
      <c r="F64" s="593">
        <v>40206.0</v>
      </c>
      <c r="G64" s="48">
        <v>3.0</v>
      </c>
      <c r="H64" s="48" t="s">
        <v>67</v>
      </c>
      <c r="I64" s="48" t="s">
        <v>7</v>
      </c>
      <c r="J64" s="235" t="s">
        <v>1611</v>
      </c>
      <c r="K64" s="235">
        <v>0.0</v>
      </c>
      <c r="L64" s="492" t="s">
        <v>354</v>
      </c>
      <c r="M64" s="546">
        <v>295.0</v>
      </c>
      <c r="N64" s="235" t="s">
        <v>354</v>
      </c>
      <c r="O64" s="235" t="s">
        <v>354</v>
      </c>
      <c r="P64" s="235" t="s">
        <v>354</v>
      </c>
      <c r="Q64" s="235" t="s">
        <v>354</v>
      </c>
      <c r="R64" s="551">
        <v>0.0</v>
      </c>
      <c r="S64" s="551">
        <v>0.0</v>
      </c>
      <c r="T64" s="551">
        <v>0.0</v>
      </c>
      <c r="U64" s="551">
        <v>0.0</v>
      </c>
      <c r="V64" s="551" t="s">
        <v>354</v>
      </c>
      <c r="W64" s="551" t="s">
        <v>354</v>
      </c>
      <c r="X64" s="166" t="s">
        <v>356</v>
      </c>
      <c r="Y64" s="166" t="s">
        <v>354</v>
      </c>
      <c r="Z64" s="560" t="s">
        <v>361</v>
      </c>
      <c r="AA64" s="560" t="s">
        <v>361</v>
      </c>
      <c r="AB64" s="555" t="s">
        <v>356</v>
      </c>
      <c r="AC64" s="555" t="s">
        <v>354</v>
      </c>
      <c r="AD64" s="23" t="s">
        <v>356</v>
      </c>
      <c r="AE64" s="19" t="s">
        <v>354</v>
      </c>
      <c r="AF64" s="46">
        <f t="shared" si="1"/>
        <v>0</v>
      </c>
      <c r="AG64" s="182"/>
      <c r="AH64" s="182"/>
      <c r="AI64" s="182"/>
      <c r="AJ64" s="182"/>
      <c r="AK64" s="80">
        <v>0.0</v>
      </c>
      <c r="AL64" s="80">
        <v>0.0</v>
      </c>
      <c r="AM64" s="80">
        <v>0.0</v>
      </c>
      <c r="AN64" s="80">
        <v>0.0</v>
      </c>
      <c r="AO64" s="80">
        <v>0.0</v>
      </c>
      <c r="AP64" s="80">
        <v>0.0</v>
      </c>
      <c r="AQ64" s="80">
        <v>0.0</v>
      </c>
      <c r="AR64" s="80">
        <v>0.0</v>
      </c>
      <c r="AS64" s="182">
        <f t="shared" si="2"/>
        <v>0</v>
      </c>
      <c r="AT64" s="182">
        <f t="shared" si="3"/>
        <v>0</v>
      </c>
    </row>
    <row r="65">
      <c r="A65" s="63">
        <v>64.0</v>
      </c>
      <c r="B65" s="48" t="s">
        <v>249</v>
      </c>
      <c r="C65" s="603" t="s">
        <v>251</v>
      </c>
      <c r="D65" s="603" t="s">
        <v>250</v>
      </c>
      <c r="E65" s="602" t="s">
        <v>874</v>
      </c>
      <c r="F65" s="593">
        <v>40206.0</v>
      </c>
      <c r="G65" s="48">
        <v>3.0</v>
      </c>
      <c r="H65" s="48" t="s">
        <v>67</v>
      </c>
      <c r="I65" s="48" t="s">
        <v>7</v>
      </c>
      <c r="J65" s="235" t="s">
        <v>770</v>
      </c>
      <c r="K65" s="235">
        <v>0.0</v>
      </c>
      <c r="L65" s="492" t="s">
        <v>354</v>
      </c>
      <c r="M65" s="546">
        <v>265.0</v>
      </c>
      <c r="N65" s="235" t="s">
        <v>354</v>
      </c>
      <c r="O65" s="235" t="s">
        <v>354</v>
      </c>
      <c r="P65" s="235" t="s">
        <v>354</v>
      </c>
      <c r="Q65" s="72" t="s">
        <v>875</v>
      </c>
      <c r="R65" s="551">
        <v>0.0</v>
      </c>
      <c r="S65" s="551">
        <v>0.0</v>
      </c>
      <c r="T65" s="551">
        <v>0.0</v>
      </c>
      <c r="U65" s="221">
        <v>40.17</v>
      </c>
      <c r="V65" s="551" t="s">
        <v>356</v>
      </c>
      <c r="W65" s="551" t="s">
        <v>354</v>
      </c>
      <c r="X65" s="166" t="s">
        <v>356</v>
      </c>
      <c r="Y65" s="166" t="s">
        <v>354</v>
      </c>
      <c r="Z65" s="548" t="s">
        <v>365</v>
      </c>
      <c r="AA65" s="73" t="s">
        <v>357</v>
      </c>
      <c r="AB65" s="549" t="s">
        <v>365</v>
      </c>
      <c r="AC65" s="62" t="s">
        <v>389</v>
      </c>
      <c r="AD65" s="36" t="s">
        <v>365</v>
      </c>
      <c r="AE65" s="88" t="s">
        <v>358</v>
      </c>
      <c r="AF65" s="357">
        <f t="shared" si="1"/>
        <v>3</v>
      </c>
      <c r="AG65" s="182"/>
      <c r="AH65" s="182"/>
      <c r="AI65" s="182"/>
      <c r="AJ65" s="182"/>
      <c r="AK65" s="224">
        <v>1.0</v>
      </c>
      <c r="AL65" s="80">
        <v>0.0</v>
      </c>
      <c r="AM65" s="224">
        <v>1.0</v>
      </c>
      <c r="AN65" s="80">
        <v>0.0</v>
      </c>
      <c r="AO65" s="80">
        <v>0.0</v>
      </c>
      <c r="AP65" s="224">
        <v>1.0</v>
      </c>
      <c r="AQ65" s="80">
        <v>0.0</v>
      </c>
      <c r="AR65" s="80">
        <v>0.0</v>
      </c>
      <c r="AS65" s="358">
        <f t="shared" si="2"/>
        <v>3</v>
      </c>
      <c r="AT65" s="358">
        <f t="shared" si="3"/>
        <v>3</v>
      </c>
    </row>
    <row r="66">
      <c r="A66" s="63">
        <v>65.0</v>
      </c>
      <c r="B66" s="48" t="s">
        <v>252</v>
      </c>
      <c r="C66" s="48" t="s">
        <v>254</v>
      </c>
      <c r="D66" s="63" t="s">
        <v>881</v>
      </c>
      <c r="E66" s="482" t="s">
        <v>882</v>
      </c>
      <c r="F66" s="593">
        <v>40206.0</v>
      </c>
      <c r="G66" s="48">
        <v>3.0</v>
      </c>
      <c r="H66" s="48" t="s">
        <v>67</v>
      </c>
      <c r="I66" s="48" t="s">
        <v>7</v>
      </c>
      <c r="J66" s="235" t="s">
        <v>1611</v>
      </c>
      <c r="K66" s="235">
        <v>0.0</v>
      </c>
      <c r="L66" s="492" t="s">
        <v>354</v>
      </c>
      <c r="M66" s="546">
        <v>310.0</v>
      </c>
      <c r="N66" s="235" t="s">
        <v>354</v>
      </c>
      <c r="O66" s="235" t="s">
        <v>354</v>
      </c>
      <c r="P66" s="235" t="s">
        <v>354</v>
      </c>
      <c r="Q66" s="235" t="s">
        <v>354</v>
      </c>
      <c r="R66" s="551">
        <v>0.0</v>
      </c>
      <c r="S66" s="551">
        <v>0.0</v>
      </c>
      <c r="T66" s="551">
        <v>0.0</v>
      </c>
      <c r="U66" s="551">
        <v>0.0</v>
      </c>
      <c r="V66" s="551" t="s">
        <v>354</v>
      </c>
      <c r="W66" s="551" t="s">
        <v>354</v>
      </c>
      <c r="X66" s="166" t="s">
        <v>356</v>
      </c>
      <c r="Y66" s="166" t="s">
        <v>354</v>
      </c>
      <c r="Z66" s="553" t="s">
        <v>356</v>
      </c>
      <c r="AA66" s="554" t="s">
        <v>354</v>
      </c>
      <c r="AB66" s="555" t="s">
        <v>356</v>
      </c>
      <c r="AC66" s="555" t="s">
        <v>354</v>
      </c>
      <c r="AD66" s="23" t="s">
        <v>356</v>
      </c>
      <c r="AE66" s="19" t="s">
        <v>354</v>
      </c>
      <c r="AF66" s="46">
        <f t="shared" si="1"/>
        <v>0</v>
      </c>
      <c r="AG66" s="182"/>
      <c r="AH66" s="182"/>
      <c r="AI66" s="182"/>
      <c r="AJ66" s="182"/>
      <c r="AK66" s="80">
        <v>0.0</v>
      </c>
      <c r="AL66" s="80">
        <v>0.0</v>
      </c>
      <c r="AM66" s="80">
        <v>0.0</v>
      </c>
      <c r="AN66" s="80">
        <v>0.0</v>
      </c>
      <c r="AO66" s="80">
        <v>0.0</v>
      </c>
      <c r="AP66" s="80">
        <v>0.0</v>
      </c>
      <c r="AQ66" s="80">
        <v>0.0</v>
      </c>
      <c r="AR66" s="80">
        <v>0.0</v>
      </c>
      <c r="AS66" s="182">
        <f t="shared" si="2"/>
        <v>0</v>
      </c>
      <c r="AT66" s="182">
        <f t="shared" si="3"/>
        <v>0</v>
      </c>
    </row>
    <row r="67">
      <c r="A67" s="63">
        <v>66.0</v>
      </c>
      <c r="B67" s="48" t="s">
        <v>256</v>
      </c>
      <c r="C67" s="603" t="s">
        <v>258</v>
      </c>
      <c r="D67" s="601" t="s">
        <v>888</v>
      </c>
      <c r="E67" s="602" t="s">
        <v>889</v>
      </c>
      <c r="F67" s="593">
        <v>40206.0</v>
      </c>
      <c r="G67" s="48">
        <v>3.0</v>
      </c>
      <c r="H67" s="48" t="s">
        <v>67</v>
      </c>
      <c r="I67" s="63" t="s">
        <v>433</v>
      </c>
      <c r="J67" s="235" t="s">
        <v>770</v>
      </c>
      <c r="K67" s="235">
        <v>0.0</v>
      </c>
      <c r="L67" s="546">
        <v>110.0</v>
      </c>
      <c r="M67" s="546">
        <v>185.0</v>
      </c>
      <c r="N67" s="235" t="s">
        <v>354</v>
      </c>
      <c r="O67" s="235" t="s">
        <v>354</v>
      </c>
      <c r="P67" s="235" t="s">
        <v>354</v>
      </c>
      <c r="Q67" s="235" t="s">
        <v>354</v>
      </c>
      <c r="R67" s="151">
        <v>37.48</v>
      </c>
      <c r="S67" s="551">
        <v>0.0</v>
      </c>
      <c r="T67" s="551">
        <v>0.0</v>
      </c>
      <c r="U67" s="221">
        <v>37.74</v>
      </c>
      <c r="V67" s="551" t="s">
        <v>356</v>
      </c>
      <c r="W67" s="551" t="s">
        <v>354</v>
      </c>
      <c r="X67" s="221" t="s">
        <v>365</v>
      </c>
      <c r="Y67" s="26" t="s">
        <v>357</v>
      </c>
      <c r="Z67" s="548" t="s">
        <v>365</v>
      </c>
      <c r="AA67" s="73" t="s">
        <v>357</v>
      </c>
      <c r="AB67" s="549" t="s">
        <v>365</v>
      </c>
      <c r="AC67" s="26" t="s">
        <v>357</v>
      </c>
      <c r="AD67" s="36" t="s">
        <v>365</v>
      </c>
      <c r="AE67" s="73" t="s">
        <v>357</v>
      </c>
      <c r="AF67" s="357">
        <f t="shared" si="1"/>
        <v>4</v>
      </c>
      <c r="AG67" s="182"/>
      <c r="AH67" s="182"/>
      <c r="AI67" s="182"/>
      <c r="AJ67" s="182"/>
      <c r="AK67" s="80">
        <v>0.0</v>
      </c>
      <c r="AL67" s="80">
        <v>0.0</v>
      </c>
      <c r="AM67" s="80">
        <v>0.0</v>
      </c>
      <c r="AN67" s="80">
        <v>0.0</v>
      </c>
      <c r="AO67" s="80">
        <v>0.0</v>
      </c>
      <c r="AP67" s="224">
        <v>3.0</v>
      </c>
      <c r="AQ67" s="80">
        <v>0.0</v>
      </c>
      <c r="AR67" s="80">
        <v>0.0</v>
      </c>
      <c r="AS67" s="358">
        <f t="shared" si="2"/>
        <v>3</v>
      </c>
      <c r="AT67" s="358">
        <f t="shared" si="3"/>
        <v>1</v>
      </c>
    </row>
    <row r="68">
      <c r="A68" s="63">
        <v>67.0</v>
      </c>
      <c r="B68" s="48" t="s">
        <v>261</v>
      </c>
      <c r="C68" s="48" t="s">
        <v>263</v>
      </c>
      <c r="D68" s="63" t="s">
        <v>899</v>
      </c>
      <c r="E68" s="482" t="s">
        <v>900</v>
      </c>
      <c r="F68" s="593">
        <v>40206.0</v>
      </c>
      <c r="G68" s="48">
        <v>3.0</v>
      </c>
      <c r="H68" s="48" t="s">
        <v>67</v>
      </c>
      <c r="I68" s="48" t="s">
        <v>7</v>
      </c>
      <c r="J68" s="235" t="s">
        <v>1611</v>
      </c>
      <c r="K68" s="235">
        <v>0.0</v>
      </c>
      <c r="L68" s="546">
        <v>124.0</v>
      </c>
      <c r="M68" s="546">
        <v>295.0</v>
      </c>
      <c r="N68" s="235" t="s">
        <v>354</v>
      </c>
      <c r="O68" s="235" t="s">
        <v>354</v>
      </c>
      <c r="P68" s="235" t="s">
        <v>354</v>
      </c>
      <c r="Q68" s="235" t="s">
        <v>354</v>
      </c>
      <c r="R68" s="551">
        <v>0.0</v>
      </c>
      <c r="S68" s="551">
        <v>0.0</v>
      </c>
      <c r="T68" s="551">
        <v>0.0</v>
      </c>
      <c r="U68" s="551">
        <v>0.0</v>
      </c>
      <c r="V68" s="551" t="s">
        <v>354</v>
      </c>
      <c r="W68" s="551" t="s">
        <v>354</v>
      </c>
      <c r="X68" s="166" t="s">
        <v>356</v>
      </c>
      <c r="Y68" s="166" t="s">
        <v>354</v>
      </c>
      <c r="Z68" s="553" t="s">
        <v>356</v>
      </c>
      <c r="AA68" s="554" t="s">
        <v>354</v>
      </c>
      <c r="AB68" s="555" t="s">
        <v>356</v>
      </c>
      <c r="AC68" s="555" t="s">
        <v>354</v>
      </c>
      <c r="AD68" s="23" t="s">
        <v>356</v>
      </c>
      <c r="AE68" s="19" t="s">
        <v>354</v>
      </c>
      <c r="AF68" s="46">
        <f t="shared" si="1"/>
        <v>0</v>
      </c>
      <c r="AG68" s="182"/>
      <c r="AH68" s="182"/>
      <c r="AI68" s="182"/>
      <c r="AJ68" s="182"/>
      <c r="AK68" s="80">
        <v>0.0</v>
      </c>
      <c r="AL68" s="80">
        <v>0.0</v>
      </c>
      <c r="AM68" s="80">
        <v>0.0</v>
      </c>
      <c r="AN68" s="80">
        <v>0.0</v>
      </c>
      <c r="AO68" s="80">
        <v>0.0</v>
      </c>
      <c r="AP68" s="80">
        <v>0.0</v>
      </c>
      <c r="AQ68" s="80">
        <v>0.0</v>
      </c>
      <c r="AR68" s="80">
        <v>0.0</v>
      </c>
      <c r="AS68" s="182">
        <f t="shared" si="2"/>
        <v>0</v>
      </c>
      <c r="AT68" s="182">
        <f t="shared" si="3"/>
        <v>0</v>
      </c>
    </row>
    <row r="69">
      <c r="A69" s="63">
        <v>68.0</v>
      </c>
      <c r="B69" s="48" t="s">
        <v>264</v>
      </c>
      <c r="C69" s="603" t="s">
        <v>266</v>
      </c>
      <c r="D69" s="606" t="s">
        <v>906</v>
      </c>
      <c r="E69" s="602" t="s">
        <v>907</v>
      </c>
      <c r="F69" s="593">
        <v>40206.0</v>
      </c>
      <c r="G69" s="48">
        <v>3.0</v>
      </c>
      <c r="H69" s="48" t="s">
        <v>67</v>
      </c>
      <c r="I69" s="48" t="s">
        <v>7</v>
      </c>
      <c r="J69" s="235" t="s">
        <v>1611</v>
      </c>
      <c r="K69" s="235">
        <v>0.0</v>
      </c>
      <c r="L69" s="546">
        <v>123.0</v>
      </c>
      <c r="M69" s="546">
        <v>290.0</v>
      </c>
      <c r="N69" s="235" t="s">
        <v>354</v>
      </c>
      <c r="O69" s="235" t="s">
        <v>354</v>
      </c>
      <c r="P69" s="235" t="s">
        <v>354</v>
      </c>
      <c r="Q69" s="235" t="s">
        <v>354</v>
      </c>
      <c r="R69" s="551">
        <v>0.0</v>
      </c>
      <c r="S69" s="551">
        <v>0.0</v>
      </c>
      <c r="T69" s="551">
        <v>0.0</v>
      </c>
      <c r="U69" s="221">
        <v>38.77</v>
      </c>
      <c r="V69" s="551" t="s">
        <v>356</v>
      </c>
      <c r="W69" s="551" t="s">
        <v>354</v>
      </c>
      <c r="X69" s="166" t="s">
        <v>356</v>
      </c>
      <c r="Y69" s="166" t="s">
        <v>354</v>
      </c>
      <c r="Z69" s="553" t="s">
        <v>356</v>
      </c>
      <c r="AA69" s="554" t="s">
        <v>354</v>
      </c>
      <c r="AB69" s="555" t="s">
        <v>356</v>
      </c>
      <c r="AC69" s="555" t="s">
        <v>354</v>
      </c>
      <c r="AD69" s="23" t="s">
        <v>356</v>
      </c>
      <c r="AE69" s="19" t="s">
        <v>354</v>
      </c>
      <c r="AF69" s="46">
        <f t="shared" si="1"/>
        <v>0</v>
      </c>
      <c r="AG69" s="182"/>
      <c r="AH69" s="182"/>
      <c r="AI69" s="182"/>
      <c r="AJ69" s="182"/>
      <c r="AK69" s="80">
        <v>0.0</v>
      </c>
      <c r="AL69" s="80">
        <v>0.0</v>
      </c>
      <c r="AM69" s="80">
        <v>0.0</v>
      </c>
      <c r="AN69" s="80">
        <v>0.0</v>
      </c>
      <c r="AO69" s="80">
        <v>0.0</v>
      </c>
      <c r="AP69" s="80">
        <v>0.0</v>
      </c>
      <c r="AQ69" s="80">
        <v>0.0</v>
      </c>
      <c r="AR69" s="80">
        <v>0.0</v>
      </c>
      <c r="AS69" s="182">
        <f t="shared" si="2"/>
        <v>0</v>
      </c>
      <c r="AT69" s="182">
        <f t="shared" si="3"/>
        <v>0</v>
      </c>
    </row>
    <row r="70">
      <c r="A70" s="63">
        <v>69.0</v>
      </c>
      <c r="B70" s="48" t="s">
        <v>267</v>
      </c>
      <c r="C70" s="603" t="s">
        <v>269</v>
      </c>
      <c r="D70" s="603" t="s">
        <v>268</v>
      </c>
      <c r="E70" s="602" t="s">
        <v>1626</v>
      </c>
      <c r="F70" s="593">
        <v>40206.0</v>
      </c>
      <c r="G70" s="48">
        <v>3.0</v>
      </c>
      <c r="H70" s="48" t="s">
        <v>67</v>
      </c>
      <c r="I70" s="48" t="s">
        <v>7</v>
      </c>
      <c r="J70" s="235" t="s">
        <v>1611</v>
      </c>
      <c r="K70" s="235">
        <v>0.0</v>
      </c>
      <c r="L70" s="546">
        <v>117.0</v>
      </c>
      <c r="M70" s="546">
        <v>365.0</v>
      </c>
      <c r="N70" s="235" t="s">
        <v>354</v>
      </c>
      <c r="O70" s="235" t="s">
        <v>354</v>
      </c>
      <c r="P70" s="235" t="s">
        <v>354</v>
      </c>
      <c r="Q70" s="235" t="s">
        <v>354</v>
      </c>
      <c r="R70" s="151">
        <v>34.5</v>
      </c>
      <c r="S70" s="551">
        <v>0.0</v>
      </c>
      <c r="T70" s="551">
        <v>0.0</v>
      </c>
      <c r="U70" s="221">
        <v>38.25</v>
      </c>
      <c r="V70" s="551" t="s">
        <v>356</v>
      </c>
      <c r="W70" s="551" t="s">
        <v>354</v>
      </c>
      <c r="X70" s="166" t="s">
        <v>356</v>
      </c>
      <c r="Y70" s="166" t="s">
        <v>354</v>
      </c>
      <c r="Z70" s="548" t="s">
        <v>365</v>
      </c>
      <c r="AA70" s="88" t="s">
        <v>358</v>
      </c>
      <c r="AB70" s="549" t="s">
        <v>365</v>
      </c>
      <c r="AC70" s="99" t="s">
        <v>363</v>
      </c>
      <c r="AD70" s="43" t="s">
        <v>361</v>
      </c>
      <c r="AE70" s="43" t="s">
        <v>361</v>
      </c>
      <c r="AF70" s="357">
        <f t="shared" si="1"/>
        <v>3</v>
      </c>
      <c r="AG70" s="182"/>
      <c r="AH70" s="182"/>
      <c r="AI70" s="182"/>
      <c r="AJ70" s="182"/>
      <c r="AK70" s="80">
        <v>0.0</v>
      </c>
      <c r="AL70" s="80">
        <v>0.0</v>
      </c>
      <c r="AM70" s="224">
        <v>1.0</v>
      </c>
      <c r="AN70" s="224">
        <v>1.0</v>
      </c>
      <c r="AO70" s="80">
        <v>0.0</v>
      </c>
      <c r="AP70" s="80">
        <v>0.0</v>
      </c>
      <c r="AQ70" s="80">
        <v>0.0</v>
      </c>
      <c r="AR70" s="80">
        <v>0.0</v>
      </c>
      <c r="AS70" s="358">
        <f t="shared" si="2"/>
        <v>2</v>
      </c>
      <c r="AT70" s="358">
        <f t="shared" si="3"/>
        <v>2</v>
      </c>
    </row>
    <row r="71">
      <c r="A71" s="63">
        <v>70.0</v>
      </c>
      <c r="B71" s="48" t="s">
        <v>270</v>
      </c>
      <c r="C71" s="48" t="s">
        <v>272</v>
      </c>
      <c r="D71" s="48" t="s">
        <v>271</v>
      </c>
      <c r="E71" s="482" t="s">
        <v>924</v>
      </c>
      <c r="F71" s="593">
        <v>40206.0</v>
      </c>
      <c r="G71" s="48">
        <v>3.0</v>
      </c>
      <c r="H71" s="48" t="s">
        <v>67</v>
      </c>
      <c r="I71" s="48" t="s">
        <v>37</v>
      </c>
      <c r="J71" s="235" t="s">
        <v>770</v>
      </c>
      <c r="K71" s="235">
        <v>0.0</v>
      </c>
      <c r="L71" s="546">
        <v>116.0</v>
      </c>
      <c r="M71" s="492" t="s">
        <v>354</v>
      </c>
      <c r="N71" s="235" t="s">
        <v>354</v>
      </c>
      <c r="O71" s="235" t="s">
        <v>354</v>
      </c>
      <c r="P71" s="235" t="s">
        <v>354</v>
      </c>
      <c r="Q71" s="235" t="s">
        <v>354</v>
      </c>
      <c r="R71" s="151">
        <v>31.59</v>
      </c>
      <c r="S71" s="551">
        <v>0.0</v>
      </c>
      <c r="T71" s="551">
        <v>0.0</v>
      </c>
      <c r="U71" s="551">
        <v>0.0</v>
      </c>
      <c r="V71" s="551" t="s">
        <v>354</v>
      </c>
      <c r="W71" s="551" t="s">
        <v>354</v>
      </c>
      <c r="X71" s="221" t="s">
        <v>365</v>
      </c>
      <c r="Y71" s="87" t="s">
        <v>413</v>
      </c>
      <c r="Z71" s="548" t="s">
        <v>365</v>
      </c>
      <c r="AA71" s="87" t="s">
        <v>413</v>
      </c>
      <c r="AB71" s="555" t="s">
        <v>356</v>
      </c>
      <c r="AC71" s="555" t="s">
        <v>354</v>
      </c>
      <c r="AD71" s="36" t="s">
        <v>365</v>
      </c>
      <c r="AE71" s="88" t="s">
        <v>358</v>
      </c>
      <c r="AF71" s="357">
        <f t="shared" si="1"/>
        <v>3</v>
      </c>
      <c r="AG71" s="182"/>
      <c r="AH71" s="182"/>
      <c r="AI71" s="182"/>
      <c r="AJ71" s="182"/>
      <c r="AK71" s="80">
        <v>0.0</v>
      </c>
      <c r="AL71" s="80">
        <v>0.0</v>
      </c>
      <c r="AM71" s="224">
        <v>1.0</v>
      </c>
      <c r="AN71" s="80">
        <v>0.0</v>
      </c>
      <c r="AO71" s="224">
        <v>1.0</v>
      </c>
      <c r="AP71" s="80">
        <v>0.0</v>
      </c>
      <c r="AQ71" s="80">
        <v>0.0</v>
      </c>
      <c r="AR71" s="80">
        <v>0.0</v>
      </c>
      <c r="AS71" s="358">
        <f t="shared" si="2"/>
        <v>2</v>
      </c>
      <c r="AT71" s="358">
        <f t="shared" si="3"/>
        <v>2</v>
      </c>
    </row>
    <row r="72">
      <c r="A72" s="63">
        <v>71.0</v>
      </c>
      <c r="B72" s="48" t="s">
        <v>275</v>
      </c>
      <c r="C72" s="48" t="s">
        <v>277</v>
      </c>
      <c r="D72" s="48" t="s">
        <v>276</v>
      </c>
      <c r="E72" s="98" t="s">
        <v>932</v>
      </c>
      <c r="F72" s="593">
        <v>40206.0</v>
      </c>
      <c r="G72" s="48">
        <v>3.0</v>
      </c>
      <c r="H72" s="48" t="s">
        <v>67</v>
      </c>
      <c r="I72" s="63" t="s">
        <v>433</v>
      </c>
      <c r="J72" s="235" t="s">
        <v>770</v>
      </c>
      <c r="K72" s="235">
        <v>0.0</v>
      </c>
      <c r="L72" s="546">
        <v>118.0</v>
      </c>
      <c r="M72" s="546">
        <v>220.0</v>
      </c>
      <c r="N72" s="235" t="s">
        <v>354</v>
      </c>
      <c r="O72" s="235" t="s">
        <v>354</v>
      </c>
      <c r="P72" s="235" t="s">
        <v>354</v>
      </c>
      <c r="Q72" s="235" t="s">
        <v>354</v>
      </c>
      <c r="R72" s="151">
        <v>32.98</v>
      </c>
      <c r="S72" s="551">
        <v>0.0</v>
      </c>
      <c r="T72" s="551">
        <v>0.0</v>
      </c>
      <c r="U72" s="551">
        <v>0.0</v>
      </c>
      <c r="V72" s="551" t="s">
        <v>354</v>
      </c>
      <c r="W72" s="551" t="s">
        <v>354</v>
      </c>
      <c r="X72" s="166" t="s">
        <v>356</v>
      </c>
      <c r="Y72" s="166" t="s">
        <v>354</v>
      </c>
      <c r="Z72" s="598" t="s">
        <v>365</v>
      </c>
      <c r="AA72" s="391" t="s">
        <v>380</v>
      </c>
      <c r="AB72" s="549" t="s">
        <v>365</v>
      </c>
      <c r="AC72" s="164" t="s">
        <v>413</v>
      </c>
      <c r="AD72" s="23" t="s">
        <v>356</v>
      </c>
      <c r="AE72" s="19" t="s">
        <v>354</v>
      </c>
      <c r="AF72" s="357">
        <f t="shared" si="1"/>
        <v>3</v>
      </c>
      <c r="AG72" s="182"/>
      <c r="AH72" s="182"/>
      <c r="AI72" s="182"/>
      <c r="AJ72" s="182"/>
      <c r="AK72" s="80">
        <v>0.0</v>
      </c>
      <c r="AL72" s="80">
        <v>0.0</v>
      </c>
      <c r="AM72" s="80">
        <v>0.0</v>
      </c>
      <c r="AN72" s="80">
        <v>0.0</v>
      </c>
      <c r="AO72" s="224">
        <v>1.0</v>
      </c>
      <c r="AP72" s="80">
        <v>0.0</v>
      </c>
      <c r="AQ72" s="224">
        <v>1.0</v>
      </c>
      <c r="AR72" s="80">
        <v>0.0</v>
      </c>
      <c r="AS72" s="358">
        <f t="shared" si="2"/>
        <v>2</v>
      </c>
      <c r="AT72" s="358">
        <f t="shared" si="3"/>
        <v>2</v>
      </c>
    </row>
    <row r="73">
      <c r="A73" s="63">
        <v>72.0</v>
      </c>
      <c r="B73" s="48" t="s">
        <v>281</v>
      </c>
      <c r="C73" s="48" t="s">
        <v>283</v>
      </c>
      <c r="D73" s="48" t="s">
        <v>282</v>
      </c>
      <c r="E73" s="98" t="s">
        <v>937</v>
      </c>
      <c r="F73" s="593">
        <v>40206.0</v>
      </c>
      <c r="G73" s="48">
        <v>3.0</v>
      </c>
      <c r="H73" s="48" t="s">
        <v>67</v>
      </c>
      <c r="I73" s="48" t="s">
        <v>7</v>
      </c>
      <c r="J73" s="235" t="s">
        <v>1611</v>
      </c>
      <c r="K73" s="235">
        <v>0.0</v>
      </c>
      <c r="L73" s="492" t="s">
        <v>354</v>
      </c>
      <c r="M73" s="546">
        <v>315.0</v>
      </c>
      <c r="N73" s="235" t="s">
        <v>354</v>
      </c>
      <c r="O73" s="235" t="s">
        <v>354</v>
      </c>
      <c r="P73" s="235" t="s">
        <v>354</v>
      </c>
      <c r="Q73" s="235" t="s">
        <v>354</v>
      </c>
      <c r="R73" s="551">
        <v>0.0</v>
      </c>
      <c r="S73" s="551">
        <v>0.0</v>
      </c>
      <c r="T73" s="551">
        <v>0.0</v>
      </c>
      <c r="U73" s="551">
        <v>0.0</v>
      </c>
      <c r="V73" s="551" t="s">
        <v>354</v>
      </c>
      <c r="W73" s="551" t="s">
        <v>354</v>
      </c>
      <c r="X73" s="166" t="s">
        <v>356</v>
      </c>
      <c r="Y73" s="166" t="s">
        <v>354</v>
      </c>
      <c r="Z73" s="548" t="s">
        <v>365</v>
      </c>
      <c r="AA73" s="73" t="s">
        <v>357</v>
      </c>
      <c r="AB73" s="555" t="s">
        <v>356</v>
      </c>
      <c r="AC73" s="555" t="s">
        <v>354</v>
      </c>
      <c r="AD73" s="36" t="s">
        <v>365</v>
      </c>
      <c r="AE73" s="88" t="s">
        <v>358</v>
      </c>
      <c r="AF73" s="357">
        <f t="shared" si="1"/>
        <v>2</v>
      </c>
      <c r="AG73" s="182"/>
      <c r="AH73" s="182"/>
      <c r="AI73" s="182"/>
      <c r="AJ73" s="182"/>
      <c r="AK73" s="80">
        <v>0.0</v>
      </c>
      <c r="AL73" s="80">
        <v>0.0</v>
      </c>
      <c r="AM73" s="224">
        <v>1.0</v>
      </c>
      <c r="AN73" s="80">
        <v>0.0</v>
      </c>
      <c r="AO73" s="80">
        <v>0.0</v>
      </c>
      <c r="AP73" s="224">
        <v>1.0</v>
      </c>
      <c r="AQ73" s="80">
        <v>0.0</v>
      </c>
      <c r="AR73" s="80">
        <v>0.0</v>
      </c>
      <c r="AS73" s="358">
        <f t="shared" si="2"/>
        <v>2</v>
      </c>
      <c r="AT73" s="358">
        <f t="shared" si="3"/>
        <v>2</v>
      </c>
    </row>
    <row r="74">
      <c r="A74" s="63">
        <v>73.0</v>
      </c>
      <c r="B74" s="48" t="s">
        <v>284</v>
      </c>
      <c r="C74" s="48" t="s">
        <v>286</v>
      </c>
      <c r="D74" s="48" t="s">
        <v>285</v>
      </c>
      <c r="E74" s="482" t="s">
        <v>940</v>
      </c>
      <c r="F74" s="593">
        <v>40206.0</v>
      </c>
      <c r="G74" s="48">
        <v>3.0</v>
      </c>
      <c r="H74" s="48" t="s">
        <v>67</v>
      </c>
      <c r="I74" s="48" t="s">
        <v>7</v>
      </c>
      <c r="J74" s="235" t="s">
        <v>1611</v>
      </c>
      <c r="K74" s="235">
        <v>0.0</v>
      </c>
      <c r="L74" s="546">
        <v>127.0</v>
      </c>
      <c r="M74" s="546">
        <v>315.0</v>
      </c>
      <c r="N74" s="235" t="s">
        <v>354</v>
      </c>
      <c r="O74" s="235" t="s">
        <v>354</v>
      </c>
      <c r="P74" s="235" t="s">
        <v>354</v>
      </c>
      <c r="Q74" s="235" t="s">
        <v>354</v>
      </c>
      <c r="R74" s="551">
        <v>0.0</v>
      </c>
      <c r="S74" s="551">
        <v>0.0</v>
      </c>
      <c r="T74" s="551">
        <v>0.0</v>
      </c>
      <c r="U74" s="551">
        <v>0.0</v>
      </c>
      <c r="V74" s="551" t="s">
        <v>354</v>
      </c>
      <c r="W74" s="551" t="s">
        <v>354</v>
      </c>
      <c r="X74" s="166" t="s">
        <v>356</v>
      </c>
      <c r="Y74" s="166" t="s">
        <v>354</v>
      </c>
      <c r="Z74" s="553" t="s">
        <v>356</v>
      </c>
      <c r="AA74" s="554" t="s">
        <v>354</v>
      </c>
      <c r="AB74" s="555" t="s">
        <v>356</v>
      </c>
      <c r="AC74" s="555" t="s">
        <v>354</v>
      </c>
      <c r="AD74" s="36" t="s">
        <v>365</v>
      </c>
      <c r="AE74" s="88" t="s">
        <v>358</v>
      </c>
      <c r="AF74" s="357">
        <f t="shared" si="1"/>
        <v>1</v>
      </c>
      <c r="AG74" s="182"/>
      <c r="AH74" s="182"/>
      <c r="AI74" s="182"/>
      <c r="AJ74" s="182"/>
      <c r="AK74" s="80">
        <v>0.0</v>
      </c>
      <c r="AL74" s="80">
        <v>0.0</v>
      </c>
      <c r="AM74" s="224">
        <v>1.0</v>
      </c>
      <c r="AN74" s="80">
        <v>0.0</v>
      </c>
      <c r="AO74" s="80">
        <v>0.0</v>
      </c>
      <c r="AP74" s="80">
        <v>0.0</v>
      </c>
      <c r="AQ74" s="80">
        <v>0.0</v>
      </c>
      <c r="AR74" s="80">
        <v>0.0</v>
      </c>
      <c r="AS74" s="363">
        <f t="shared" si="2"/>
        <v>1</v>
      </c>
      <c r="AT74" s="363">
        <f t="shared" si="3"/>
        <v>1</v>
      </c>
    </row>
    <row r="75">
      <c r="A75" s="63" t="s">
        <v>1606</v>
      </c>
      <c r="B75" s="48" t="s">
        <v>354</v>
      </c>
      <c r="C75" s="48" t="s">
        <v>354</v>
      </c>
      <c r="D75" s="48" t="s">
        <v>354</v>
      </c>
      <c r="E75" s="48" t="s">
        <v>354</v>
      </c>
      <c r="F75" s="48" t="s">
        <v>354</v>
      </c>
      <c r="G75" s="48" t="s">
        <v>354</v>
      </c>
      <c r="H75" s="48" t="s">
        <v>354</v>
      </c>
      <c r="I75" s="48" t="s">
        <v>354</v>
      </c>
      <c r="J75" s="235" t="s">
        <v>354</v>
      </c>
      <c r="K75" s="235" t="s">
        <v>354</v>
      </c>
      <c r="L75" s="235" t="s">
        <v>354</v>
      </c>
      <c r="M75" s="235" t="s">
        <v>354</v>
      </c>
      <c r="N75" s="235" t="s">
        <v>354</v>
      </c>
      <c r="O75" s="235" t="s">
        <v>354</v>
      </c>
      <c r="P75" s="235" t="s">
        <v>354</v>
      </c>
      <c r="Q75" s="235" t="s">
        <v>354</v>
      </c>
      <c r="R75" s="151">
        <v>21.97</v>
      </c>
      <c r="S75" s="151">
        <v>29.73</v>
      </c>
      <c r="T75" s="151">
        <v>21.27</v>
      </c>
      <c r="U75" s="221">
        <v>37.13</v>
      </c>
      <c r="V75" s="221" t="s">
        <v>365</v>
      </c>
      <c r="W75" s="551" t="s">
        <v>1399</v>
      </c>
      <c r="X75" s="166" t="s">
        <v>354</v>
      </c>
      <c r="Y75" s="166" t="s">
        <v>354</v>
      </c>
      <c r="Z75" s="548" t="s">
        <v>365</v>
      </c>
      <c r="AA75" s="554" t="s">
        <v>1400</v>
      </c>
      <c r="AB75" s="549" t="s">
        <v>365</v>
      </c>
      <c r="AC75" s="555" t="s">
        <v>1400</v>
      </c>
      <c r="AD75" s="36" t="s">
        <v>365</v>
      </c>
      <c r="AE75" s="19" t="s">
        <v>1400</v>
      </c>
      <c r="AF75" s="46">
        <f t="shared" si="1"/>
        <v>4</v>
      </c>
      <c r="AG75" s="182"/>
      <c r="AH75" s="182"/>
      <c r="AI75" s="182"/>
      <c r="AJ75" s="235" t="s">
        <v>1507</v>
      </c>
      <c r="AK75" s="80">
        <f t="shared" ref="AK75:AR75" si="4">sum(AK2:AK74)</f>
        <v>3</v>
      </c>
      <c r="AL75" s="80">
        <f t="shared" si="4"/>
        <v>4</v>
      </c>
      <c r="AM75" s="80">
        <f t="shared" si="4"/>
        <v>37</v>
      </c>
      <c r="AN75" s="80">
        <f t="shared" si="4"/>
        <v>16</v>
      </c>
      <c r="AO75" s="80">
        <f t="shared" si="4"/>
        <v>19</v>
      </c>
      <c r="AP75" s="80">
        <f t="shared" si="4"/>
        <v>60</v>
      </c>
      <c r="AQ75" s="80">
        <f t="shared" si="4"/>
        <v>7</v>
      </c>
      <c r="AR75" s="80">
        <f t="shared" si="4"/>
        <v>4</v>
      </c>
      <c r="AS75" s="182">
        <f t="shared" si="2"/>
        <v>150</v>
      </c>
      <c r="AT75" s="182"/>
    </row>
    <row r="76">
      <c r="A76" s="63" t="s">
        <v>1608</v>
      </c>
      <c r="B76" s="48" t="s">
        <v>354</v>
      </c>
      <c r="C76" s="48" t="s">
        <v>354</v>
      </c>
      <c r="D76" s="48" t="s">
        <v>354</v>
      </c>
      <c r="E76" s="48" t="s">
        <v>354</v>
      </c>
      <c r="F76" s="48" t="s">
        <v>354</v>
      </c>
      <c r="G76" s="48" t="s">
        <v>354</v>
      </c>
      <c r="H76" s="48" t="s">
        <v>354</v>
      </c>
      <c r="I76" s="48" t="s">
        <v>354</v>
      </c>
      <c r="J76" s="235" t="s">
        <v>354</v>
      </c>
      <c r="K76" s="235" t="s">
        <v>354</v>
      </c>
      <c r="L76" s="235" t="s">
        <v>354</v>
      </c>
      <c r="M76" s="235" t="s">
        <v>354</v>
      </c>
      <c r="N76" s="235" t="s">
        <v>354</v>
      </c>
      <c r="O76" s="235" t="s">
        <v>354</v>
      </c>
      <c r="P76" s="235" t="s">
        <v>354</v>
      </c>
      <c r="Q76" s="235" t="s">
        <v>354</v>
      </c>
      <c r="R76" s="551">
        <v>0.0</v>
      </c>
      <c r="S76" s="551">
        <v>0.0</v>
      </c>
      <c r="T76" s="551">
        <v>0.0</v>
      </c>
      <c r="U76" s="551">
        <v>0.0</v>
      </c>
      <c r="V76" s="551" t="s">
        <v>354</v>
      </c>
      <c r="W76" s="551" t="s">
        <v>354</v>
      </c>
      <c r="X76" s="166" t="s">
        <v>354</v>
      </c>
      <c r="Y76" s="166" t="s">
        <v>354</v>
      </c>
      <c r="Z76" s="553" t="s">
        <v>356</v>
      </c>
      <c r="AA76" s="554" t="s">
        <v>354</v>
      </c>
      <c r="AB76" s="555" t="s">
        <v>356</v>
      </c>
      <c r="AC76" s="555" t="s">
        <v>354</v>
      </c>
      <c r="AD76" s="23" t="s">
        <v>356</v>
      </c>
      <c r="AE76" s="19" t="s">
        <v>354</v>
      </c>
      <c r="AF76" s="46">
        <f t="shared" si="1"/>
        <v>0</v>
      </c>
      <c r="AG76" s="182"/>
      <c r="AH76" s="182"/>
      <c r="AI76" s="182"/>
      <c r="AJ76" s="235" t="s">
        <v>1406</v>
      </c>
      <c r="AK76" s="607">
        <f t="shared" ref="AK76:AR76" si="5">AK75/$AS$75</f>
        <v>0.02</v>
      </c>
      <c r="AL76" s="607">
        <f t="shared" si="5"/>
        <v>0.02666666667</v>
      </c>
      <c r="AM76" s="607">
        <f t="shared" si="5"/>
        <v>0.2466666667</v>
      </c>
      <c r="AN76" s="607">
        <f t="shared" si="5"/>
        <v>0.1066666667</v>
      </c>
      <c r="AO76" s="607">
        <f t="shared" si="5"/>
        <v>0.1266666667</v>
      </c>
      <c r="AP76" s="607">
        <f t="shared" si="5"/>
        <v>0.4</v>
      </c>
      <c r="AQ76" s="607">
        <f t="shared" si="5"/>
        <v>0.04666666667</v>
      </c>
      <c r="AR76" s="607">
        <f t="shared" si="5"/>
        <v>0.02666666667</v>
      </c>
      <c r="AS76" s="380">
        <f t="shared" si="2"/>
        <v>1</v>
      </c>
      <c r="AT76" s="182"/>
    </row>
    <row r="77">
      <c r="A77" s="46"/>
      <c r="B77" s="46"/>
      <c r="C77" s="46"/>
      <c r="D77" s="46"/>
      <c r="E77" s="46"/>
      <c r="F77" s="46"/>
      <c r="G77" s="46"/>
      <c r="H77" s="46"/>
      <c r="I77" s="46"/>
      <c r="J77" s="182"/>
      <c r="K77" s="182"/>
      <c r="L77" s="182"/>
      <c r="M77" s="182"/>
      <c r="N77" s="182"/>
      <c r="O77" s="182"/>
      <c r="P77" s="182"/>
      <c r="Q77" s="182"/>
      <c r="R77" s="46"/>
      <c r="S77" s="46"/>
      <c r="T77" s="46"/>
      <c r="U77" s="46"/>
      <c r="V77" s="46"/>
      <c r="W77" s="46"/>
      <c r="X77" s="46"/>
      <c r="Y77" s="46"/>
      <c r="Z77" s="46"/>
      <c r="AA77" s="46"/>
      <c r="AB77" s="46"/>
      <c r="AC77" s="46"/>
      <c r="AD77" s="46"/>
      <c r="AE77" s="46"/>
      <c r="AF77" s="182"/>
      <c r="AG77" s="182"/>
      <c r="AH77" s="182"/>
      <c r="AI77" s="182"/>
      <c r="AJ77" s="182"/>
      <c r="AK77" s="182"/>
      <c r="AL77" s="182"/>
      <c r="AM77" s="182"/>
      <c r="AN77" s="182"/>
      <c r="AO77" s="182"/>
      <c r="AP77" s="182"/>
      <c r="AQ77" s="182"/>
      <c r="AR77" s="182"/>
      <c r="AS77" s="182"/>
      <c r="AT77" s="182"/>
    </row>
    <row r="78">
      <c r="A78" s="46"/>
      <c r="B78" s="46"/>
      <c r="C78" s="46"/>
      <c r="D78" s="46"/>
      <c r="E78" s="46"/>
      <c r="F78" s="46"/>
      <c r="G78" s="46"/>
      <c r="H78" s="46"/>
      <c r="I78" s="46"/>
      <c r="J78" s="182"/>
      <c r="K78" s="182"/>
      <c r="L78" s="182"/>
      <c r="M78" s="182"/>
      <c r="N78" s="182"/>
      <c r="O78" s="182"/>
      <c r="P78" s="182"/>
      <c r="Q78" s="182"/>
      <c r="R78" s="46">
        <f>COUNTIF(R2:R74,"&gt;0")</f>
        <v>36</v>
      </c>
      <c r="S78" s="46"/>
      <c r="T78" s="46"/>
      <c r="U78" s="46">
        <f>COUNTIF(U2:U74,"&gt;0")</f>
        <v>10</v>
      </c>
      <c r="V78" s="46"/>
      <c r="W78" s="46"/>
      <c r="X78" s="46"/>
      <c r="Y78" s="46"/>
      <c r="Z78" s="46">
        <f>COUNTIF(Z2:Z74,"POS")</f>
        <v>52</v>
      </c>
      <c r="AA78" s="46"/>
      <c r="AB78" s="46">
        <f>COUNTIF(AB2:AB74,"POS")</f>
        <v>45</v>
      </c>
      <c r="AC78" s="46"/>
      <c r="AD78" s="46">
        <f>COUNTIF(AD2:AD74,"POS")</f>
        <v>47</v>
      </c>
      <c r="AE78" s="46"/>
      <c r="AF78" s="372">
        <f>COUNTIF($AF$2:$AF$74,"&gt;0")</f>
        <v>62</v>
      </c>
      <c r="AG78" s="372">
        <f>COUNTIF($AF$2:$AF$74,"&gt;1")</f>
        <v>55</v>
      </c>
      <c r="AH78" s="372">
        <f>COUNTIF($AF$2:$AF$74,"&gt;2")</f>
        <v>45</v>
      </c>
      <c r="AI78" s="372">
        <f>COUNTIF($AF$2:$AF$74,"&gt;3")</f>
        <v>18</v>
      </c>
      <c r="AJ78" s="487">
        <f>countif(AT2:AT74,"&gt;1")</f>
        <v>24</v>
      </c>
      <c r="AK78" s="224">
        <v>0.0</v>
      </c>
      <c r="AL78" s="224">
        <v>1.0</v>
      </c>
      <c r="AM78" s="224">
        <v>10.0</v>
      </c>
      <c r="AN78" s="224">
        <v>2.0</v>
      </c>
      <c r="AO78" s="224">
        <v>4.0</v>
      </c>
      <c r="AP78" s="224">
        <v>17.0</v>
      </c>
      <c r="AQ78" s="224">
        <v>1.0</v>
      </c>
      <c r="AR78" s="224">
        <v>3.0</v>
      </c>
      <c r="AS78" s="76"/>
      <c r="AT78" s="76"/>
    </row>
    <row r="79">
      <c r="A79" s="46"/>
      <c r="B79" s="46"/>
      <c r="C79" s="46"/>
      <c r="D79" s="46"/>
      <c r="E79" s="46"/>
      <c r="F79" s="46"/>
      <c r="G79" s="46"/>
      <c r="H79" s="46"/>
      <c r="I79" s="46"/>
      <c r="J79" s="182"/>
      <c r="K79" s="182"/>
      <c r="L79" s="182"/>
      <c r="M79" s="182"/>
      <c r="N79" s="182"/>
      <c r="O79" s="182"/>
      <c r="P79" s="182"/>
      <c r="Q79" s="182"/>
      <c r="R79" s="46">
        <f>COUNT($G$2:$G$74)</f>
        <v>73</v>
      </c>
      <c r="S79" s="46"/>
      <c r="T79" s="46"/>
      <c r="U79" s="46">
        <f>COUNT($G$2:$G$74)</f>
        <v>73</v>
      </c>
      <c r="V79" s="46"/>
      <c r="W79" s="46"/>
      <c r="X79" s="46"/>
      <c r="Y79" s="46"/>
      <c r="Z79" s="46">
        <f>COUNT($G$2:$G$74)</f>
        <v>73</v>
      </c>
      <c r="AA79" s="46"/>
      <c r="AB79" s="46">
        <f>COUNT($G$2:$G$74)</f>
        <v>73</v>
      </c>
      <c r="AC79" s="46"/>
      <c r="AD79" s="46">
        <f>COUNT($G$2:$G$74)</f>
        <v>73</v>
      </c>
      <c r="AE79" s="46"/>
      <c r="AF79" s="372">
        <f t="shared" ref="AF79:AJ79" si="6">COUNT($G$2:$G$74)</f>
        <v>73</v>
      </c>
      <c r="AG79" s="372">
        <f t="shared" si="6"/>
        <v>73</v>
      </c>
      <c r="AH79" s="372">
        <f t="shared" si="6"/>
        <v>73</v>
      </c>
      <c r="AI79" s="372">
        <f t="shared" si="6"/>
        <v>73</v>
      </c>
      <c r="AJ79" s="372">
        <f t="shared" si="6"/>
        <v>73</v>
      </c>
      <c r="AK79" s="608"/>
      <c r="AL79" s="608"/>
      <c r="AM79" s="608"/>
      <c r="AN79" s="608"/>
      <c r="AO79" s="608"/>
      <c r="AP79" s="608"/>
      <c r="AQ79" s="608"/>
      <c r="AR79" s="608"/>
      <c r="AS79" s="493"/>
      <c r="AT79" s="493"/>
    </row>
    <row r="80">
      <c r="A80" s="46"/>
      <c r="B80" s="46"/>
      <c r="C80" s="46"/>
      <c r="D80" s="46"/>
      <c r="E80" s="46"/>
      <c r="F80" s="46"/>
      <c r="G80" s="46"/>
      <c r="H80" s="46"/>
      <c r="I80" s="46"/>
      <c r="J80" s="182"/>
      <c r="K80" s="182"/>
      <c r="L80" s="182"/>
      <c r="M80" s="182"/>
      <c r="N80" s="182"/>
      <c r="O80" s="182"/>
      <c r="P80" s="182"/>
      <c r="Q80" s="182"/>
      <c r="R80" s="374">
        <f>R78/R79</f>
        <v>0.4931506849</v>
      </c>
      <c r="S80" s="46"/>
      <c r="T80" s="46"/>
      <c r="U80" s="374">
        <f>U78/U79</f>
        <v>0.1369863014</v>
      </c>
      <c r="V80" s="374"/>
      <c r="W80" s="374"/>
      <c r="X80" s="46"/>
      <c r="Y80" s="46"/>
      <c r="Z80" s="374">
        <f>Z78/Z79</f>
        <v>0.7123287671</v>
      </c>
      <c r="AA80" s="46"/>
      <c r="AB80" s="374">
        <f>AB78/AB79</f>
        <v>0.6164383562</v>
      </c>
      <c r="AC80" s="46"/>
      <c r="AD80" s="374">
        <f>AD78/AD79</f>
        <v>0.6438356164</v>
      </c>
      <c r="AE80" s="46"/>
      <c r="AF80" s="564">
        <f t="shared" ref="AF80:AJ80" si="7">AF78/AF79</f>
        <v>0.8493150685</v>
      </c>
      <c r="AG80" s="564">
        <f t="shared" si="7"/>
        <v>0.7534246575</v>
      </c>
      <c r="AH80" s="564">
        <f t="shared" si="7"/>
        <v>0.6164383562</v>
      </c>
      <c r="AI80" s="564">
        <f t="shared" si="7"/>
        <v>0.2465753425</v>
      </c>
      <c r="AJ80" s="565">
        <f t="shared" si="7"/>
        <v>0.3287671233</v>
      </c>
      <c r="AK80" s="608"/>
      <c r="AL80" s="608"/>
      <c r="AM80" s="608"/>
      <c r="AN80" s="608"/>
      <c r="AO80" s="608"/>
      <c r="AP80" s="608"/>
      <c r="AQ80" s="608"/>
      <c r="AR80" s="608"/>
      <c r="AS80" s="493"/>
      <c r="AT80" s="493"/>
    </row>
    <row r="81">
      <c r="A81" s="46"/>
      <c r="B81" s="46"/>
      <c r="C81" s="46"/>
      <c r="D81" s="46"/>
      <c r="E81" s="46"/>
      <c r="F81" s="46"/>
      <c r="G81" s="46"/>
      <c r="H81" s="46"/>
      <c r="I81" s="46"/>
      <c r="J81" s="182"/>
      <c r="K81" s="182"/>
      <c r="L81" s="182"/>
      <c r="M81" s="182"/>
      <c r="N81" s="182"/>
      <c r="O81" s="182"/>
      <c r="P81" s="182"/>
      <c r="Q81" s="182"/>
      <c r="R81" s="46"/>
      <c r="S81" s="46"/>
      <c r="T81" s="46"/>
      <c r="U81" s="46"/>
      <c r="V81" s="46"/>
      <c r="W81" s="46"/>
      <c r="X81" s="46"/>
      <c r="Y81" s="46"/>
      <c r="Z81" s="46"/>
      <c r="AA81" s="46"/>
      <c r="AB81" s="46"/>
      <c r="AC81" s="46"/>
      <c r="AD81" s="46"/>
      <c r="AE81" s="46"/>
      <c r="AF81" s="609" t="s">
        <v>1401</v>
      </c>
      <c r="AG81" s="609" t="s">
        <v>1402</v>
      </c>
      <c r="AH81" s="609" t="s">
        <v>1403</v>
      </c>
      <c r="AI81" s="310" t="s">
        <v>1404</v>
      </c>
      <c r="AJ81" s="310" t="s">
        <v>1376</v>
      </c>
      <c r="AK81" s="608"/>
      <c r="AL81" s="608"/>
      <c r="AM81" s="608"/>
      <c r="AN81" s="608"/>
      <c r="AO81" s="608"/>
      <c r="AP81" s="608"/>
      <c r="AQ81" s="608"/>
      <c r="AR81" s="608"/>
      <c r="AS81" s="493"/>
      <c r="AT81" s="493"/>
    </row>
    <row r="82">
      <c r="A82" s="46"/>
      <c r="B82" s="46"/>
      <c r="C82" s="46"/>
      <c r="D82" s="46"/>
      <c r="E82" s="46"/>
      <c r="F82" s="46"/>
      <c r="G82" s="46"/>
      <c r="H82" s="151"/>
      <c r="I82" s="46"/>
      <c r="J82" s="182"/>
      <c r="K82" s="182"/>
      <c r="L82" s="182"/>
      <c r="M82" s="182"/>
      <c r="N82" s="182"/>
      <c r="O82" s="182"/>
      <c r="P82" s="182"/>
      <c r="Q82" s="182"/>
      <c r="R82" s="46"/>
      <c r="S82" s="46"/>
      <c r="T82" s="46"/>
      <c r="U82" s="46"/>
      <c r="V82" s="46"/>
      <c r="W82" s="46"/>
      <c r="X82" s="46"/>
      <c r="Y82" s="46"/>
      <c r="Z82" s="46"/>
      <c r="AA82" s="46"/>
      <c r="AB82" s="46"/>
      <c r="AC82" s="46"/>
      <c r="AD82" s="46"/>
      <c r="AE82" s="46"/>
      <c r="AF82" s="182"/>
      <c r="AG82" s="182"/>
      <c r="AH82" s="182"/>
      <c r="AI82" s="182"/>
      <c r="AJ82" s="182"/>
      <c r="AK82" s="608"/>
      <c r="AL82" s="608"/>
      <c r="AM82" s="608"/>
      <c r="AT82" s="493"/>
    </row>
    <row r="83">
      <c r="A83" s="46"/>
      <c r="B83" s="46"/>
      <c r="C83" s="46"/>
      <c r="D83" s="46"/>
      <c r="E83" s="46"/>
      <c r="F83" s="46"/>
      <c r="G83" s="46"/>
      <c r="H83" s="151"/>
      <c r="J83" s="331" t="s">
        <v>1497</v>
      </c>
      <c r="K83" s="345" t="s">
        <v>389</v>
      </c>
      <c r="L83" s="346" t="s">
        <v>420</v>
      </c>
      <c r="M83" s="347" t="s">
        <v>358</v>
      </c>
      <c r="N83" s="348" t="s">
        <v>363</v>
      </c>
      <c r="O83" s="349" t="s">
        <v>413</v>
      </c>
      <c r="P83" s="350" t="s">
        <v>357</v>
      </c>
      <c r="Q83" s="351" t="s">
        <v>380</v>
      </c>
      <c r="R83" s="352" t="s">
        <v>387</v>
      </c>
      <c r="S83" s="566" t="s">
        <v>1427</v>
      </c>
      <c r="T83" s="408" t="s">
        <v>1190</v>
      </c>
      <c r="U83" s="567" t="s">
        <v>1214</v>
      </c>
      <c r="V83" s="568" t="s">
        <v>1120</v>
      </c>
      <c r="W83" s="569" t="s">
        <v>1188</v>
      </c>
      <c r="X83" s="570" t="s">
        <v>1428</v>
      </c>
      <c r="Y83" s="571" t="s">
        <v>1429</v>
      </c>
      <c r="Z83" s="572" t="s">
        <v>1178</v>
      </c>
      <c r="AA83" s="573" t="s">
        <v>1145</v>
      </c>
      <c r="AB83" s="417" t="s">
        <v>1301</v>
      </c>
      <c r="AC83" s="574" t="s">
        <v>1130</v>
      </c>
      <c r="AD83" s="575" t="s">
        <v>1314</v>
      </c>
      <c r="AE83" s="576" t="s">
        <v>1431</v>
      </c>
      <c r="AF83" s="577" t="s">
        <v>1095</v>
      </c>
      <c r="AG83" s="578" t="s">
        <v>1103</v>
      </c>
      <c r="AH83" s="579" t="s">
        <v>1090</v>
      </c>
      <c r="AI83" s="580" t="s">
        <v>1296</v>
      </c>
      <c r="AJ83" s="581" t="s">
        <v>1270</v>
      </c>
      <c r="AK83" s="582" t="s">
        <v>1115</v>
      </c>
      <c r="AL83" s="583" t="s">
        <v>1089</v>
      </c>
      <c r="AM83" s="584" t="s">
        <v>1182</v>
      </c>
      <c r="AN83" s="585" t="s">
        <v>1298</v>
      </c>
      <c r="AO83" s="586" t="s">
        <v>1163</v>
      </c>
      <c r="AP83" s="587" t="s">
        <v>1223</v>
      </c>
      <c r="AQ83" s="588" t="s">
        <v>1441</v>
      </c>
      <c r="AR83" s="589" t="s">
        <v>1129</v>
      </c>
      <c r="AS83" s="590" t="s">
        <v>1447</v>
      </c>
      <c r="AT83" s="591" t="s">
        <v>1454</v>
      </c>
    </row>
    <row r="84">
      <c r="A84" s="46"/>
      <c r="B84" s="46"/>
      <c r="C84" s="46"/>
      <c r="D84" s="46"/>
      <c r="E84" s="46"/>
      <c r="F84" s="46"/>
      <c r="G84" s="46"/>
      <c r="H84" s="151"/>
      <c r="J84" s="468">
        <f>correl(K84:R84,AK75:AR75)</f>
        <v>0.9905101784</v>
      </c>
      <c r="K84" s="76">
        <f t="shared" ref="K84:R84" si="8">countif(AK2:AK74,"&gt;0")</f>
        <v>3</v>
      </c>
      <c r="L84" s="76">
        <f t="shared" si="8"/>
        <v>3</v>
      </c>
      <c r="M84" s="76">
        <f t="shared" si="8"/>
        <v>24</v>
      </c>
      <c r="N84" s="76">
        <f t="shared" si="8"/>
        <v>10</v>
      </c>
      <c r="O84" s="76">
        <f t="shared" si="8"/>
        <v>12</v>
      </c>
      <c r="P84" s="76">
        <f t="shared" si="8"/>
        <v>31</v>
      </c>
      <c r="Q84" s="76">
        <f t="shared" si="8"/>
        <v>6</v>
      </c>
      <c r="R84" s="76">
        <f t="shared" si="8"/>
        <v>3</v>
      </c>
      <c r="S84" s="157">
        <v>0.0</v>
      </c>
      <c r="T84" s="273">
        <v>2.0</v>
      </c>
      <c r="U84" s="157">
        <v>0.0</v>
      </c>
      <c r="V84" s="157">
        <v>0.0</v>
      </c>
      <c r="W84" s="273">
        <v>3.0</v>
      </c>
      <c r="X84" s="157">
        <v>0.0</v>
      </c>
      <c r="Y84" s="157">
        <v>0.0</v>
      </c>
      <c r="Z84" s="273">
        <v>1.0</v>
      </c>
      <c r="AA84" s="157">
        <v>0.0</v>
      </c>
      <c r="AB84" s="273">
        <v>1.0</v>
      </c>
      <c r="AC84" s="592">
        <f t="shared" ref="AC84:AE84" si="9">countifs($AL$2:$AL$74,"&gt;0",AP2:AP74,"&gt;0")</f>
        <v>1</v>
      </c>
      <c r="AD84" s="265">
        <f t="shared" si="9"/>
        <v>0</v>
      </c>
      <c r="AE84" s="265">
        <f t="shared" si="9"/>
        <v>0</v>
      </c>
      <c r="AF84" s="592">
        <f>countifs($AM$2:$AM$74,"&gt;0",AN2:AN74,"&gt;0")</f>
        <v>4</v>
      </c>
      <c r="AG84" s="273">
        <v>6.0</v>
      </c>
      <c r="AH84" s="273">
        <v>6.0</v>
      </c>
      <c r="AI84" s="273">
        <v>1.0</v>
      </c>
      <c r="AJ84" s="265">
        <f>countifs($AM$2:$AM$74,"&gt;0",AR2:AR74,"&gt;0")</f>
        <v>0</v>
      </c>
      <c r="AK84" s="265">
        <f t="shared" ref="AK84:AN84" si="10">countifs($AN$2:$AN$74,"&gt;0",AO2:AO74,"&gt;0")</f>
        <v>0</v>
      </c>
      <c r="AL84" s="592">
        <f t="shared" si="10"/>
        <v>3</v>
      </c>
      <c r="AM84" s="592">
        <f t="shared" si="10"/>
        <v>1</v>
      </c>
      <c r="AN84" s="265">
        <f t="shared" si="10"/>
        <v>0</v>
      </c>
      <c r="AO84" s="273">
        <v>3.0</v>
      </c>
      <c r="AP84" s="273">
        <v>2.0</v>
      </c>
      <c r="AQ84" s="265">
        <f>countifs($AO$2:$AO$74,"&gt;0",AR2:AR74,"&gt;0")</f>
        <v>0</v>
      </c>
      <c r="AR84" s="273">
        <v>3.0</v>
      </c>
      <c r="AS84" s="265">
        <f>countifs($AP$2:$AP$74,"&gt;0",AR2:AR74,"&gt;0")</f>
        <v>0</v>
      </c>
      <c r="AT84" s="265">
        <f>countifs($AQ$2:$AQ$74,"&gt;0",AR2:AR74,"&gt;0")</f>
        <v>0</v>
      </c>
    </row>
    <row r="85">
      <c r="A85" s="46"/>
      <c r="B85" s="46"/>
      <c r="C85" s="46"/>
      <c r="D85" s="46"/>
      <c r="E85" s="46"/>
      <c r="F85" s="46"/>
      <c r="G85" s="46"/>
      <c r="H85" s="151"/>
      <c r="K85" s="76">
        <f t="shared" ref="K85:R85" si="11">K84/sum($K$84:$R$84)</f>
        <v>0.03260869565</v>
      </c>
      <c r="L85" s="76">
        <f t="shared" si="11"/>
        <v>0.03260869565</v>
      </c>
      <c r="M85" s="76">
        <f t="shared" si="11"/>
        <v>0.2608695652</v>
      </c>
      <c r="N85" s="76">
        <f t="shared" si="11"/>
        <v>0.1086956522</v>
      </c>
      <c r="O85" s="76">
        <f t="shared" si="11"/>
        <v>0.1304347826</v>
      </c>
      <c r="P85" s="76">
        <f t="shared" si="11"/>
        <v>0.3369565217</v>
      </c>
      <c r="Q85" s="76">
        <f t="shared" si="11"/>
        <v>0.0652173913</v>
      </c>
      <c r="R85" s="76">
        <f t="shared" si="11"/>
        <v>0.03260869565</v>
      </c>
      <c r="S85" s="265"/>
      <c r="T85" s="265"/>
      <c r="U85" s="265"/>
      <c r="V85" s="265"/>
      <c r="W85" s="265"/>
      <c r="X85" s="265"/>
      <c r="Y85" s="265"/>
      <c r="Z85" s="265"/>
      <c r="AA85" s="265"/>
      <c r="AB85" s="265"/>
      <c r="AC85" s="265"/>
      <c r="AD85" s="265"/>
      <c r="AE85" s="265"/>
      <c r="AF85" s="265"/>
      <c r="AG85" s="265"/>
      <c r="AH85" s="265"/>
      <c r="AI85" s="265"/>
      <c r="AJ85" s="265"/>
      <c r="AK85" s="265"/>
      <c r="AL85" s="265"/>
      <c r="AM85" s="265"/>
      <c r="AN85" s="265"/>
      <c r="AO85" s="265"/>
      <c r="AP85" s="265"/>
      <c r="AQ85" s="265"/>
      <c r="AR85" s="265"/>
      <c r="AS85" s="265"/>
      <c r="AT85" s="26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7.29" defaultRowHeight="15.0"/>
  <cols>
    <col customWidth="1" min="1" max="1" width="9.14"/>
    <col customWidth="1" min="2" max="2" width="5.86"/>
    <col customWidth="1" min="3" max="3" width="9.29"/>
    <col customWidth="1" min="4" max="5" width="15.14"/>
    <col customWidth="1" min="6" max="6" width="13.71"/>
    <col customWidth="1" min="7" max="7" width="6.86"/>
    <col customWidth="1" min="8" max="8" width="4.0"/>
    <col customWidth="1" min="9" max="9" width="15.14"/>
    <col customWidth="1" min="10" max="10" width="9.86"/>
    <col customWidth="1" min="11" max="11" width="4.71"/>
    <col customWidth="1" min="12" max="12" width="8.14"/>
    <col customWidth="1" min="13" max="13" width="13.0"/>
    <col customWidth="1" min="14" max="14" width="8.43"/>
    <col customWidth="1" min="15" max="15" width="8.0"/>
    <col customWidth="1" min="16" max="16" width="9.57"/>
    <col customWidth="1" min="17" max="17" width="23.0"/>
    <col customWidth="1" min="18" max="18" width="19.57"/>
    <col customWidth="1" min="19" max="19" width="16.14"/>
    <col customWidth="1" min="20" max="20" width="22.86"/>
    <col customWidth="1" min="21" max="21" width="26.0"/>
    <col customWidth="1" min="22" max="22" width="25.86"/>
    <col customWidth="1" min="23" max="23" width="14.57"/>
    <col customWidth="1" min="24" max="24" width="20.86"/>
    <col customWidth="1" min="25" max="25" width="23.71"/>
    <col customWidth="1" min="26" max="26" width="45.57"/>
    <col customWidth="1" min="27" max="27" width="13.0"/>
    <col customWidth="1" min="28" max="28" width="27.0"/>
    <col customWidth="1" min="29" max="29" width="14.71"/>
    <col customWidth="1" min="30" max="30" width="9.71"/>
    <col customWidth="1" min="31" max="31" width="15.0"/>
    <col customWidth="1" min="32" max="32" width="24.86"/>
    <col customWidth="1" min="33" max="33" width="12.14"/>
    <col customWidth="1" min="34" max="34" width="9.29"/>
    <col customWidth="1" min="35" max="35" width="8.86"/>
    <col customWidth="1" min="36" max="36" width="9.57"/>
    <col customWidth="1" min="37" max="37" width="14.71"/>
    <col customWidth="1" min="38" max="38" width="9.57"/>
    <col customWidth="1" min="39" max="39" width="8.71"/>
    <col customWidth="1" min="40" max="40" width="6.14"/>
    <col customWidth="1" min="41" max="41" width="6.57"/>
    <col customWidth="1" min="42" max="43" width="8.71"/>
    <col customWidth="1" min="44" max="44" width="6.57"/>
    <col customWidth="1" min="45" max="46" width="8.71"/>
    <col customWidth="1" min="47" max="48" width="9.29"/>
    <col customWidth="1" min="49" max="49" width="11.43"/>
  </cols>
  <sheetData>
    <row r="1">
      <c r="A1" s="543" t="s">
        <v>1355</v>
      </c>
      <c r="B1" s="309" t="s">
        <v>0</v>
      </c>
      <c r="C1" s="309" t="s">
        <v>1356</v>
      </c>
      <c r="D1" s="309" t="s">
        <v>1246</v>
      </c>
      <c r="E1" s="310" t="s">
        <v>331</v>
      </c>
      <c r="F1" s="543" t="s">
        <v>1357</v>
      </c>
      <c r="G1" s="309" t="s">
        <v>1</v>
      </c>
      <c r="H1" s="309" t="s">
        <v>4</v>
      </c>
      <c r="I1" s="543" t="s">
        <v>1358</v>
      </c>
      <c r="J1" s="310" t="s">
        <v>336</v>
      </c>
      <c r="K1" s="310" t="s">
        <v>337</v>
      </c>
      <c r="L1" s="311" t="s">
        <v>332</v>
      </c>
      <c r="M1" s="311" t="s">
        <v>1360</v>
      </c>
      <c r="N1" s="311" t="s">
        <v>1593</v>
      </c>
      <c r="O1" s="311" t="s">
        <v>1594</v>
      </c>
      <c r="P1" s="311" t="s">
        <v>1595</v>
      </c>
      <c r="Q1" s="543" t="s">
        <v>339</v>
      </c>
      <c r="R1" s="339" t="s">
        <v>1361</v>
      </c>
      <c r="S1" s="339" t="s">
        <v>1362</v>
      </c>
      <c r="T1" s="339" t="s">
        <v>1363</v>
      </c>
      <c r="U1" s="339" t="s">
        <v>1627</v>
      </c>
      <c r="V1" s="339" t="s">
        <v>1628</v>
      </c>
      <c r="W1" s="339" t="s">
        <v>1364</v>
      </c>
      <c r="X1" s="340" t="s">
        <v>1407</v>
      </c>
      <c r="Y1" s="340" t="s">
        <v>1366</v>
      </c>
      <c r="Z1" s="340" t="s">
        <v>1367</v>
      </c>
      <c r="AA1" s="339" t="s">
        <v>1597</v>
      </c>
      <c r="AB1" s="339" t="s">
        <v>1598</v>
      </c>
      <c r="AC1" s="341" t="s">
        <v>1368</v>
      </c>
      <c r="AD1" s="341" t="s">
        <v>1369</v>
      </c>
      <c r="AE1" s="342" t="s">
        <v>1370</v>
      </c>
      <c r="AF1" s="342" t="s">
        <v>1371</v>
      </c>
      <c r="AG1" s="343" t="s">
        <v>1372</v>
      </c>
      <c r="AH1" s="344" t="s">
        <v>1373</v>
      </c>
      <c r="AI1" s="310" t="s">
        <v>1374</v>
      </c>
      <c r="AJ1" s="310" t="s">
        <v>1629</v>
      </c>
      <c r="AK1" s="310" t="s">
        <v>1630</v>
      </c>
      <c r="AL1" s="265"/>
      <c r="AN1" s="345" t="s">
        <v>389</v>
      </c>
      <c r="AO1" s="346" t="s">
        <v>420</v>
      </c>
      <c r="AP1" s="347" t="s">
        <v>358</v>
      </c>
      <c r="AQ1" s="348" t="s">
        <v>363</v>
      </c>
      <c r="AR1" s="349" t="s">
        <v>413</v>
      </c>
      <c r="AS1" s="350" t="s">
        <v>357</v>
      </c>
      <c r="AT1" s="351" t="s">
        <v>380</v>
      </c>
      <c r="AU1" s="352" t="s">
        <v>387</v>
      </c>
      <c r="AV1" s="353" t="s">
        <v>1375</v>
      </c>
      <c r="AW1" s="353" t="s">
        <v>1376</v>
      </c>
    </row>
    <row r="2">
      <c r="A2" s="63">
        <v>1.0</v>
      </c>
      <c r="B2" s="48" t="s">
        <v>5</v>
      </c>
      <c r="C2" s="610" t="s">
        <v>6</v>
      </c>
      <c r="D2" s="48" t="s">
        <v>6</v>
      </c>
      <c r="E2" s="482" t="s">
        <v>1599</v>
      </c>
      <c r="F2" s="611">
        <v>40243.0</v>
      </c>
      <c r="G2" s="612" t="s">
        <v>353</v>
      </c>
      <c r="H2" s="610" t="s">
        <v>8</v>
      </c>
      <c r="I2" s="613" t="s">
        <v>7</v>
      </c>
      <c r="J2" s="235" t="s">
        <v>354</v>
      </c>
      <c r="K2" s="614">
        <v>0.0</v>
      </c>
      <c r="L2" s="546">
        <v>117.0</v>
      </c>
      <c r="M2" s="546">
        <v>175.0</v>
      </c>
      <c r="N2" s="235" t="s">
        <v>354</v>
      </c>
      <c r="O2" s="235" t="s">
        <v>354</v>
      </c>
      <c r="P2" s="235" t="s">
        <v>354</v>
      </c>
      <c r="Q2" s="72" t="s">
        <v>1631</v>
      </c>
      <c r="R2" s="551">
        <v>0.0</v>
      </c>
      <c r="S2" s="166">
        <v>0.0</v>
      </c>
      <c r="T2" s="551" t="s">
        <v>354</v>
      </c>
      <c r="U2" s="551" t="s">
        <v>354</v>
      </c>
      <c r="V2" s="551" t="s">
        <v>354</v>
      </c>
      <c r="W2" s="551">
        <v>0.0</v>
      </c>
      <c r="X2" s="166">
        <v>0.0</v>
      </c>
      <c r="Y2" s="166" t="s">
        <v>354</v>
      </c>
      <c r="Z2" s="166" t="s">
        <v>354</v>
      </c>
      <c r="AA2" s="56" t="s">
        <v>365</v>
      </c>
      <c r="AB2" s="26" t="s">
        <v>357</v>
      </c>
      <c r="AC2" s="548" t="s">
        <v>365</v>
      </c>
      <c r="AD2" s="155" t="s">
        <v>363</v>
      </c>
      <c r="AE2" s="549" t="s">
        <v>365</v>
      </c>
      <c r="AF2" s="26" t="s">
        <v>357</v>
      </c>
      <c r="AG2" s="36" t="s">
        <v>365</v>
      </c>
      <c r="AH2" s="155" t="s">
        <v>363</v>
      </c>
      <c r="AI2" s="357">
        <f t="shared" ref="AI2:AI64" si="1">sum(COUNTIF(AC2:AH2,"POS"),countif(R2,"&gt;0"))</f>
        <v>3</v>
      </c>
      <c r="AJ2" s="182">
        <f t="shared" ref="AJ2:AJ64" si="2">if(AI2&gt;0,1,0)</f>
        <v>1</v>
      </c>
      <c r="AK2" s="182">
        <f>correl(K2:K62,AJ2:AJ62)</f>
        <v>-0.1546873999</v>
      </c>
      <c r="AL2" s="265"/>
      <c r="AN2" s="80">
        <v>0.0</v>
      </c>
      <c r="AO2" s="80">
        <v>0.0</v>
      </c>
      <c r="AP2" s="80">
        <v>0.0</v>
      </c>
      <c r="AQ2" s="224">
        <v>2.0</v>
      </c>
      <c r="AR2" s="80">
        <v>0.0</v>
      </c>
      <c r="AS2" s="224">
        <v>1.0</v>
      </c>
      <c r="AT2" s="80">
        <v>0.0</v>
      </c>
      <c r="AU2" s="80">
        <v>0.0</v>
      </c>
      <c r="AV2" s="358">
        <f t="shared" ref="AV2:AV64" si="3">sum(AN2:AU2)</f>
        <v>3</v>
      </c>
      <c r="AW2" s="358">
        <f t="shared" ref="AW2:AW62" si="4">countif(AN2:AU2,"&gt;0")</f>
        <v>2</v>
      </c>
    </row>
    <row r="3">
      <c r="A3" s="63">
        <v>2.0</v>
      </c>
      <c r="B3" s="48" t="s">
        <v>12</v>
      </c>
      <c r="C3" s="610" t="s">
        <v>13</v>
      </c>
      <c r="D3" s="48" t="s">
        <v>13</v>
      </c>
      <c r="E3" s="482" t="s">
        <v>374</v>
      </c>
      <c r="F3" s="611">
        <v>40243.0</v>
      </c>
      <c r="G3" s="612" t="s">
        <v>353</v>
      </c>
      <c r="H3" s="610" t="s">
        <v>8</v>
      </c>
      <c r="I3" s="610" t="s">
        <v>7</v>
      </c>
      <c r="J3" s="235" t="s">
        <v>354</v>
      </c>
      <c r="K3" s="614">
        <v>0.0</v>
      </c>
      <c r="L3" s="492" t="s">
        <v>354</v>
      </c>
      <c r="M3" s="546">
        <v>160.0</v>
      </c>
      <c r="N3" s="235" t="s">
        <v>354</v>
      </c>
      <c r="O3" s="235" t="s">
        <v>354</v>
      </c>
      <c r="P3" s="235" t="s">
        <v>354</v>
      </c>
      <c r="Q3" s="72" t="s">
        <v>1632</v>
      </c>
      <c r="R3" s="151">
        <v>29.82</v>
      </c>
      <c r="S3" s="166">
        <v>0.0</v>
      </c>
      <c r="T3" s="551" t="s">
        <v>354</v>
      </c>
      <c r="U3" s="551" t="s">
        <v>354</v>
      </c>
      <c r="V3" s="551" t="s">
        <v>354</v>
      </c>
      <c r="W3" s="551">
        <v>0.0</v>
      </c>
      <c r="X3" s="166">
        <v>0.0</v>
      </c>
      <c r="Y3" s="166" t="s">
        <v>354</v>
      </c>
      <c r="Z3" s="166" t="s">
        <v>354</v>
      </c>
      <c r="AA3" s="56" t="s">
        <v>365</v>
      </c>
      <c r="AB3" s="58" t="s">
        <v>380</v>
      </c>
      <c r="AC3" s="548" t="s">
        <v>365</v>
      </c>
      <c r="AD3" s="102" t="s">
        <v>357</v>
      </c>
      <c r="AE3" s="549" t="s">
        <v>365</v>
      </c>
      <c r="AF3" s="26" t="s">
        <v>357</v>
      </c>
      <c r="AG3" s="33" t="s">
        <v>356</v>
      </c>
      <c r="AH3" s="33" t="s">
        <v>354</v>
      </c>
      <c r="AI3" s="357">
        <f t="shared" si="1"/>
        <v>3</v>
      </c>
      <c r="AJ3" s="182">
        <f t="shared" si="2"/>
        <v>1</v>
      </c>
      <c r="AK3" s="182"/>
      <c r="AL3" s="265"/>
      <c r="AN3" s="80">
        <v>0.0</v>
      </c>
      <c r="AO3" s="80">
        <v>0.0</v>
      </c>
      <c r="AP3" s="80">
        <v>0.0</v>
      </c>
      <c r="AQ3" s="224">
        <v>0.0</v>
      </c>
      <c r="AR3" s="80">
        <v>0.0</v>
      </c>
      <c r="AS3" s="224">
        <v>2.0</v>
      </c>
      <c r="AT3" s="80">
        <v>0.0</v>
      </c>
      <c r="AU3" s="80">
        <v>0.0</v>
      </c>
      <c r="AV3" s="358">
        <f t="shared" si="3"/>
        <v>2</v>
      </c>
      <c r="AW3" s="358">
        <f t="shared" si="4"/>
        <v>1</v>
      </c>
    </row>
    <row r="4">
      <c r="A4" s="63">
        <v>3.0</v>
      </c>
      <c r="B4" s="48" t="s">
        <v>18</v>
      </c>
      <c r="C4" s="610" t="s">
        <v>19</v>
      </c>
      <c r="D4" s="48" t="s">
        <v>19</v>
      </c>
      <c r="E4" s="482" t="s">
        <v>383</v>
      </c>
      <c r="F4" s="611">
        <v>40243.0</v>
      </c>
      <c r="G4" s="612" t="s">
        <v>353</v>
      </c>
      <c r="H4" s="610" t="s">
        <v>8</v>
      </c>
      <c r="I4" s="610" t="s">
        <v>7</v>
      </c>
      <c r="J4" s="235" t="s">
        <v>354</v>
      </c>
      <c r="K4" s="614">
        <v>1.0</v>
      </c>
      <c r="L4" s="492" t="s">
        <v>354</v>
      </c>
      <c r="M4" s="546">
        <v>200.0</v>
      </c>
      <c r="N4" s="235" t="s">
        <v>354</v>
      </c>
      <c r="O4" s="235" t="s">
        <v>354</v>
      </c>
      <c r="P4" s="235" t="s">
        <v>354</v>
      </c>
      <c r="Q4" s="72" t="s">
        <v>1633</v>
      </c>
      <c r="R4" s="151">
        <v>31.48</v>
      </c>
      <c r="S4" s="166">
        <v>0.0</v>
      </c>
      <c r="T4" s="551" t="s">
        <v>354</v>
      </c>
      <c r="U4" s="551" t="s">
        <v>354</v>
      </c>
      <c r="V4" s="551" t="s">
        <v>354</v>
      </c>
      <c r="W4" s="551">
        <v>0.0</v>
      </c>
      <c r="X4" s="166">
        <v>0.0</v>
      </c>
      <c r="Y4" s="166" t="s">
        <v>354</v>
      </c>
      <c r="Z4" s="166" t="s">
        <v>354</v>
      </c>
      <c r="AA4" s="56" t="s">
        <v>365</v>
      </c>
      <c r="AB4" s="65" t="s">
        <v>387</v>
      </c>
      <c r="AC4" s="560" t="s">
        <v>361</v>
      </c>
      <c r="AD4" s="560" t="s">
        <v>361</v>
      </c>
      <c r="AE4" s="599" t="s">
        <v>365</v>
      </c>
      <c r="AF4" s="366" t="s">
        <v>387</v>
      </c>
      <c r="AG4" s="33" t="s">
        <v>356</v>
      </c>
      <c r="AH4" s="33" t="s">
        <v>354</v>
      </c>
      <c r="AI4" s="357">
        <f t="shared" si="1"/>
        <v>2</v>
      </c>
      <c r="AJ4" s="182">
        <f t="shared" si="2"/>
        <v>1</v>
      </c>
      <c r="AK4" s="182"/>
      <c r="AL4" s="265"/>
      <c r="AN4" s="80">
        <v>0.0</v>
      </c>
      <c r="AO4" s="80">
        <v>0.0</v>
      </c>
      <c r="AP4" s="80">
        <v>0.0</v>
      </c>
      <c r="AQ4" s="224">
        <v>0.0</v>
      </c>
      <c r="AR4" s="80">
        <v>0.0</v>
      </c>
      <c r="AS4" s="224">
        <v>0.0</v>
      </c>
      <c r="AT4" s="80">
        <v>0.0</v>
      </c>
      <c r="AU4" s="224">
        <v>1.0</v>
      </c>
      <c r="AV4" s="358">
        <f t="shared" si="3"/>
        <v>1</v>
      </c>
      <c r="AW4" s="358">
        <f t="shared" si="4"/>
        <v>1</v>
      </c>
    </row>
    <row r="5">
      <c r="A5" s="63">
        <v>4.0</v>
      </c>
      <c r="B5" s="48" t="s">
        <v>28</v>
      </c>
      <c r="C5" s="610" t="s">
        <v>29</v>
      </c>
      <c r="D5" s="48" t="s">
        <v>29</v>
      </c>
      <c r="E5" s="482" t="s">
        <v>401</v>
      </c>
      <c r="F5" s="611">
        <v>40243.0</v>
      </c>
      <c r="G5" s="612" t="s">
        <v>353</v>
      </c>
      <c r="H5" s="610" t="s">
        <v>8</v>
      </c>
      <c r="I5" s="610" t="s">
        <v>7</v>
      </c>
      <c r="J5" s="235" t="s">
        <v>354</v>
      </c>
      <c r="K5" s="614">
        <v>0.0</v>
      </c>
      <c r="L5" s="492" t="s">
        <v>354</v>
      </c>
      <c r="M5" s="546">
        <v>210.0</v>
      </c>
      <c r="N5" s="235" t="s">
        <v>354</v>
      </c>
      <c r="O5" s="235" t="s">
        <v>354</v>
      </c>
      <c r="P5" s="235" t="s">
        <v>354</v>
      </c>
      <c r="Q5" s="235" t="s">
        <v>354</v>
      </c>
      <c r="R5" s="551">
        <v>0.0</v>
      </c>
      <c r="S5" s="166">
        <v>0.0</v>
      </c>
      <c r="T5" s="551" t="s">
        <v>354</v>
      </c>
      <c r="U5" s="551" t="s">
        <v>354</v>
      </c>
      <c r="V5" s="551" t="s">
        <v>354</v>
      </c>
      <c r="W5" s="551">
        <v>0.0</v>
      </c>
      <c r="X5" s="166">
        <v>0.0</v>
      </c>
      <c r="Y5" s="166" t="s">
        <v>354</v>
      </c>
      <c r="Z5" s="166" t="s">
        <v>354</v>
      </c>
      <c r="AA5" s="49" t="s">
        <v>356</v>
      </c>
      <c r="AB5" s="49" t="s">
        <v>354</v>
      </c>
      <c r="AC5" s="615" t="s">
        <v>356</v>
      </c>
      <c r="AD5" s="616" t="s">
        <v>354</v>
      </c>
      <c r="AE5" s="555" t="s">
        <v>356</v>
      </c>
      <c r="AF5" s="555" t="s">
        <v>354</v>
      </c>
      <c r="AG5" s="36" t="s">
        <v>365</v>
      </c>
      <c r="AH5" s="155" t="s">
        <v>363</v>
      </c>
      <c r="AI5" s="357">
        <f t="shared" si="1"/>
        <v>1</v>
      </c>
      <c r="AJ5" s="182">
        <f t="shared" si="2"/>
        <v>1</v>
      </c>
      <c r="AK5" s="182"/>
      <c r="AL5" s="265"/>
      <c r="AN5" s="80">
        <v>0.0</v>
      </c>
      <c r="AO5" s="80">
        <v>0.0</v>
      </c>
      <c r="AP5" s="80">
        <v>0.0</v>
      </c>
      <c r="AQ5" s="224">
        <v>1.0</v>
      </c>
      <c r="AR5" s="80">
        <v>0.0</v>
      </c>
      <c r="AS5" s="224">
        <v>0.0</v>
      </c>
      <c r="AT5" s="80">
        <v>0.0</v>
      </c>
      <c r="AU5" s="80">
        <v>0.0</v>
      </c>
      <c r="AV5" s="363">
        <f t="shared" si="3"/>
        <v>1</v>
      </c>
      <c r="AW5" s="363">
        <f t="shared" si="4"/>
        <v>1</v>
      </c>
    </row>
    <row r="6">
      <c r="A6" s="63">
        <v>5.0</v>
      </c>
      <c r="B6" s="48" t="s">
        <v>41</v>
      </c>
      <c r="C6" s="610" t="s">
        <v>42</v>
      </c>
      <c r="D6" s="48" t="s">
        <v>42</v>
      </c>
      <c r="E6" s="482" t="s">
        <v>421</v>
      </c>
      <c r="F6" s="611">
        <v>40243.0</v>
      </c>
      <c r="G6" s="612" t="s">
        <v>353</v>
      </c>
      <c r="H6" s="610" t="s">
        <v>8</v>
      </c>
      <c r="I6" s="610" t="s">
        <v>7</v>
      </c>
      <c r="J6" s="235" t="s">
        <v>354</v>
      </c>
      <c r="K6" s="614">
        <v>0.0</v>
      </c>
      <c r="L6" s="492" t="s">
        <v>354</v>
      </c>
      <c r="M6" s="546">
        <v>220.0</v>
      </c>
      <c r="N6" s="235" t="s">
        <v>354</v>
      </c>
      <c r="O6" s="235" t="s">
        <v>354</v>
      </c>
      <c r="P6" s="235" t="s">
        <v>354</v>
      </c>
      <c r="Q6" s="235" t="s">
        <v>354</v>
      </c>
      <c r="R6" s="551">
        <v>0.0</v>
      </c>
      <c r="S6" s="166">
        <v>0.0</v>
      </c>
      <c r="T6" s="551" t="s">
        <v>354</v>
      </c>
      <c r="U6" s="551" t="s">
        <v>354</v>
      </c>
      <c r="V6" s="551" t="s">
        <v>354</v>
      </c>
      <c r="W6" s="551">
        <v>0.0</v>
      </c>
      <c r="X6" s="166">
        <v>0.0</v>
      </c>
      <c r="Y6" s="166" t="s">
        <v>354</v>
      </c>
      <c r="Z6" s="166" t="s">
        <v>354</v>
      </c>
      <c r="AA6" s="49" t="s">
        <v>356</v>
      </c>
      <c r="AB6" s="49" t="s">
        <v>354</v>
      </c>
      <c r="AC6" s="560" t="s">
        <v>361</v>
      </c>
      <c r="AD6" s="560" t="s">
        <v>361</v>
      </c>
      <c r="AE6" s="555" t="s">
        <v>356</v>
      </c>
      <c r="AF6" s="555" t="s">
        <v>354</v>
      </c>
      <c r="AG6" s="36" t="s">
        <v>365</v>
      </c>
      <c r="AH6" s="155" t="s">
        <v>363</v>
      </c>
      <c r="AI6" s="357">
        <f t="shared" si="1"/>
        <v>1</v>
      </c>
      <c r="AJ6" s="182">
        <f t="shared" si="2"/>
        <v>1</v>
      </c>
      <c r="AK6" s="182"/>
      <c r="AL6" s="265"/>
      <c r="AN6" s="80">
        <v>0.0</v>
      </c>
      <c r="AO6" s="80">
        <v>0.0</v>
      </c>
      <c r="AP6" s="80">
        <v>0.0</v>
      </c>
      <c r="AQ6" s="224">
        <v>1.0</v>
      </c>
      <c r="AR6" s="80">
        <v>0.0</v>
      </c>
      <c r="AS6" s="224">
        <v>0.0</v>
      </c>
      <c r="AT6" s="80">
        <v>0.0</v>
      </c>
      <c r="AU6" s="80">
        <v>0.0</v>
      </c>
      <c r="AV6" s="363">
        <f t="shared" si="3"/>
        <v>1</v>
      </c>
      <c r="AW6" s="363">
        <f t="shared" si="4"/>
        <v>1</v>
      </c>
    </row>
    <row r="7">
      <c r="A7" s="63">
        <v>6.0</v>
      </c>
      <c r="B7" s="48" t="s">
        <v>60</v>
      </c>
      <c r="C7" s="610" t="s">
        <v>61</v>
      </c>
      <c r="D7" s="63" t="s">
        <v>437</v>
      </c>
      <c r="E7" s="482" t="s">
        <v>438</v>
      </c>
      <c r="F7" s="611">
        <v>40243.0</v>
      </c>
      <c r="G7" s="612" t="s">
        <v>439</v>
      </c>
      <c r="H7" s="610" t="s">
        <v>8</v>
      </c>
      <c r="I7" s="613" t="s">
        <v>37</v>
      </c>
      <c r="J7" s="235" t="s">
        <v>354</v>
      </c>
      <c r="K7" s="614">
        <v>0.0</v>
      </c>
      <c r="L7" s="546">
        <v>106.0</v>
      </c>
      <c r="M7" s="546">
        <v>170.0</v>
      </c>
      <c r="N7" s="235" t="s">
        <v>354</v>
      </c>
      <c r="O7" s="235" t="s">
        <v>354</v>
      </c>
      <c r="P7" s="235" t="s">
        <v>354</v>
      </c>
      <c r="Q7" s="235" t="s">
        <v>354</v>
      </c>
      <c r="R7" s="151">
        <v>28.16</v>
      </c>
      <c r="S7" s="166">
        <v>0.0</v>
      </c>
      <c r="T7" s="551" t="s">
        <v>354</v>
      </c>
      <c r="U7" s="551" t="s">
        <v>354</v>
      </c>
      <c r="V7" s="551" t="s">
        <v>354</v>
      </c>
      <c r="W7" s="551">
        <v>0.0</v>
      </c>
      <c r="X7" s="166">
        <v>0.0</v>
      </c>
      <c r="Y7" s="166" t="s">
        <v>354</v>
      </c>
      <c r="Z7" s="166" t="s">
        <v>354</v>
      </c>
      <c r="AA7" s="56" t="s">
        <v>365</v>
      </c>
      <c r="AB7" s="26" t="s">
        <v>357</v>
      </c>
      <c r="AC7" s="548" t="s">
        <v>365</v>
      </c>
      <c r="AD7" s="102" t="s">
        <v>357</v>
      </c>
      <c r="AE7" s="549" t="s">
        <v>365</v>
      </c>
      <c r="AF7" s="26" t="s">
        <v>357</v>
      </c>
      <c r="AG7" s="36" t="s">
        <v>365</v>
      </c>
      <c r="AH7" s="102" t="s">
        <v>357</v>
      </c>
      <c r="AI7" s="357">
        <f t="shared" si="1"/>
        <v>4</v>
      </c>
      <c r="AJ7" s="182">
        <f t="shared" si="2"/>
        <v>1</v>
      </c>
      <c r="AK7" s="182"/>
      <c r="AL7" s="265"/>
      <c r="AN7" s="80">
        <v>0.0</v>
      </c>
      <c r="AO7" s="80">
        <v>0.0</v>
      </c>
      <c r="AP7" s="80">
        <v>0.0</v>
      </c>
      <c r="AQ7" s="224">
        <v>0.0</v>
      </c>
      <c r="AR7" s="80">
        <v>0.0</v>
      </c>
      <c r="AS7" s="224">
        <v>3.0</v>
      </c>
      <c r="AT7" s="80">
        <v>0.0</v>
      </c>
      <c r="AU7" s="80">
        <v>0.0</v>
      </c>
      <c r="AV7" s="358">
        <f t="shared" si="3"/>
        <v>3</v>
      </c>
      <c r="AW7" s="358">
        <f t="shared" si="4"/>
        <v>1</v>
      </c>
    </row>
    <row r="8">
      <c r="A8" s="63">
        <v>7.0</v>
      </c>
      <c r="B8" s="48" t="s">
        <v>65</v>
      </c>
      <c r="C8" s="610" t="s">
        <v>66</v>
      </c>
      <c r="D8" s="48" t="s">
        <v>66</v>
      </c>
      <c r="E8" s="482" t="s">
        <v>451</v>
      </c>
      <c r="F8" s="611">
        <v>40243.0</v>
      </c>
      <c r="G8" s="612" t="s">
        <v>439</v>
      </c>
      <c r="H8" s="610" t="s">
        <v>67</v>
      </c>
      <c r="I8" s="610" t="s">
        <v>7</v>
      </c>
      <c r="J8" s="614" t="s">
        <v>1611</v>
      </c>
      <c r="K8" s="614">
        <v>1.0</v>
      </c>
      <c r="L8" s="546">
        <v>123.0</v>
      </c>
      <c r="M8" s="546">
        <v>275.0</v>
      </c>
      <c r="N8" s="235" t="s">
        <v>354</v>
      </c>
      <c r="O8" s="235" t="s">
        <v>354</v>
      </c>
      <c r="P8" s="235" t="s">
        <v>354</v>
      </c>
      <c r="Q8" s="72" t="s">
        <v>453</v>
      </c>
      <c r="R8" s="551">
        <v>0.0</v>
      </c>
      <c r="S8" s="166">
        <v>0.0</v>
      </c>
      <c r="T8" s="551" t="s">
        <v>354</v>
      </c>
      <c r="U8" s="551" t="s">
        <v>354</v>
      </c>
      <c r="V8" s="551" t="s">
        <v>354</v>
      </c>
      <c r="W8" s="166">
        <v>0.0</v>
      </c>
      <c r="X8" s="166">
        <v>0.0</v>
      </c>
      <c r="Y8" s="166" t="s">
        <v>354</v>
      </c>
      <c r="Z8" s="166" t="s">
        <v>354</v>
      </c>
      <c r="AA8" s="49" t="s">
        <v>356</v>
      </c>
      <c r="AB8" s="49" t="s">
        <v>354</v>
      </c>
      <c r="AC8" s="560" t="s">
        <v>361</v>
      </c>
      <c r="AD8" s="560" t="s">
        <v>361</v>
      </c>
      <c r="AE8" s="549" t="s">
        <v>365</v>
      </c>
      <c r="AF8" s="26" t="s">
        <v>357</v>
      </c>
      <c r="AG8" s="36" t="s">
        <v>365</v>
      </c>
      <c r="AH8" s="102" t="s">
        <v>357</v>
      </c>
      <c r="AI8" s="357">
        <f t="shared" si="1"/>
        <v>2</v>
      </c>
      <c r="AJ8" s="182">
        <f t="shared" si="2"/>
        <v>1</v>
      </c>
      <c r="AK8" s="182"/>
      <c r="AL8" s="265"/>
      <c r="AN8" s="80">
        <v>0.0</v>
      </c>
      <c r="AO8" s="80">
        <v>0.0</v>
      </c>
      <c r="AP8" s="80">
        <v>0.0</v>
      </c>
      <c r="AQ8" s="224">
        <v>0.0</v>
      </c>
      <c r="AR8" s="80">
        <v>0.0</v>
      </c>
      <c r="AS8" s="224">
        <v>2.0</v>
      </c>
      <c r="AT8" s="80">
        <v>0.0</v>
      </c>
      <c r="AU8" s="80">
        <v>0.0</v>
      </c>
      <c r="AV8" s="358">
        <f t="shared" si="3"/>
        <v>2</v>
      </c>
      <c r="AW8" s="358">
        <f t="shared" si="4"/>
        <v>1</v>
      </c>
    </row>
    <row r="9">
      <c r="A9" s="63">
        <v>8.0</v>
      </c>
      <c r="B9" s="48" t="s">
        <v>70</v>
      </c>
      <c r="C9" s="610" t="s">
        <v>74</v>
      </c>
      <c r="D9" s="48" t="s">
        <v>71</v>
      </c>
      <c r="E9" s="482" t="s">
        <v>459</v>
      </c>
      <c r="F9" s="611">
        <v>40243.0</v>
      </c>
      <c r="G9" s="612" t="s">
        <v>439</v>
      </c>
      <c r="H9" s="610" t="s">
        <v>8</v>
      </c>
      <c r="I9" s="610" t="s">
        <v>7</v>
      </c>
      <c r="J9" s="235" t="s">
        <v>354</v>
      </c>
      <c r="K9" s="614">
        <v>1.0</v>
      </c>
      <c r="L9" s="492" t="s">
        <v>354</v>
      </c>
      <c r="M9" s="546">
        <v>245.0</v>
      </c>
      <c r="N9" s="235" t="s">
        <v>354</v>
      </c>
      <c r="O9" s="235" t="s">
        <v>354</v>
      </c>
      <c r="P9" s="235" t="s">
        <v>354</v>
      </c>
      <c r="Q9" s="235" t="s">
        <v>354</v>
      </c>
      <c r="R9" s="151">
        <v>32.17</v>
      </c>
      <c r="S9" s="166">
        <v>0.0</v>
      </c>
      <c r="T9" s="551" t="s">
        <v>354</v>
      </c>
      <c r="U9" s="551" t="s">
        <v>354</v>
      </c>
      <c r="V9" s="551" t="s">
        <v>354</v>
      </c>
      <c r="W9" s="166">
        <v>0.0</v>
      </c>
      <c r="X9" s="166">
        <v>0.0</v>
      </c>
      <c r="Y9" s="166" t="s">
        <v>354</v>
      </c>
      <c r="Z9" s="166" t="s">
        <v>354</v>
      </c>
      <c r="AA9" s="49" t="s">
        <v>356</v>
      </c>
      <c r="AB9" s="49" t="s">
        <v>354</v>
      </c>
      <c r="AC9" s="560" t="s">
        <v>361</v>
      </c>
      <c r="AD9" s="560" t="s">
        <v>361</v>
      </c>
      <c r="AE9" s="549" t="s">
        <v>365</v>
      </c>
      <c r="AF9" s="26" t="s">
        <v>357</v>
      </c>
      <c r="AG9" s="36" t="s">
        <v>365</v>
      </c>
      <c r="AH9" s="155" t="s">
        <v>363</v>
      </c>
      <c r="AI9" s="357">
        <f t="shared" si="1"/>
        <v>3</v>
      </c>
      <c r="AJ9" s="182">
        <f t="shared" si="2"/>
        <v>1</v>
      </c>
      <c r="AK9" s="182"/>
      <c r="AL9" s="265"/>
      <c r="AN9" s="80">
        <v>0.0</v>
      </c>
      <c r="AO9" s="80">
        <v>0.0</v>
      </c>
      <c r="AP9" s="80">
        <v>0.0</v>
      </c>
      <c r="AQ9" s="224">
        <v>1.0</v>
      </c>
      <c r="AR9" s="80">
        <v>0.0</v>
      </c>
      <c r="AS9" s="224">
        <v>1.0</v>
      </c>
      <c r="AT9" s="80">
        <v>0.0</v>
      </c>
      <c r="AU9" s="80">
        <v>0.0</v>
      </c>
      <c r="AV9" s="358">
        <f t="shared" si="3"/>
        <v>2</v>
      </c>
      <c r="AW9" s="358">
        <f t="shared" si="4"/>
        <v>2</v>
      </c>
    </row>
    <row r="10">
      <c r="A10" s="63">
        <v>9.0</v>
      </c>
      <c r="B10" s="48" t="s">
        <v>79</v>
      </c>
      <c r="C10" s="610" t="s">
        <v>80</v>
      </c>
      <c r="D10" s="48" t="s">
        <v>80</v>
      </c>
      <c r="E10" s="482" t="s">
        <v>467</v>
      </c>
      <c r="F10" s="611">
        <v>40243.0</v>
      </c>
      <c r="G10" s="612" t="s">
        <v>439</v>
      </c>
      <c r="H10" s="610" t="s">
        <v>8</v>
      </c>
      <c r="I10" s="610" t="s">
        <v>7</v>
      </c>
      <c r="J10" s="235" t="s">
        <v>354</v>
      </c>
      <c r="K10" s="614">
        <v>1.0</v>
      </c>
      <c r="L10" s="492" t="s">
        <v>354</v>
      </c>
      <c r="M10" s="546">
        <v>290.0</v>
      </c>
      <c r="N10" s="235" t="s">
        <v>354</v>
      </c>
      <c r="O10" s="235" t="s">
        <v>354</v>
      </c>
      <c r="P10" s="235" t="s">
        <v>354</v>
      </c>
      <c r="Q10" s="235" t="s">
        <v>354</v>
      </c>
      <c r="R10" s="151">
        <v>29.29</v>
      </c>
      <c r="S10" s="166">
        <v>0.0</v>
      </c>
      <c r="T10" s="551" t="s">
        <v>354</v>
      </c>
      <c r="U10" s="551" t="s">
        <v>354</v>
      </c>
      <c r="V10" s="551" t="s">
        <v>354</v>
      </c>
      <c r="W10" s="166">
        <v>0.0</v>
      </c>
      <c r="X10" s="166">
        <v>0.0</v>
      </c>
      <c r="Y10" s="166" t="s">
        <v>354</v>
      </c>
      <c r="Z10" s="166" t="s">
        <v>354</v>
      </c>
      <c r="AA10" s="49" t="s">
        <v>356</v>
      </c>
      <c r="AB10" s="49" t="s">
        <v>354</v>
      </c>
      <c r="AC10" s="548" t="s">
        <v>365</v>
      </c>
      <c r="AD10" s="617" t="s">
        <v>358</v>
      </c>
      <c r="AE10" s="549" t="s">
        <v>365</v>
      </c>
      <c r="AF10" s="51" t="s">
        <v>358</v>
      </c>
      <c r="AG10" s="36" t="s">
        <v>365</v>
      </c>
      <c r="AH10" s="617" t="s">
        <v>358</v>
      </c>
      <c r="AI10" s="357">
        <f t="shared" si="1"/>
        <v>4</v>
      </c>
      <c r="AJ10" s="182">
        <f t="shared" si="2"/>
        <v>1</v>
      </c>
      <c r="AK10" s="182"/>
      <c r="AL10" s="265"/>
      <c r="AN10" s="80">
        <v>0.0</v>
      </c>
      <c r="AO10" s="80">
        <v>0.0</v>
      </c>
      <c r="AP10" s="224">
        <v>3.0</v>
      </c>
      <c r="AQ10" s="224">
        <v>0.0</v>
      </c>
      <c r="AR10" s="80">
        <v>0.0</v>
      </c>
      <c r="AS10" s="224">
        <v>0.0</v>
      </c>
      <c r="AT10" s="80">
        <v>0.0</v>
      </c>
      <c r="AU10" s="80">
        <v>0.0</v>
      </c>
      <c r="AV10" s="358">
        <f t="shared" si="3"/>
        <v>3</v>
      </c>
      <c r="AW10" s="358">
        <f t="shared" si="4"/>
        <v>1</v>
      </c>
    </row>
    <row r="11">
      <c r="A11" s="63">
        <v>10.0</v>
      </c>
      <c r="B11" s="48" t="s">
        <v>83</v>
      </c>
      <c r="C11" s="610" t="s">
        <v>84</v>
      </c>
      <c r="D11" s="48" t="s">
        <v>84</v>
      </c>
      <c r="E11" s="482" t="s">
        <v>474</v>
      </c>
      <c r="F11" s="611">
        <v>40243.0</v>
      </c>
      <c r="G11" s="612" t="s">
        <v>439</v>
      </c>
      <c r="H11" s="610" t="s">
        <v>67</v>
      </c>
      <c r="I11" s="610" t="s">
        <v>7</v>
      </c>
      <c r="J11" s="614" t="s">
        <v>1611</v>
      </c>
      <c r="K11" s="614">
        <v>1.0</v>
      </c>
      <c r="L11" s="492" t="s">
        <v>354</v>
      </c>
      <c r="M11" s="546">
        <v>280.0</v>
      </c>
      <c r="N11" s="235" t="s">
        <v>354</v>
      </c>
      <c r="O11" s="235" t="s">
        <v>354</v>
      </c>
      <c r="P11" s="235" t="s">
        <v>354</v>
      </c>
      <c r="Q11" s="235" t="s">
        <v>354</v>
      </c>
      <c r="R11" s="151">
        <v>33.22</v>
      </c>
      <c r="S11" s="166">
        <v>0.0</v>
      </c>
      <c r="T11" s="551" t="s">
        <v>354</v>
      </c>
      <c r="U11" s="551" t="s">
        <v>354</v>
      </c>
      <c r="V11" s="551" t="s">
        <v>354</v>
      </c>
      <c r="W11" s="166">
        <v>0.0</v>
      </c>
      <c r="X11" s="166">
        <v>0.0</v>
      </c>
      <c r="Y11" s="166" t="s">
        <v>354</v>
      </c>
      <c r="Z11" s="166" t="s">
        <v>354</v>
      </c>
      <c r="AA11" s="49" t="s">
        <v>356</v>
      </c>
      <c r="AB11" s="49" t="s">
        <v>354</v>
      </c>
      <c r="AC11" s="548" t="s">
        <v>365</v>
      </c>
      <c r="AD11" s="105" t="s">
        <v>413</v>
      </c>
      <c r="AE11" s="549" t="s">
        <v>365</v>
      </c>
      <c r="AF11" s="164" t="s">
        <v>413</v>
      </c>
      <c r="AG11" s="36" t="s">
        <v>365</v>
      </c>
      <c r="AH11" s="155" t="s">
        <v>363</v>
      </c>
      <c r="AI11" s="357">
        <f t="shared" si="1"/>
        <v>4</v>
      </c>
      <c r="AJ11" s="182">
        <f t="shared" si="2"/>
        <v>1</v>
      </c>
      <c r="AK11" s="182"/>
      <c r="AL11" s="265"/>
      <c r="AN11" s="80">
        <v>0.0</v>
      </c>
      <c r="AO11" s="80">
        <v>0.0</v>
      </c>
      <c r="AP11" s="80">
        <v>0.0</v>
      </c>
      <c r="AQ11" s="224">
        <v>1.0</v>
      </c>
      <c r="AR11" s="224">
        <v>2.0</v>
      </c>
      <c r="AS11" s="224">
        <v>0.0</v>
      </c>
      <c r="AT11" s="80">
        <v>0.0</v>
      </c>
      <c r="AU11" s="80">
        <v>0.0</v>
      </c>
      <c r="AV11" s="358">
        <f t="shared" si="3"/>
        <v>3</v>
      </c>
      <c r="AW11" s="358">
        <f t="shared" si="4"/>
        <v>2</v>
      </c>
    </row>
    <row r="12">
      <c r="A12" s="63">
        <v>11.0</v>
      </c>
      <c r="B12" s="48" t="s">
        <v>87</v>
      </c>
      <c r="C12" s="610" t="s">
        <v>91</v>
      </c>
      <c r="D12" s="48" t="s">
        <v>88</v>
      </c>
      <c r="E12" s="98" t="s">
        <v>499</v>
      </c>
      <c r="F12" s="611">
        <v>40243.0</v>
      </c>
      <c r="G12" s="612" t="s">
        <v>439</v>
      </c>
      <c r="H12" s="610" t="s">
        <v>8</v>
      </c>
      <c r="I12" s="610" t="s">
        <v>7</v>
      </c>
      <c r="J12" s="235" t="s">
        <v>354</v>
      </c>
      <c r="K12" s="614">
        <v>1.0</v>
      </c>
      <c r="L12" s="546">
        <v>122.0</v>
      </c>
      <c r="M12" s="546">
        <v>210.0</v>
      </c>
      <c r="N12" s="235" t="s">
        <v>354</v>
      </c>
      <c r="O12" s="235" t="s">
        <v>354</v>
      </c>
      <c r="P12" s="235" t="s">
        <v>354</v>
      </c>
      <c r="Q12" s="72" t="s">
        <v>501</v>
      </c>
      <c r="R12" s="551">
        <v>0.0</v>
      </c>
      <c r="S12" s="166">
        <v>0.0</v>
      </c>
      <c r="T12" s="551" t="s">
        <v>354</v>
      </c>
      <c r="U12" s="551" t="s">
        <v>354</v>
      </c>
      <c r="V12" s="551" t="s">
        <v>354</v>
      </c>
      <c r="W12" s="166">
        <v>0.0</v>
      </c>
      <c r="X12" s="166">
        <v>0.0</v>
      </c>
      <c r="Y12" s="166" t="s">
        <v>354</v>
      </c>
      <c r="Z12" s="166" t="s">
        <v>354</v>
      </c>
      <c r="AA12" s="56" t="s">
        <v>365</v>
      </c>
      <c r="AB12" s="26" t="s">
        <v>357</v>
      </c>
      <c r="AC12" s="548" t="s">
        <v>365</v>
      </c>
      <c r="AD12" s="102" t="s">
        <v>357</v>
      </c>
      <c r="AE12" s="549" t="s">
        <v>365</v>
      </c>
      <c r="AF12" s="26" t="s">
        <v>357</v>
      </c>
      <c r="AG12" s="36" t="s">
        <v>365</v>
      </c>
      <c r="AH12" s="102" t="s">
        <v>357</v>
      </c>
      <c r="AI12" s="357">
        <f t="shared" si="1"/>
        <v>3</v>
      </c>
      <c r="AJ12" s="182">
        <f t="shared" si="2"/>
        <v>1</v>
      </c>
      <c r="AK12" s="182"/>
      <c r="AL12" s="265"/>
      <c r="AN12" s="80">
        <v>0.0</v>
      </c>
      <c r="AO12" s="80">
        <v>0.0</v>
      </c>
      <c r="AP12" s="80">
        <v>0.0</v>
      </c>
      <c r="AQ12" s="224">
        <v>0.0</v>
      </c>
      <c r="AR12" s="80">
        <v>0.0</v>
      </c>
      <c r="AS12" s="224">
        <v>3.0</v>
      </c>
      <c r="AT12" s="80">
        <v>0.0</v>
      </c>
      <c r="AU12" s="80">
        <v>0.0</v>
      </c>
      <c r="AV12" s="358">
        <f t="shared" si="3"/>
        <v>3</v>
      </c>
      <c r="AW12" s="358">
        <f t="shared" si="4"/>
        <v>1</v>
      </c>
    </row>
    <row r="13">
      <c r="A13" s="63">
        <v>12.0</v>
      </c>
      <c r="B13" s="48" t="s">
        <v>93</v>
      </c>
      <c r="C13" s="610" t="s">
        <v>94</v>
      </c>
      <c r="D13" s="48" t="s">
        <v>94</v>
      </c>
      <c r="E13" s="98" t="s">
        <v>506</v>
      </c>
      <c r="F13" s="611">
        <v>40243.0</v>
      </c>
      <c r="G13" s="612" t="s">
        <v>439</v>
      </c>
      <c r="H13" s="610" t="s">
        <v>67</v>
      </c>
      <c r="I13" s="613" t="s">
        <v>7</v>
      </c>
      <c r="J13" s="614" t="s">
        <v>770</v>
      </c>
      <c r="K13" s="614">
        <v>0.0</v>
      </c>
      <c r="L13" s="546">
        <v>119.0</v>
      </c>
      <c r="M13" s="546">
        <v>225.0</v>
      </c>
      <c r="N13" s="235" t="s">
        <v>354</v>
      </c>
      <c r="O13" s="235" t="s">
        <v>354</v>
      </c>
      <c r="P13" s="235" t="s">
        <v>354</v>
      </c>
      <c r="Q13" s="72" t="s">
        <v>507</v>
      </c>
      <c r="R13" s="151">
        <v>32.46</v>
      </c>
      <c r="S13" s="166">
        <v>0.0</v>
      </c>
      <c r="T13" s="551" t="s">
        <v>354</v>
      </c>
      <c r="U13" s="551" t="s">
        <v>354</v>
      </c>
      <c r="V13" s="551" t="s">
        <v>354</v>
      </c>
      <c r="W13" s="166">
        <v>0.0</v>
      </c>
      <c r="X13" s="166">
        <v>0.0</v>
      </c>
      <c r="Y13" s="166" t="s">
        <v>354</v>
      </c>
      <c r="Z13" s="166" t="s">
        <v>354</v>
      </c>
      <c r="AA13" s="56" t="s">
        <v>365</v>
      </c>
      <c r="AB13" s="26" t="s">
        <v>357</v>
      </c>
      <c r="AC13" s="548" t="s">
        <v>365</v>
      </c>
      <c r="AD13" s="102" t="s">
        <v>357</v>
      </c>
      <c r="AE13" s="549" t="s">
        <v>365</v>
      </c>
      <c r="AF13" s="26" t="s">
        <v>357</v>
      </c>
      <c r="AG13" s="36" t="s">
        <v>365</v>
      </c>
      <c r="AH13" s="102" t="s">
        <v>357</v>
      </c>
      <c r="AI13" s="357">
        <f t="shared" si="1"/>
        <v>4</v>
      </c>
      <c r="AJ13" s="182">
        <f t="shared" si="2"/>
        <v>1</v>
      </c>
      <c r="AK13" s="182"/>
      <c r="AL13" s="265"/>
      <c r="AN13" s="80">
        <v>0.0</v>
      </c>
      <c r="AO13" s="80">
        <v>0.0</v>
      </c>
      <c r="AP13" s="80">
        <v>0.0</v>
      </c>
      <c r="AQ13" s="224">
        <v>0.0</v>
      </c>
      <c r="AR13" s="80">
        <v>0.0</v>
      </c>
      <c r="AS13" s="224">
        <v>3.0</v>
      </c>
      <c r="AT13" s="80">
        <v>0.0</v>
      </c>
      <c r="AU13" s="80">
        <v>0.0</v>
      </c>
      <c r="AV13" s="358">
        <f t="shared" si="3"/>
        <v>3</v>
      </c>
      <c r="AW13" s="358">
        <f t="shared" si="4"/>
        <v>1</v>
      </c>
    </row>
    <row r="14">
      <c r="A14" s="63">
        <v>13.0</v>
      </c>
      <c r="B14" s="48" t="s">
        <v>97</v>
      </c>
      <c r="C14" s="610" t="s">
        <v>98</v>
      </c>
      <c r="D14" s="48" t="s">
        <v>98</v>
      </c>
      <c r="E14" s="98" t="s">
        <v>1610</v>
      </c>
      <c r="F14" s="611">
        <v>40243.0</v>
      </c>
      <c r="G14" s="612" t="s">
        <v>439</v>
      </c>
      <c r="H14" s="610" t="s">
        <v>67</v>
      </c>
      <c r="I14" s="613" t="s">
        <v>7</v>
      </c>
      <c r="J14" s="614" t="s">
        <v>1611</v>
      </c>
      <c r="K14" s="614">
        <v>0.0</v>
      </c>
      <c r="L14" s="492" t="s">
        <v>354</v>
      </c>
      <c r="M14" s="546">
        <v>275.0</v>
      </c>
      <c r="N14" s="235" t="s">
        <v>354</v>
      </c>
      <c r="O14" s="235" t="s">
        <v>354</v>
      </c>
      <c r="P14" s="235" t="s">
        <v>354</v>
      </c>
      <c r="Q14" s="72" t="s">
        <v>511</v>
      </c>
      <c r="R14" s="551">
        <v>0.0</v>
      </c>
      <c r="S14" s="166">
        <v>0.0</v>
      </c>
      <c r="T14" s="551" t="s">
        <v>354</v>
      </c>
      <c r="U14" s="551" t="s">
        <v>354</v>
      </c>
      <c r="V14" s="551" t="s">
        <v>354</v>
      </c>
      <c r="W14" s="166">
        <v>0.0</v>
      </c>
      <c r="X14" s="166">
        <v>0.0</v>
      </c>
      <c r="Y14" s="166" t="s">
        <v>354</v>
      </c>
      <c r="Z14" s="166" t="s">
        <v>354</v>
      </c>
      <c r="AA14" s="56" t="s">
        <v>365</v>
      </c>
      <c r="AB14" s="26" t="s">
        <v>357</v>
      </c>
      <c r="AC14" s="548" t="s">
        <v>365</v>
      </c>
      <c r="AD14" s="102" t="s">
        <v>357</v>
      </c>
      <c r="AE14" s="549" t="s">
        <v>365</v>
      </c>
      <c r="AF14" s="26" t="s">
        <v>357</v>
      </c>
      <c r="AG14" s="36" t="s">
        <v>365</v>
      </c>
      <c r="AH14" s="102" t="s">
        <v>357</v>
      </c>
      <c r="AI14" s="357">
        <f t="shared" si="1"/>
        <v>3</v>
      </c>
      <c r="AJ14" s="182">
        <f t="shared" si="2"/>
        <v>1</v>
      </c>
      <c r="AK14" s="182"/>
      <c r="AL14" s="265"/>
      <c r="AN14" s="80">
        <v>0.0</v>
      </c>
      <c r="AO14" s="80">
        <v>0.0</v>
      </c>
      <c r="AP14" s="80">
        <v>0.0</v>
      </c>
      <c r="AQ14" s="224">
        <v>0.0</v>
      </c>
      <c r="AR14" s="80">
        <v>0.0</v>
      </c>
      <c r="AS14" s="224">
        <v>3.0</v>
      </c>
      <c r="AT14" s="80">
        <v>0.0</v>
      </c>
      <c r="AU14" s="80">
        <v>0.0</v>
      </c>
      <c r="AV14" s="358">
        <f t="shared" si="3"/>
        <v>3</v>
      </c>
      <c r="AW14" s="358">
        <f t="shared" si="4"/>
        <v>1</v>
      </c>
    </row>
    <row r="15">
      <c r="A15" s="63">
        <v>14.0</v>
      </c>
      <c r="B15" s="48" t="s">
        <v>100</v>
      </c>
      <c r="C15" s="610" t="s">
        <v>101</v>
      </c>
      <c r="D15" s="48" t="s">
        <v>101</v>
      </c>
      <c r="E15" s="482" t="s">
        <v>518</v>
      </c>
      <c r="F15" s="611">
        <v>40243.0</v>
      </c>
      <c r="G15" s="612" t="s">
        <v>439</v>
      </c>
      <c r="H15" s="610" t="s">
        <v>8</v>
      </c>
      <c r="I15" s="610" t="s">
        <v>7</v>
      </c>
      <c r="J15" s="235" t="s">
        <v>354</v>
      </c>
      <c r="K15" s="614">
        <v>1.0</v>
      </c>
      <c r="L15" s="492" t="s">
        <v>354</v>
      </c>
      <c r="M15" s="546">
        <v>225.0</v>
      </c>
      <c r="N15" s="235" t="s">
        <v>354</v>
      </c>
      <c r="O15" s="235" t="s">
        <v>354</v>
      </c>
      <c r="P15" s="235" t="s">
        <v>354</v>
      </c>
      <c r="Q15" s="72" t="s">
        <v>507</v>
      </c>
      <c r="R15" s="151">
        <v>33.15</v>
      </c>
      <c r="S15" s="166">
        <v>0.0</v>
      </c>
      <c r="T15" s="551" t="s">
        <v>354</v>
      </c>
      <c r="U15" s="551" t="s">
        <v>354</v>
      </c>
      <c r="V15" s="551" t="s">
        <v>354</v>
      </c>
      <c r="W15" s="166">
        <v>0.0</v>
      </c>
      <c r="X15" s="166">
        <v>0.0</v>
      </c>
      <c r="Y15" s="166" t="s">
        <v>354</v>
      </c>
      <c r="Z15" s="166" t="s">
        <v>354</v>
      </c>
      <c r="AA15" s="56" t="s">
        <v>365</v>
      </c>
      <c r="AB15" s="26" t="s">
        <v>357</v>
      </c>
      <c r="AC15" s="548" t="s">
        <v>365</v>
      </c>
      <c r="AD15" s="102" t="s">
        <v>357</v>
      </c>
      <c r="AE15" s="549" t="s">
        <v>365</v>
      </c>
      <c r="AF15" s="26" t="s">
        <v>357</v>
      </c>
      <c r="AG15" s="36" t="s">
        <v>365</v>
      </c>
      <c r="AH15" s="102" t="s">
        <v>357</v>
      </c>
      <c r="AI15" s="357">
        <f t="shared" si="1"/>
        <v>4</v>
      </c>
      <c r="AJ15" s="182">
        <f t="shared" si="2"/>
        <v>1</v>
      </c>
      <c r="AK15" s="182"/>
      <c r="AL15" s="265"/>
      <c r="AN15" s="80">
        <v>0.0</v>
      </c>
      <c r="AO15" s="80">
        <v>0.0</v>
      </c>
      <c r="AP15" s="80">
        <v>0.0</v>
      </c>
      <c r="AQ15" s="224">
        <v>0.0</v>
      </c>
      <c r="AR15" s="80">
        <v>0.0</v>
      </c>
      <c r="AS15" s="224">
        <v>3.0</v>
      </c>
      <c r="AT15" s="80">
        <v>0.0</v>
      </c>
      <c r="AU15" s="80">
        <v>0.0</v>
      </c>
      <c r="AV15" s="358">
        <f t="shared" si="3"/>
        <v>3</v>
      </c>
      <c r="AW15" s="358">
        <f t="shared" si="4"/>
        <v>1</v>
      </c>
    </row>
    <row r="16">
      <c r="A16" s="63">
        <v>15.0</v>
      </c>
      <c r="B16" s="48" t="s">
        <v>104</v>
      </c>
      <c r="C16" s="610" t="s">
        <v>105</v>
      </c>
      <c r="D16" s="48" t="s">
        <v>105</v>
      </c>
      <c r="E16" s="482" t="s">
        <v>522</v>
      </c>
      <c r="F16" s="611">
        <v>40243.0</v>
      </c>
      <c r="G16" s="612" t="s">
        <v>439</v>
      </c>
      <c r="H16" s="610" t="s">
        <v>67</v>
      </c>
      <c r="I16" s="610" t="s">
        <v>7</v>
      </c>
      <c r="J16" s="614" t="s">
        <v>1611</v>
      </c>
      <c r="K16" s="614">
        <v>0.0</v>
      </c>
      <c r="L16" s="546">
        <v>125.0</v>
      </c>
      <c r="M16" s="546">
        <v>265.0</v>
      </c>
      <c r="N16" s="235" t="s">
        <v>354</v>
      </c>
      <c r="O16" s="235" t="s">
        <v>354</v>
      </c>
      <c r="P16" s="235" t="s">
        <v>354</v>
      </c>
      <c r="Q16" s="72" t="s">
        <v>526</v>
      </c>
      <c r="R16" s="551">
        <v>0.0</v>
      </c>
      <c r="S16" s="166">
        <v>0.0</v>
      </c>
      <c r="T16" s="551" t="s">
        <v>354</v>
      </c>
      <c r="U16" s="551" t="s">
        <v>354</v>
      </c>
      <c r="V16" s="551" t="s">
        <v>354</v>
      </c>
      <c r="W16" s="166">
        <v>0.0</v>
      </c>
      <c r="X16" s="166">
        <v>0.0</v>
      </c>
      <c r="Y16" s="166" t="s">
        <v>354</v>
      </c>
      <c r="Z16" s="166" t="s">
        <v>354</v>
      </c>
      <c r="AA16" s="49" t="s">
        <v>356</v>
      </c>
      <c r="AB16" s="49" t="s">
        <v>354</v>
      </c>
      <c r="AC16" s="560" t="s">
        <v>361</v>
      </c>
      <c r="AD16" s="560" t="s">
        <v>361</v>
      </c>
      <c r="AE16" s="555" t="s">
        <v>356</v>
      </c>
      <c r="AF16" s="555" t="s">
        <v>354</v>
      </c>
      <c r="AG16" s="36" t="s">
        <v>365</v>
      </c>
      <c r="AH16" s="617" t="s">
        <v>358</v>
      </c>
      <c r="AI16" s="357">
        <f t="shared" si="1"/>
        <v>1</v>
      </c>
      <c r="AJ16" s="182">
        <f t="shared" si="2"/>
        <v>1</v>
      </c>
      <c r="AK16" s="182"/>
      <c r="AL16" s="265"/>
      <c r="AN16" s="80">
        <v>0.0</v>
      </c>
      <c r="AO16" s="80">
        <v>0.0</v>
      </c>
      <c r="AP16" s="224">
        <v>1.0</v>
      </c>
      <c r="AQ16" s="224">
        <v>0.0</v>
      </c>
      <c r="AR16" s="80">
        <v>0.0</v>
      </c>
      <c r="AS16" s="224">
        <v>0.0</v>
      </c>
      <c r="AT16" s="80">
        <v>0.0</v>
      </c>
      <c r="AU16" s="80">
        <v>0.0</v>
      </c>
      <c r="AV16" s="363">
        <f t="shared" si="3"/>
        <v>1</v>
      </c>
      <c r="AW16" s="363">
        <f t="shared" si="4"/>
        <v>1</v>
      </c>
    </row>
    <row r="17">
      <c r="A17" s="63">
        <v>16.0</v>
      </c>
      <c r="B17" s="48" t="s">
        <v>108</v>
      </c>
      <c r="C17" s="610" t="s">
        <v>109</v>
      </c>
      <c r="D17" s="603" t="s">
        <v>109</v>
      </c>
      <c r="E17" s="602" t="s">
        <v>536</v>
      </c>
      <c r="F17" s="611">
        <v>40243.0</v>
      </c>
      <c r="G17" s="612" t="s">
        <v>439</v>
      </c>
      <c r="H17" s="610" t="s">
        <v>8</v>
      </c>
      <c r="I17" s="613" t="s">
        <v>62</v>
      </c>
      <c r="J17" s="235" t="s">
        <v>354</v>
      </c>
      <c r="K17" s="614">
        <v>1.0</v>
      </c>
      <c r="L17" s="546">
        <v>110.0</v>
      </c>
      <c r="M17" s="546">
        <v>175.0</v>
      </c>
      <c r="N17" s="235" t="s">
        <v>354</v>
      </c>
      <c r="O17" s="235" t="s">
        <v>354</v>
      </c>
      <c r="P17" s="235" t="s">
        <v>354</v>
      </c>
      <c r="Q17" s="235" t="s">
        <v>354</v>
      </c>
      <c r="R17" s="151">
        <v>31.7</v>
      </c>
      <c r="S17" s="166">
        <v>0.0</v>
      </c>
      <c r="T17" s="551" t="s">
        <v>354</v>
      </c>
      <c r="U17" s="551" t="s">
        <v>354</v>
      </c>
      <c r="V17" s="551" t="s">
        <v>354</v>
      </c>
      <c r="W17" s="166">
        <v>0.0</v>
      </c>
      <c r="X17" s="56">
        <v>36.32</v>
      </c>
      <c r="Y17" s="166" t="s">
        <v>356</v>
      </c>
      <c r="Z17" s="166" t="s">
        <v>354</v>
      </c>
      <c r="AA17" s="49" t="s">
        <v>356</v>
      </c>
      <c r="AB17" s="49" t="s">
        <v>354</v>
      </c>
      <c r="AC17" s="548" t="s">
        <v>365</v>
      </c>
      <c r="AD17" s="102" t="s">
        <v>357</v>
      </c>
      <c r="AE17" s="549" t="s">
        <v>365</v>
      </c>
      <c r="AF17" s="26" t="s">
        <v>357</v>
      </c>
      <c r="AG17" s="36" t="s">
        <v>365</v>
      </c>
      <c r="AH17" s="102" t="s">
        <v>357</v>
      </c>
      <c r="AI17" s="357">
        <f t="shared" si="1"/>
        <v>4</v>
      </c>
      <c r="AJ17" s="182">
        <f t="shared" si="2"/>
        <v>1</v>
      </c>
      <c r="AK17" s="182"/>
      <c r="AL17" s="265"/>
      <c r="AN17" s="80">
        <v>0.0</v>
      </c>
      <c r="AO17" s="80">
        <v>0.0</v>
      </c>
      <c r="AP17" s="80">
        <v>0.0</v>
      </c>
      <c r="AQ17" s="224">
        <v>0.0</v>
      </c>
      <c r="AR17" s="80">
        <v>0.0</v>
      </c>
      <c r="AS17" s="224">
        <v>3.0</v>
      </c>
      <c r="AT17" s="80">
        <v>0.0</v>
      </c>
      <c r="AU17" s="80">
        <v>0.0</v>
      </c>
      <c r="AV17" s="358">
        <f t="shared" si="3"/>
        <v>3</v>
      </c>
      <c r="AW17" s="358">
        <f t="shared" si="4"/>
        <v>1</v>
      </c>
    </row>
    <row r="18">
      <c r="A18" s="63">
        <v>17.0</v>
      </c>
      <c r="B18" s="48" t="s">
        <v>112</v>
      </c>
      <c r="C18" s="610" t="s">
        <v>113</v>
      </c>
      <c r="D18" s="48" t="s">
        <v>113</v>
      </c>
      <c r="E18" s="98" t="s">
        <v>541</v>
      </c>
      <c r="F18" s="611">
        <v>40243.0</v>
      </c>
      <c r="G18" s="612" t="s">
        <v>439</v>
      </c>
      <c r="H18" s="610" t="s">
        <v>8</v>
      </c>
      <c r="I18" s="610" t="s">
        <v>7</v>
      </c>
      <c r="J18" s="235" t="s">
        <v>354</v>
      </c>
      <c r="K18" s="614">
        <v>0.0</v>
      </c>
      <c r="L18" s="492" t="s">
        <v>354</v>
      </c>
      <c r="M18" s="546">
        <v>130.0</v>
      </c>
      <c r="N18" s="235" t="s">
        <v>354</v>
      </c>
      <c r="O18" s="235" t="s">
        <v>354</v>
      </c>
      <c r="P18" s="235" t="s">
        <v>354</v>
      </c>
      <c r="Q18" s="72" t="s">
        <v>507</v>
      </c>
      <c r="R18" s="151">
        <v>29.34</v>
      </c>
      <c r="S18" s="166">
        <v>0.0</v>
      </c>
      <c r="T18" s="551" t="s">
        <v>354</v>
      </c>
      <c r="U18" s="551" t="s">
        <v>354</v>
      </c>
      <c r="V18" s="551" t="s">
        <v>354</v>
      </c>
      <c r="W18" s="166">
        <v>0.0</v>
      </c>
      <c r="X18" s="166">
        <v>0.0</v>
      </c>
      <c r="Y18" s="166" t="s">
        <v>354</v>
      </c>
      <c r="Z18" s="166" t="s">
        <v>354</v>
      </c>
      <c r="AA18" s="56" t="s">
        <v>365</v>
      </c>
      <c r="AB18" s="58" t="s">
        <v>380</v>
      </c>
      <c r="AC18" s="560" t="s">
        <v>361</v>
      </c>
      <c r="AD18" s="560" t="s">
        <v>361</v>
      </c>
      <c r="AE18" s="549" t="s">
        <v>365</v>
      </c>
      <c r="AF18" s="99" t="s">
        <v>363</v>
      </c>
      <c r="AG18" s="43" t="s">
        <v>361</v>
      </c>
      <c r="AH18" s="43" t="s">
        <v>361</v>
      </c>
      <c r="AI18" s="357">
        <f t="shared" si="1"/>
        <v>2</v>
      </c>
      <c r="AJ18" s="182">
        <f t="shared" si="2"/>
        <v>1</v>
      </c>
      <c r="AK18" s="182"/>
      <c r="AL18" s="265"/>
      <c r="AN18" s="80">
        <v>0.0</v>
      </c>
      <c r="AO18" s="80">
        <v>0.0</v>
      </c>
      <c r="AP18" s="224">
        <v>0.0</v>
      </c>
      <c r="AQ18" s="224">
        <v>1.0</v>
      </c>
      <c r="AR18" s="224">
        <v>0.0</v>
      </c>
      <c r="AS18" s="224">
        <v>0.0</v>
      </c>
      <c r="AT18" s="80">
        <v>0.0</v>
      </c>
      <c r="AU18" s="80">
        <v>0.0</v>
      </c>
      <c r="AV18" s="358">
        <f t="shared" si="3"/>
        <v>1</v>
      </c>
      <c r="AW18" s="358">
        <f t="shared" si="4"/>
        <v>1</v>
      </c>
    </row>
    <row r="19">
      <c r="A19" s="63">
        <v>18.0</v>
      </c>
      <c r="B19" s="48" t="s">
        <v>116</v>
      </c>
      <c r="C19" s="610" t="s">
        <v>117</v>
      </c>
      <c r="D19" s="48" t="s">
        <v>117</v>
      </c>
      <c r="E19" s="482" t="s">
        <v>546</v>
      </c>
      <c r="F19" s="611">
        <v>40243.0</v>
      </c>
      <c r="G19" s="612" t="s">
        <v>547</v>
      </c>
      <c r="H19" s="610" t="s">
        <v>8</v>
      </c>
      <c r="I19" s="610" t="s">
        <v>7</v>
      </c>
      <c r="J19" s="235" t="s">
        <v>354</v>
      </c>
      <c r="K19" s="614">
        <v>0.0</v>
      </c>
      <c r="L19" s="546">
        <v>121.0</v>
      </c>
      <c r="M19" s="546">
        <v>230.0</v>
      </c>
      <c r="N19" s="235" t="s">
        <v>354</v>
      </c>
      <c r="O19" s="235" t="s">
        <v>354</v>
      </c>
      <c r="P19" s="235" t="s">
        <v>354</v>
      </c>
      <c r="Q19" s="72" t="s">
        <v>548</v>
      </c>
      <c r="R19" s="151">
        <v>30.37</v>
      </c>
      <c r="S19" s="166">
        <v>0.0</v>
      </c>
      <c r="T19" s="551" t="s">
        <v>354</v>
      </c>
      <c r="U19" s="551" t="s">
        <v>354</v>
      </c>
      <c r="V19" s="551" t="s">
        <v>354</v>
      </c>
      <c r="W19" s="166">
        <v>0.0</v>
      </c>
      <c r="X19" s="166">
        <v>0.0</v>
      </c>
      <c r="Y19" s="166" t="s">
        <v>354</v>
      </c>
      <c r="Z19" s="166" t="s">
        <v>354</v>
      </c>
      <c r="AA19" s="56" t="s">
        <v>365</v>
      </c>
      <c r="AB19" s="58" t="s">
        <v>380</v>
      </c>
      <c r="AC19" s="548" t="s">
        <v>365</v>
      </c>
      <c r="AD19" s="102" t="s">
        <v>357</v>
      </c>
      <c r="AE19" s="549" t="s">
        <v>365</v>
      </c>
      <c r="AF19" s="26" t="s">
        <v>357</v>
      </c>
      <c r="AG19" s="36" t="s">
        <v>365</v>
      </c>
      <c r="AH19" s="102" t="s">
        <v>357</v>
      </c>
      <c r="AI19" s="357">
        <f t="shared" si="1"/>
        <v>4</v>
      </c>
      <c r="AJ19" s="182">
        <f t="shared" si="2"/>
        <v>1</v>
      </c>
      <c r="AK19" s="182"/>
      <c r="AL19" s="265"/>
      <c r="AN19" s="80">
        <v>0.0</v>
      </c>
      <c r="AO19" s="80">
        <v>0.0</v>
      </c>
      <c r="AP19" s="80">
        <v>0.0</v>
      </c>
      <c r="AQ19" s="224">
        <v>0.0</v>
      </c>
      <c r="AR19" s="80">
        <v>0.0</v>
      </c>
      <c r="AS19" s="224">
        <v>3.0</v>
      </c>
      <c r="AT19" s="80">
        <v>0.0</v>
      </c>
      <c r="AU19" s="80">
        <v>0.0</v>
      </c>
      <c r="AV19" s="358">
        <f t="shared" si="3"/>
        <v>3</v>
      </c>
      <c r="AW19" s="358">
        <f t="shared" si="4"/>
        <v>1</v>
      </c>
    </row>
    <row r="20">
      <c r="A20" s="63">
        <v>19.0</v>
      </c>
      <c r="B20" s="48" t="s">
        <v>119</v>
      </c>
      <c r="C20" s="610" t="s">
        <v>120</v>
      </c>
      <c r="D20" s="48" t="s">
        <v>120</v>
      </c>
      <c r="E20" s="482" t="s">
        <v>552</v>
      </c>
      <c r="F20" s="611">
        <v>40243.0</v>
      </c>
      <c r="G20" s="612" t="s">
        <v>547</v>
      </c>
      <c r="H20" s="610" t="s">
        <v>8</v>
      </c>
      <c r="I20" s="613" t="s">
        <v>37</v>
      </c>
      <c r="J20" s="235" t="s">
        <v>354</v>
      </c>
      <c r="K20" s="614">
        <v>1.0</v>
      </c>
      <c r="L20" s="492" t="s">
        <v>354</v>
      </c>
      <c r="M20" s="546">
        <v>185.0</v>
      </c>
      <c r="N20" s="235" t="s">
        <v>354</v>
      </c>
      <c r="O20" s="235" t="s">
        <v>354</v>
      </c>
      <c r="P20" s="235" t="s">
        <v>354</v>
      </c>
      <c r="Q20" s="235" t="s">
        <v>354</v>
      </c>
      <c r="R20" s="551">
        <v>0.0</v>
      </c>
      <c r="S20" s="166">
        <v>0.0</v>
      </c>
      <c r="T20" s="551" t="s">
        <v>354</v>
      </c>
      <c r="U20" s="551" t="s">
        <v>354</v>
      </c>
      <c r="V20" s="551" t="s">
        <v>354</v>
      </c>
      <c r="W20" s="166">
        <v>0.0</v>
      </c>
      <c r="X20" s="166">
        <v>0.0</v>
      </c>
      <c r="Y20" s="166" t="s">
        <v>354</v>
      </c>
      <c r="Z20" s="166" t="s">
        <v>354</v>
      </c>
      <c r="AA20" s="49" t="s">
        <v>356</v>
      </c>
      <c r="AB20" s="49" t="s">
        <v>354</v>
      </c>
      <c r="AC20" s="615" t="s">
        <v>356</v>
      </c>
      <c r="AD20" s="616" t="s">
        <v>354</v>
      </c>
      <c r="AE20" s="555" t="s">
        <v>356</v>
      </c>
      <c r="AF20" s="555" t="s">
        <v>354</v>
      </c>
      <c r="AG20" s="43" t="s">
        <v>361</v>
      </c>
      <c r="AH20" s="43" t="s">
        <v>361</v>
      </c>
      <c r="AI20" s="46">
        <f t="shared" si="1"/>
        <v>0</v>
      </c>
      <c r="AJ20" s="182">
        <f t="shared" si="2"/>
        <v>0</v>
      </c>
      <c r="AK20" s="182"/>
      <c r="AL20" s="265"/>
      <c r="AN20" s="80">
        <v>0.0</v>
      </c>
      <c r="AO20" s="80">
        <v>0.0</v>
      </c>
      <c r="AP20" s="224">
        <v>0.0</v>
      </c>
      <c r="AQ20" s="224">
        <v>0.0</v>
      </c>
      <c r="AR20" s="80">
        <v>0.0</v>
      </c>
      <c r="AS20" s="224">
        <v>0.0</v>
      </c>
      <c r="AT20" s="80">
        <v>0.0</v>
      </c>
      <c r="AU20" s="80">
        <v>0.0</v>
      </c>
      <c r="AV20" s="182">
        <f t="shared" si="3"/>
        <v>0</v>
      </c>
      <c r="AW20" s="182">
        <f t="shared" si="4"/>
        <v>0</v>
      </c>
    </row>
    <row r="21">
      <c r="A21" s="63">
        <v>20.0</v>
      </c>
      <c r="B21" s="48" t="s">
        <v>122</v>
      </c>
      <c r="C21" s="610" t="s">
        <v>123</v>
      </c>
      <c r="D21" s="48" t="s">
        <v>123</v>
      </c>
      <c r="E21" s="98" t="s">
        <v>557</v>
      </c>
      <c r="F21" s="611">
        <v>40243.0</v>
      </c>
      <c r="G21" s="612" t="s">
        <v>547</v>
      </c>
      <c r="H21" s="610" t="s">
        <v>8</v>
      </c>
      <c r="I21" s="610" t="s">
        <v>7</v>
      </c>
      <c r="J21" s="235" t="s">
        <v>354</v>
      </c>
      <c r="K21" s="614">
        <v>1.0</v>
      </c>
      <c r="L21" s="492" t="s">
        <v>354</v>
      </c>
      <c r="M21" s="546">
        <v>265.0</v>
      </c>
      <c r="N21" s="235" t="s">
        <v>354</v>
      </c>
      <c r="O21" s="235" t="s">
        <v>354</v>
      </c>
      <c r="P21" s="235" t="s">
        <v>354</v>
      </c>
      <c r="Q21" s="72" t="s">
        <v>558</v>
      </c>
      <c r="R21" s="151">
        <v>31.37</v>
      </c>
      <c r="S21" s="166">
        <v>0.0</v>
      </c>
      <c r="T21" s="551" t="s">
        <v>354</v>
      </c>
      <c r="U21" s="551" t="s">
        <v>354</v>
      </c>
      <c r="V21" s="551" t="s">
        <v>354</v>
      </c>
      <c r="W21" s="166">
        <v>0.0</v>
      </c>
      <c r="X21" s="166">
        <v>0.0</v>
      </c>
      <c r="Y21" s="166" t="s">
        <v>354</v>
      </c>
      <c r="Z21" s="166" t="s">
        <v>354</v>
      </c>
      <c r="AA21" s="56" t="s">
        <v>365</v>
      </c>
      <c r="AB21" s="26" t="s">
        <v>357</v>
      </c>
      <c r="AC21" s="548" t="s">
        <v>365</v>
      </c>
      <c r="AD21" s="102" t="s">
        <v>357</v>
      </c>
      <c r="AE21" s="549" t="s">
        <v>365</v>
      </c>
      <c r="AF21" s="26" t="s">
        <v>357</v>
      </c>
      <c r="AG21" s="36" t="s">
        <v>365</v>
      </c>
      <c r="AH21" s="102" t="s">
        <v>357</v>
      </c>
      <c r="AI21" s="357">
        <f t="shared" si="1"/>
        <v>4</v>
      </c>
      <c r="AJ21" s="182">
        <f t="shared" si="2"/>
        <v>1</v>
      </c>
      <c r="AK21" s="182"/>
      <c r="AL21" s="265"/>
      <c r="AN21" s="80">
        <v>0.0</v>
      </c>
      <c r="AO21" s="80">
        <v>0.0</v>
      </c>
      <c r="AP21" s="80">
        <v>0.0</v>
      </c>
      <c r="AQ21" s="224">
        <v>0.0</v>
      </c>
      <c r="AR21" s="80">
        <v>0.0</v>
      </c>
      <c r="AS21" s="224">
        <v>3.0</v>
      </c>
      <c r="AT21" s="80">
        <v>0.0</v>
      </c>
      <c r="AU21" s="80">
        <v>0.0</v>
      </c>
      <c r="AV21" s="358">
        <f t="shared" si="3"/>
        <v>3</v>
      </c>
      <c r="AW21" s="358">
        <f t="shared" si="4"/>
        <v>1</v>
      </c>
    </row>
    <row r="22">
      <c r="A22" s="63">
        <v>21.0</v>
      </c>
      <c r="B22" s="48" t="s">
        <v>125</v>
      </c>
      <c r="C22" s="610" t="s">
        <v>126</v>
      </c>
      <c r="D22" s="63" t="s">
        <v>560</v>
      </c>
      <c r="E22" s="482" t="s">
        <v>561</v>
      </c>
      <c r="F22" s="611">
        <v>40243.0</v>
      </c>
      <c r="G22" s="612" t="s">
        <v>547</v>
      </c>
      <c r="H22" s="610" t="s">
        <v>8</v>
      </c>
      <c r="I22" s="610" t="s">
        <v>7</v>
      </c>
      <c r="J22" s="235" t="s">
        <v>354</v>
      </c>
      <c r="K22" s="614">
        <v>0.0</v>
      </c>
      <c r="L22" s="492" t="s">
        <v>354</v>
      </c>
      <c r="M22" s="546">
        <v>215.0</v>
      </c>
      <c r="N22" s="235" t="s">
        <v>354</v>
      </c>
      <c r="O22" s="235" t="s">
        <v>354</v>
      </c>
      <c r="P22" s="235" t="s">
        <v>354</v>
      </c>
      <c r="Q22" s="235" t="s">
        <v>354</v>
      </c>
      <c r="R22" s="551">
        <v>0.0</v>
      </c>
      <c r="S22" s="166">
        <v>0.0</v>
      </c>
      <c r="T22" s="551" t="s">
        <v>354</v>
      </c>
      <c r="U22" s="551" t="s">
        <v>354</v>
      </c>
      <c r="V22" s="551" t="s">
        <v>354</v>
      </c>
      <c r="W22" s="166">
        <v>0.0</v>
      </c>
      <c r="X22" s="166">
        <v>0.0</v>
      </c>
      <c r="Y22" s="166" t="s">
        <v>354</v>
      </c>
      <c r="Z22" s="166" t="s">
        <v>354</v>
      </c>
      <c r="AA22" s="49" t="s">
        <v>356</v>
      </c>
      <c r="AB22" s="49" t="s">
        <v>354</v>
      </c>
      <c r="AC22" s="560" t="s">
        <v>361</v>
      </c>
      <c r="AD22" s="560" t="s">
        <v>361</v>
      </c>
      <c r="AE22" s="549" t="s">
        <v>365</v>
      </c>
      <c r="AF22" s="99" t="s">
        <v>363</v>
      </c>
      <c r="AG22" s="36" t="s">
        <v>365</v>
      </c>
      <c r="AH22" s="618" t="s">
        <v>389</v>
      </c>
      <c r="AI22" s="357">
        <f t="shared" si="1"/>
        <v>2</v>
      </c>
      <c r="AJ22" s="182">
        <f t="shared" si="2"/>
        <v>1</v>
      </c>
      <c r="AK22" s="182"/>
      <c r="AL22" s="265"/>
      <c r="AN22" s="224">
        <v>1.0</v>
      </c>
      <c r="AO22" s="80">
        <v>0.0</v>
      </c>
      <c r="AP22" s="80">
        <v>0.0</v>
      </c>
      <c r="AQ22" s="224">
        <v>1.0</v>
      </c>
      <c r="AR22" s="80">
        <v>0.0</v>
      </c>
      <c r="AS22" s="224">
        <v>0.0</v>
      </c>
      <c r="AT22" s="80">
        <v>0.0</v>
      </c>
      <c r="AU22" s="80">
        <v>0.0</v>
      </c>
      <c r="AV22" s="358">
        <f t="shared" si="3"/>
        <v>2</v>
      </c>
      <c r="AW22" s="358">
        <f t="shared" si="4"/>
        <v>2</v>
      </c>
    </row>
    <row r="23">
      <c r="A23" s="63">
        <v>22.0</v>
      </c>
      <c r="B23" s="48" t="s">
        <v>128</v>
      </c>
      <c r="C23" s="610" t="s">
        <v>129</v>
      </c>
      <c r="D23" s="48" t="s">
        <v>129</v>
      </c>
      <c r="E23" s="482" t="s">
        <v>564</v>
      </c>
      <c r="F23" s="611">
        <v>40243.0</v>
      </c>
      <c r="G23" s="613" t="s">
        <v>547</v>
      </c>
      <c r="H23" s="610" t="s">
        <v>8</v>
      </c>
      <c r="I23" s="610" t="s">
        <v>7</v>
      </c>
      <c r="J23" s="235" t="s">
        <v>354</v>
      </c>
      <c r="K23" s="614">
        <v>0.0</v>
      </c>
      <c r="L23" s="492" t="s">
        <v>354</v>
      </c>
      <c r="M23" s="546">
        <v>225.0</v>
      </c>
      <c r="N23" s="235" t="s">
        <v>354</v>
      </c>
      <c r="O23" s="235" t="s">
        <v>354</v>
      </c>
      <c r="P23" s="235" t="s">
        <v>354</v>
      </c>
      <c r="Q23" s="235" t="s">
        <v>354</v>
      </c>
      <c r="R23" s="151">
        <v>30.79</v>
      </c>
      <c r="S23" s="166">
        <v>0.0</v>
      </c>
      <c r="T23" s="551" t="s">
        <v>354</v>
      </c>
      <c r="U23" s="551" t="s">
        <v>354</v>
      </c>
      <c r="V23" s="551" t="s">
        <v>354</v>
      </c>
      <c r="W23" s="166">
        <v>0.0</v>
      </c>
      <c r="X23" s="166">
        <v>0.0</v>
      </c>
      <c r="Y23" s="166" t="s">
        <v>354</v>
      </c>
      <c r="Z23" s="166" t="s">
        <v>354</v>
      </c>
      <c r="AA23" s="49" t="s">
        <v>356</v>
      </c>
      <c r="AB23" s="49" t="s">
        <v>354</v>
      </c>
      <c r="AC23" s="548" t="s">
        <v>365</v>
      </c>
      <c r="AD23" s="619" t="s">
        <v>420</v>
      </c>
      <c r="AE23" s="555" t="s">
        <v>356</v>
      </c>
      <c r="AF23" s="555" t="s">
        <v>354</v>
      </c>
      <c r="AG23" s="36" t="s">
        <v>365</v>
      </c>
      <c r="AH23" s="155" t="s">
        <v>363</v>
      </c>
      <c r="AI23" s="357">
        <f t="shared" si="1"/>
        <v>3</v>
      </c>
      <c r="AJ23" s="182">
        <f t="shared" si="2"/>
        <v>1</v>
      </c>
      <c r="AK23" s="182"/>
      <c r="AL23" s="265"/>
      <c r="AN23" s="80">
        <v>0.0</v>
      </c>
      <c r="AO23" s="224">
        <v>1.0</v>
      </c>
      <c r="AP23" s="80">
        <v>0.0</v>
      </c>
      <c r="AQ23" s="224">
        <v>1.0</v>
      </c>
      <c r="AR23" s="80">
        <v>0.0</v>
      </c>
      <c r="AS23" s="224">
        <v>0.0</v>
      </c>
      <c r="AT23" s="80">
        <v>0.0</v>
      </c>
      <c r="AU23" s="80">
        <v>0.0</v>
      </c>
      <c r="AV23" s="358">
        <f t="shared" si="3"/>
        <v>2</v>
      </c>
      <c r="AW23" s="358">
        <f t="shared" si="4"/>
        <v>2</v>
      </c>
    </row>
    <row r="24">
      <c r="A24" s="63">
        <v>23.0</v>
      </c>
      <c r="B24" s="48" t="s">
        <v>131</v>
      </c>
      <c r="C24" s="610" t="s">
        <v>132</v>
      </c>
      <c r="D24" s="63" t="s">
        <v>1425</v>
      </c>
      <c r="E24" s="482" t="s">
        <v>573</v>
      </c>
      <c r="F24" s="611">
        <v>40243.0</v>
      </c>
      <c r="G24" s="612" t="s">
        <v>547</v>
      </c>
      <c r="H24" s="610" t="s">
        <v>67</v>
      </c>
      <c r="I24" s="610" t="s">
        <v>7</v>
      </c>
      <c r="J24" s="614" t="s">
        <v>1611</v>
      </c>
      <c r="K24" s="614">
        <v>1.0</v>
      </c>
      <c r="L24" s="492" t="s">
        <v>354</v>
      </c>
      <c r="M24" s="546">
        <v>240.0</v>
      </c>
      <c r="N24" s="235" t="s">
        <v>354</v>
      </c>
      <c r="O24" s="235" t="s">
        <v>354</v>
      </c>
      <c r="P24" s="235" t="s">
        <v>354</v>
      </c>
      <c r="Q24" s="72" t="s">
        <v>575</v>
      </c>
      <c r="R24" s="151">
        <v>29.87</v>
      </c>
      <c r="S24" s="166">
        <v>0.0</v>
      </c>
      <c r="T24" s="551" t="s">
        <v>354</v>
      </c>
      <c r="U24" s="551" t="s">
        <v>354</v>
      </c>
      <c r="V24" s="551" t="s">
        <v>354</v>
      </c>
      <c r="W24" s="166">
        <v>0.0</v>
      </c>
      <c r="X24" s="166">
        <v>0.0</v>
      </c>
      <c r="Y24" s="166" t="s">
        <v>354</v>
      </c>
      <c r="Z24" s="166" t="s">
        <v>354</v>
      </c>
      <c r="AA24" s="49" t="s">
        <v>356</v>
      </c>
      <c r="AB24" s="49" t="s">
        <v>354</v>
      </c>
      <c r="AC24" s="548" t="s">
        <v>365</v>
      </c>
      <c r="AD24" s="617" t="s">
        <v>358</v>
      </c>
      <c r="AE24" s="549" t="s">
        <v>365</v>
      </c>
      <c r="AF24" s="51" t="s">
        <v>358</v>
      </c>
      <c r="AG24" s="36" t="s">
        <v>365</v>
      </c>
      <c r="AH24" s="617" t="s">
        <v>358</v>
      </c>
      <c r="AI24" s="357">
        <f t="shared" si="1"/>
        <v>4</v>
      </c>
      <c r="AJ24" s="182">
        <f t="shared" si="2"/>
        <v>1</v>
      </c>
      <c r="AK24" s="182"/>
      <c r="AL24" s="265"/>
      <c r="AN24" s="80">
        <v>0.0</v>
      </c>
      <c r="AO24" s="80">
        <v>0.0</v>
      </c>
      <c r="AP24" s="224">
        <v>3.0</v>
      </c>
      <c r="AQ24" s="224">
        <v>0.0</v>
      </c>
      <c r="AR24" s="80">
        <v>0.0</v>
      </c>
      <c r="AS24" s="224">
        <v>0.0</v>
      </c>
      <c r="AT24" s="80">
        <v>0.0</v>
      </c>
      <c r="AU24" s="80">
        <v>0.0</v>
      </c>
      <c r="AV24" s="358">
        <f t="shared" si="3"/>
        <v>3</v>
      </c>
      <c r="AW24" s="358">
        <f t="shared" si="4"/>
        <v>1</v>
      </c>
    </row>
    <row r="25">
      <c r="A25" s="63">
        <v>24.0</v>
      </c>
      <c r="B25" s="48" t="s">
        <v>134</v>
      </c>
      <c r="C25" s="610" t="s">
        <v>135</v>
      </c>
      <c r="D25" s="48" t="s">
        <v>135</v>
      </c>
      <c r="E25" s="482" t="s">
        <v>596</v>
      </c>
      <c r="F25" s="611">
        <v>40243.0</v>
      </c>
      <c r="G25" s="612" t="s">
        <v>547</v>
      </c>
      <c r="H25" s="610" t="s">
        <v>8</v>
      </c>
      <c r="I25" s="610" t="s">
        <v>7</v>
      </c>
      <c r="J25" s="235" t="s">
        <v>354</v>
      </c>
      <c r="K25" s="614">
        <v>1.0</v>
      </c>
      <c r="L25" s="546">
        <v>121.0</v>
      </c>
      <c r="M25" s="546">
        <v>250.0</v>
      </c>
      <c r="N25" s="235" t="s">
        <v>354</v>
      </c>
      <c r="O25" s="235" t="s">
        <v>354</v>
      </c>
      <c r="P25" s="235" t="s">
        <v>354</v>
      </c>
      <c r="Q25" s="72" t="s">
        <v>598</v>
      </c>
      <c r="R25" s="151">
        <v>31.62</v>
      </c>
      <c r="S25" s="166">
        <v>0.0</v>
      </c>
      <c r="T25" s="551" t="s">
        <v>354</v>
      </c>
      <c r="U25" s="551" t="s">
        <v>354</v>
      </c>
      <c r="V25" s="551" t="s">
        <v>354</v>
      </c>
      <c r="W25" s="166">
        <v>0.0</v>
      </c>
      <c r="X25" s="166">
        <v>0.0</v>
      </c>
      <c r="Y25" s="166" t="s">
        <v>354</v>
      </c>
      <c r="Z25" s="166" t="s">
        <v>354</v>
      </c>
      <c r="AA25" s="56" t="s">
        <v>365</v>
      </c>
      <c r="AB25" s="65" t="s">
        <v>387</v>
      </c>
      <c r="AC25" s="548" t="s">
        <v>365</v>
      </c>
      <c r="AD25" s="102" t="s">
        <v>357</v>
      </c>
      <c r="AE25" s="549" t="s">
        <v>365</v>
      </c>
      <c r="AF25" s="26" t="s">
        <v>357</v>
      </c>
      <c r="AG25" s="36" t="s">
        <v>365</v>
      </c>
      <c r="AH25" s="155" t="s">
        <v>363</v>
      </c>
      <c r="AI25" s="357">
        <f t="shared" si="1"/>
        <v>4</v>
      </c>
      <c r="AJ25" s="182">
        <f t="shared" si="2"/>
        <v>1</v>
      </c>
      <c r="AK25" s="182"/>
      <c r="AL25" s="265"/>
      <c r="AN25" s="80">
        <v>0.0</v>
      </c>
      <c r="AO25" s="80">
        <v>0.0</v>
      </c>
      <c r="AP25" s="80">
        <v>0.0</v>
      </c>
      <c r="AQ25" s="224">
        <v>1.0</v>
      </c>
      <c r="AR25" s="80">
        <v>0.0</v>
      </c>
      <c r="AS25" s="224">
        <v>2.0</v>
      </c>
      <c r="AT25" s="80">
        <v>0.0</v>
      </c>
      <c r="AU25" s="80">
        <v>0.0</v>
      </c>
      <c r="AV25" s="358">
        <f t="shared" si="3"/>
        <v>3</v>
      </c>
      <c r="AW25" s="358">
        <f t="shared" si="4"/>
        <v>2</v>
      </c>
    </row>
    <row r="26">
      <c r="A26" s="63">
        <v>25.0</v>
      </c>
      <c r="B26" s="48" t="s">
        <v>137</v>
      </c>
      <c r="C26" s="610" t="s">
        <v>138</v>
      </c>
      <c r="D26" s="48" t="s">
        <v>138</v>
      </c>
      <c r="E26" s="98" t="s">
        <v>1614</v>
      </c>
      <c r="F26" s="611">
        <v>40243.0</v>
      </c>
      <c r="G26" s="612" t="s">
        <v>547</v>
      </c>
      <c r="H26" s="610" t="s">
        <v>8</v>
      </c>
      <c r="I26" s="610" t="s">
        <v>37</v>
      </c>
      <c r="J26" s="235" t="s">
        <v>354</v>
      </c>
      <c r="K26" s="614">
        <v>1.0</v>
      </c>
      <c r="L26" s="492" t="s">
        <v>354</v>
      </c>
      <c r="M26" s="546">
        <v>205.0</v>
      </c>
      <c r="N26" s="235" t="s">
        <v>354</v>
      </c>
      <c r="O26" s="235" t="s">
        <v>354</v>
      </c>
      <c r="P26" s="235" t="s">
        <v>354</v>
      </c>
      <c r="Q26" s="235" t="s">
        <v>354</v>
      </c>
      <c r="R26" s="151">
        <v>39.0</v>
      </c>
      <c r="S26" s="166">
        <v>0.0</v>
      </c>
      <c r="T26" s="551" t="s">
        <v>354</v>
      </c>
      <c r="U26" s="551" t="s">
        <v>354</v>
      </c>
      <c r="V26" s="551" t="s">
        <v>354</v>
      </c>
      <c r="W26" s="166">
        <v>0.0</v>
      </c>
      <c r="X26" s="166">
        <v>0.0</v>
      </c>
      <c r="Y26" s="166" t="s">
        <v>354</v>
      </c>
      <c r="Z26" s="166" t="s">
        <v>354</v>
      </c>
      <c r="AA26" s="56" t="s">
        <v>365</v>
      </c>
      <c r="AB26" s="26" t="s">
        <v>357</v>
      </c>
      <c r="AC26" s="548" t="s">
        <v>365</v>
      </c>
      <c r="AD26" s="102" t="s">
        <v>357</v>
      </c>
      <c r="AE26" s="549" t="s">
        <v>365</v>
      </c>
      <c r="AF26" s="26" t="s">
        <v>357</v>
      </c>
      <c r="AG26" s="36" t="s">
        <v>365</v>
      </c>
      <c r="AH26" s="102" t="s">
        <v>357</v>
      </c>
      <c r="AI26" s="357">
        <f t="shared" si="1"/>
        <v>4</v>
      </c>
      <c r="AJ26" s="182">
        <f t="shared" si="2"/>
        <v>1</v>
      </c>
      <c r="AK26" s="182"/>
      <c r="AL26" s="265"/>
      <c r="AN26" s="80">
        <v>0.0</v>
      </c>
      <c r="AO26" s="80">
        <v>0.0</v>
      </c>
      <c r="AP26" s="80">
        <v>0.0</v>
      </c>
      <c r="AQ26" s="224">
        <v>0.0</v>
      </c>
      <c r="AR26" s="80">
        <v>0.0</v>
      </c>
      <c r="AS26" s="224">
        <v>3.0</v>
      </c>
      <c r="AT26" s="80">
        <v>0.0</v>
      </c>
      <c r="AU26" s="80">
        <v>0.0</v>
      </c>
      <c r="AV26" s="358">
        <f t="shared" si="3"/>
        <v>3</v>
      </c>
      <c r="AW26" s="358">
        <f t="shared" si="4"/>
        <v>1</v>
      </c>
    </row>
    <row r="27">
      <c r="A27" s="63">
        <v>26.0</v>
      </c>
      <c r="B27" s="48" t="s">
        <v>140</v>
      </c>
      <c r="C27" s="610" t="s">
        <v>141</v>
      </c>
      <c r="D27" s="48" t="s">
        <v>141</v>
      </c>
      <c r="E27" s="482" t="s">
        <v>609</v>
      </c>
      <c r="F27" s="611">
        <v>40243.0</v>
      </c>
      <c r="G27" s="612" t="s">
        <v>547</v>
      </c>
      <c r="H27" s="610" t="s">
        <v>8</v>
      </c>
      <c r="I27" s="610" t="s">
        <v>7</v>
      </c>
      <c r="J27" s="235" t="s">
        <v>354</v>
      </c>
      <c r="K27" s="614">
        <v>1.0</v>
      </c>
      <c r="L27" s="492" t="s">
        <v>354</v>
      </c>
      <c r="M27" s="546">
        <v>230.0</v>
      </c>
      <c r="N27" s="235" t="s">
        <v>354</v>
      </c>
      <c r="O27" s="235" t="s">
        <v>354</v>
      </c>
      <c r="P27" s="235" t="s">
        <v>354</v>
      </c>
      <c r="Q27" s="235" t="s">
        <v>354</v>
      </c>
      <c r="R27" s="151">
        <v>32.13</v>
      </c>
      <c r="S27" s="166">
        <v>0.0</v>
      </c>
      <c r="T27" s="551" t="s">
        <v>354</v>
      </c>
      <c r="U27" s="551" t="s">
        <v>354</v>
      </c>
      <c r="V27" s="551" t="s">
        <v>354</v>
      </c>
      <c r="W27" s="166">
        <v>0.0</v>
      </c>
      <c r="X27" s="166">
        <v>0.0</v>
      </c>
      <c r="Y27" s="166" t="s">
        <v>354</v>
      </c>
      <c r="Z27" s="166" t="s">
        <v>354</v>
      </c>
      <c r="AA27" s="56" t="s">
        <v>365</v>
      </c>
      <c r="AB27" s="58" t="s">
        <v>380</v>
      </c>
      <c r="AC27" s="615" t="s">
        <v>356</v>
      </c>
      <c r="AD27" s="616" t="s">
        <v>354</v>
      </c>
      <c r="AE27" s="555" t="s">
        <v>356</v>
      </c>
      <c r="AF27" s="555" t="s">
        <v>354</v>
      </c>
      <c r="AG27" s="36" t="s">
        <v>365</v>
      </c>
      <c r="AH27" s="155" t="s">
        <v>363</v>
      </c>
      <c r="AI27" s="357">
        <f t="shared" si="1"/>
        <v>2</v>
      </c>
      <c r="AJ27" s="182">
        <f t="shared" si="2"/>
        <v>1</v>
      </c>
      <c r="AK27" s="182"/>
      <c r="AL27" s="265"/>
      <c r="AN27" s="80">
        <v>0.0</v>
      </c>
      <c r="AO27" s="80">
        <v>0.0</v>
      </c>
      <c r="AP27" s="80">
        <v>0.0</v>
      </c>
      <c r="AQ27" s="224">
        <v>1.0</v>
      </c>
      <c r="AR27" s="80">
        <v>0.0</v>
      </c>
      <c r="AS27" s="224">
        <v>0.0</v>
      </c>
      <c r="AT27" s="80">
        <v>0.0</v>
      </c>
      <c r="AU27" s="80">
        <v>0.0</v>
      </c>
      <c r="AV27" s="358">
        <f t="shared" si="3"/>
        <v>1</v>
      </c>
      <c r="AW27" s="358">
        <f t="shared" si="4"/>
        <v>1</v>
      </c>
    </row>
    <row r="28">
      <c r="A28" s="63">
        <v>27.0</v>
      </c>
      <c r="B28" s="48" t="s">
        <v>143</v>
      </c>
      <c r="C28" s="610" t="s">
        <v>144</v>
      </c>
      <c r="D28" s="63" t="s">
        <v>616</v>
      </c>
      <c r="E28" s="482" t="s">
        <v>617</v>
      </c>
      <c r="F28" s="611">
        <v>40243.0</v>
      </c>
      <c r="G28" s="612" t="s">
        <v>547</v>
      </c>
      <c r="H28" s="610" t="s">
        <v>8</v>
      </c>
      <c r="I28" s="610" t="s">
        <v>7</v>
      </c>
      <c r="J28" s="235" t="s">
        <v>354</v>
      </c>
      <c r="K28" s="614">
        <v>0.0</v>
      </c>
      <c r="L28" s="492" t="s">
        <v>354</v>
      </c>
      <c r="M28" s="546">
        <v>230.0</v>
      </c>
      <c r="N28" s="235" t="s">
        <v>354</v>
      </c>
      <c r="O28" s="235" t="s">
        <v>354</v>
      </c>
      <c r="P28" s="235" t="s">
        <v>354</v>
      </c>
      <c r="Q28" s="72" t="s">
        <v>619</v>
      </c>
      <c r="R28" s="151">
        <v>28.28</v>
      </c>
      <c r="S28" s="166">
        <v>0.0</v>
      </c>
      <c r="T28" s="551" t="s">
        <v>354</v>
      </c>
      <c r="U28" s="551" t="s">
        <v>354</v>
      </c>
      <c r="V28" s="551" t="s">
        <v>354</v>
      </c>
      <c r="W28" s="166">
        <v>0.0</v>
      </c>
      <c r="X28" s="166">
        <v>0.0</v>
      </c>
      <c r="Y28" s="166" t="s">
        <v>354</v>
      </c>
      <c r="Z28" s="166" t="s">
        <v>354</v>
      </c>
      <c r="AA28" s="56" t="s">
        <v>365</v>
      </c>
      <c r="AB28" s="26" t="s">
        <v>357</v>
      </c>
      <c r="AC28" s="548" t="s">
        <v>365</v>
      </c>
      <c r="AD28" s="102" t="s">
        <v>357</v>
      </c>
      <c r="AE28" s="549" t="s">
        <v>365</v>
      </c>
      <c r="AF28" s="26" t="s">
        <v>357</v>
      </c>
      <c r="AG28" s="36" t="s">
        <v>365</v>
      </c>
      <c r="AH28" s="617" t="s">
        <v>358</v>
      </c>
      <c r="AI28" s="357">
        <f t="shared" si="1"/>
        <v>4</v>
      </c>
      <c r="AJ28" s="182">
        <f t="shared" si="2"/>
        <v>1</v>
      </c>
      <c r="AK28" s="182"/>
      <c r="AL28" s="265"/>
      <c r="AN28" s="80">
        <v>0.0</v>
      </c>
      <c r="AO28" s="80">
        <v>0.0</v>
      </c>
      <c r="AP28" s="80">
        <v>0.0</v>
      </c>
      <c r="AQ28" s="224">
        <v>1.0</v>
      </c>
      <c r="AR28" s="80">
        <v>0.0</v>
      </c>
      <c r="AS28" s="224">
        <v>2.0</v>
      </c>
      <c r="AT28" s="80">
        <v>0.0</v>
      </c>
      <c r="AU28" s="80">
        <v>0.0</v>
      </c>
      <c r="AV28" s="358">
        <f t="shared" si="3"/>
        <v>3</v>
      </c>
      <c r="AW28" s="358">
        <f t="shared" si="4"/>
        <v>2</v>
      </c>
    </row>
    <row r="29">
      <c r="A29" s="63">
        <v>28.0</v>
      </c>
      <c r="B29" s="48" t="s">
        <v>151</v>
      </c>
      <c r="C29" s="610" t="s">
        <v>152</v>
      </c>
      <c r="D29" s="48" t="s">
        <v>152</v>
      </c>
      <c r="E29" s="482" t="s">
        <v>629</v>
      </c>
      <c r="F29" s="611">
        <v>40243.0</v>
      </c>
      <c r="G29" s="612" t="s">
        <v>547</v>
      </c>
      <c r="H29" s="610" t="s">
        <v>8</v>
      </c>
      <c r="I29" s="613" t="s">
        <v>7</v>
      </c>
      <c r="J29" s="235" t="s">
        <v>354</v>
      </c>
      <c r="K29" s="614">
        <v>0.0</v>
      </c>
      <c r="L29" s="492" t="s">
        <v>354</v>
      </c>
      <c r="M29" s="546">
        <v>240.0</v>
      </c>
      <c r="N29" s="235" t="s">
        <v>354</v>
      </c>
      <c r="O29" s="235" t="s">
        <v>354</v>
      </c>
      <c r="P29" s="235" t="s">
        <v>354</v>
      </c>
      <c r="Q29" s="235" t="s">
        <v>354</v>
      </c>
      <c r="R29" s="151">
        <v>31.88</v>
      </c>
      <c r="S29" s="166">
        <v>0.0</v>
      </c>
      <c r="T29" s="551" t="s">
        <v>354</v>
      </c>
      <c r="U29" s="551" t="s">
        <v>354</v>
      </c>
      <c r="V29" s="551" t="s">
        <v>354</v>
      </c>
      <c r="W29" s="166">
        <v>0.0</v>
      </c>
      <c r="X29" s="166">
        <v>0.0</v>
      </c>
      <c r="Y29" s="166" t="s">
        <v>354</v>
      </c>
      <c r="Z29" s="166" t="s">
        <v>354</v>
      </c>
      <c r="AA29" s="56" t="s">
        <v>365</v>
      </c>
      <c r="AB29" s="26" t="s">
        <v>357</v>
      </c>
      <c r="AC29" s="560" t="s">
        <v>361</v>
      </c>
      <c r="AD29" s="560" t="s">
        <v>361</v>
      </c>
      <c r="AE29" s="549" t="s">
        <v>365</v>
      </c>
      <c r="AF29" s="62" t="s">
        <v>389</v>
      </c>
      <c r="AG29" s="36" t="s">
        <v>365</v>
      </c>
      <c r="AH29" s="617" t="s">
        <v>358</v>
      </c>
      <c r="AI29" s="357">
        <f t="shared" si="1"/>
        <v>3</v>
      </c>
      <c r="AJ29" s="182">
        <f t="shared" si="2"/>
        <v>1</v>
      </c>
      <c r="AK29" s="182"/>
      <c r="AL29" s="265"/>
      <c r="AN29" s="224">
        <v>1.0</v>
      </c>
      <c r="AO29" s="80">
        <v>0.0</v>
      </c>
      <c r="AP29" s="224">
        <v>1.0</v>
      </c>
      <c r="AQ29" s="224">
        <v>0.0</v>
      </c>
      <c r="AR29" s="224">
        <v>0.0</v>
      </c>
      <c r="AS29" s="224">
        <v>0.0</v>
      </c>
      <c r="AT29" s="80">
        <v>0.0</v>
      </c>
      <c r="AU29" s="80">
        <v>0.0</v>
      </c>
      <c r="AV29" s="358">
        <f t="shared" si="3"/>
        <v>2</v>
      </c>
      <c r="AW29" s="358">
        <f t="shared" si="4"/>
        <v>2</v>
      </c>
    </row>
    <row r="30">
      <c r="A30" s="63">
        <v>29.0</v>
      </c>
      <c r="B30" s="48" t="s">
        <v>157</v>
      </c>
      <c r="C30" s="610" t="s">
        <v>158</v>
      </c>
      <c r="D30" s="48" t="s">
        <v>158</v>
      </c>
      <c r="E30" s="482" t="s">
        <v>640</v>
      </c>
      <c r="F30" s="611">
        <v>40243.0</v>
      </c>
      <c r="G30" s="612" t="s">
        <v>547</v>
      </c>
      <c r="H30" s="610" t="s">
        <v>8</v>
      </c>
      <c r="I30" s="610" t="s">
        <v>7</v>
      </c>
      <c r="J30" s="235" t="s">
        <v>354</v>
      </c>
      <c r="K30" s="614">
        <v>0.0</v>
      </c>
      <c r="L30" s="492" t="s">
        <v>354</v>
      </c>
      <c r="M30" s="546">
        <v>205.0</v>
      </c>
      <c r="N30" s="235" t="s">
        <v>354</v>
      </c>
      <c r="O30" s="235" t="s">
        <v>354</v>
      </c>
      <c r="P30" s="235" t="s">
        <v>354</v>
      </c>
      <c r="Q30" s="72" t="s">
        <v>641</v>
      </c>
      <c r="R30" s="151">
        <v>31.7</v>
      </c>
      <c r="S30" s="166">
        <v>0.0</v>
      </c>
      <c r="T30" s="551" t="s">
        <v>354</v>
      </c>
      <c r="U30" s="551" t="s">
        <v>354</v>
      </c>
      <c r="V30" s="551" t="s">
        <v>354</v>
      </c>
      <c r="W30" s="166">
        <v>0.0</v>
      </c>
      <c r="X30" s="166">
        <v>0.0</v>
      </c>
      <c r="Y30" s="166" t="s">
        <v>354</v>
      </c>
      <c r="Z30" s="166" t="s">
        <v>354</v>
      </c>
      <c r="AA30" s="56" t="s">
        <v>365</v>
      </c>
      <c r="AB30" s="26" t="s">
        <v>357</v>
      </c>
      <c r="AC30" s="548" t="s">
        <v>365</v>
      </c>
      <c r="AD30" s="102" t="s">
        <v>357</v>
      </c>
      <c r="AE30" s="549" t="s">
        <v>365</v>
      </c>
      <c r="AF30" s="26" t="s">
        <v>357</v>
      </c>
      <c r="AG30" s="36" t="s">
        <v>365</v>
      </c>
      <c r="AH30" s="102" t="s">
        <v>357</v>
      </c>
      <c r="AI30" s="357">
        <f t="shared" si="1"/>
        <v>4</v>
      </c>
      <c r="AJ30" s="182">
        <f t="shared" si="2"/>
        <v>1</v>
      </c>
      <c r="AK30" s="182"/>
      <c r="AL30" s="265"/>
      <c r="AN30" s="80">
        <v>0.0</v>
      </c>
      <c r="AO30" s="80">
        <v>0.0</v>
      </c>
      <c r="AP30" s="80">
        <v>0.0</v>
      </c>
      <c r="AQ30" s="224">
        <v>0.0</v>
      </c>
      <c r="AR30" s="80">
        <v>0.0</v>
      </c>
      <c r="AS30" s="224">
        <v>3.0</v>
      </c>
      <c r="AT30" s="80">
        <v>0.0</v>
      </c>
      <c r="AU30" s="80">
        <v>0.0</v>
      </c>
      <c r="AV30" s="358">
        <f t="shared" si="3"/>
        <v>3</v>
      </c>
      <c r="AW30" s="358">
        <f t="shared" si="4"/>
        <v>1</v>
      </c>
    </row>
    <row r="31">
      <c r="A31" s="63">
        <v>30.0</v>
      </c>
      <c r="B31" s="48" t="s">
        <v>160</v>
      </c>
      <c r="C31" s="610" t="s">
        <v>163</v>
      </c>
      <c r="D31" s="48" t="s">
        <v>161</v>
      </c>
      <c r="E31" s="482" t="s">
        <v>645</v>
      </c>
      <c r="F31" s="611">
        <v>40243.0</v>
      </c>
      <c r="G31" s="612" t="s">
        <v>547</v>
      </c>
      <c r="H31" s="610" t="s">
        <v>67</v>
      </c>
      <c r="I31" s="613" t="s">
        <v>37</v>
      </c>
      <c r="J31" s="614" t="s">
        <v>770</v>
      </c>
      <c r="K31" s="614">
        <v>0.0</v>
      </c>
      <c r="L31" s="546">
        <v>116.0</v>
      </c>
      <c r="M31" s="546">
        <v>175.0</v>
      </c>
      <c r="N31" s="235" t="s">
        <v>354</v>
      </c>
      <c r="O31" s="235" t="s">
        <v>354</v>
      </c>
      <c r="P31" s="235" t="s">
        <v>354</v>
      </c>
      <c r="Q31" s="235" t="s">
        <v>354</v>
      </c>
      <c r="R31" s="551">
        <v>0.0</v>
      </c>
      <c r="S31" s="166">
        <v>0.0</v>
      </c>
      <c r="T31" s="551" t="s">
        <v>354</v>
      </c>
      <c r="U31" s="551" t="s">
        <v>354</v>
      </c>
      <c r="V31" s="551" t="s">
        <v>354</v>
      </c>
      <c r="W31" s="166">
        <v>0.0</v>
      </c>
      <c r="X31" s="166">
        <v>0.0</v>
      </c>
      <c r="Y31" s="166" t="s">
        <v>354</v>
      </c>
      <c r="Z31" s="166" t="s">
        <v>354</v>
      </c>
      <c r="AA31" s="49" t="s">
        <v>356</v>
      </c>
      <c r="AB31" s="49" t="s">
        <v>354</v>
      </c>
      <c r="AC31" s="548" t="s">
        <v>365</v>
      </c>
      <c r="AD31" s="619" t="s">
        <v>420</v>
      </c>
      <c r="AE31" s="555" t="s">
        <v>356</v>
      </c>
      <c r="AF31" s="555" t="s">
        <v>354</v>
      </c>
      <c r="AG31" s="36" t="s">
        <v>365</v>
      </c>
      <c r="AH31" s="617" t="s">
        <v>358</v>
      </c>
      <c r="AI31" s="357">
        <f t="shared" si="1"/>
        <v>2</v>
      </c>
      <c r="AJ31" s="182">
        <f t="shared" si="2"/>
        <v>1</v>
      </c>
      <c r="AK31" s="182"/>
      <c r="AL31" s="265"/>
      <c r="AN31" s="80">
        <v>0.0</v>
      </c>
      <c r="AO31" s="224">
        <v>1.0</v>
      </c>
      <c r="AP31" s="224">
        <v>1.0</v>
      </c>
      <c r="AQ31" s="224">
        <v>0.0</v>
      </c>
      <c r="AR31" s="80">
        <v>0.0</v>
      </c>
      <c r="AS31" s="224">
        <v>0.0</v>
      </c>
      <c r="AT31" s="80">
        <v>0.0</v>
      </c>
      <c r="AU31" s="80">
        <v>0.0</v>
      </c>
      <c r="AV31" s="358">
        <f t="shared" si="3"/>
        <v>2</v>
      </c>
      <c r="AW31" s="358">
        <f t="shared" si="4"/>
        <v>2</v>
      </c>
    </row>
    <row r="32">
      <c r="A32" s="63">
        <v>31.0</v>
      </c>
      <c r="B32" s="48" t="s">
        <v>164</v>
      </c>
      <c r="C32" s="610" t="s">
        <v>165</v>
      </c>
      <c r="D32" s="48" t="s">
        <v>165</v>
      </c>
      <c r="E32" s="482" t="s">
        <v>650</v>
      </c>
      <c r="F32" s="611">
        <v>40243.0</v>
      </c>
      <c r="G32" s="612" t="s">
        <v>547</v>
      </c>
      <c r="H32" s="610" t="s">
        <v>8</v>
      </c>
      <c r="I32" s="613" t="s">
        <v>37</v>
      </c>
      <c r="J32" s="235" t="s">
        <v>354</v>
      </c>
      <c r="K32" s="614">
        <v>0.0</v>
      </c>
      <c r="L32" s="492" t="s">
        <v>354</v>
      </c>
      <c r="M32" s="546">
        <v>205.0</v>
      </c>
      <c r="N32" s="235" t="s">
        <v>354</v>
      </c>
      <c r="O32" s="235" t="s">
        <v>354</v>
      </c>
      <c r="P32" s="235" t="s">
        <v>354</v>
      </c>
      <c r="Q32" s="235" t="s">
        <v>354</v>
      </c>
      <c r="R32" s="151">
        <v>29.3</v>
      </c>
      <c r="S32" s="166">
        <v>0.0</v>
      </c>
      <c r="T32" s="551" t="s">
        <v>354</v>
      </c>
      <c r="U32" s="551" t="s">
        <v>354</v>
      </c>
      <c r="V32" s="551" t="s">
        <v>354</v>
      </c>
      <c r="W32" s="166">
        <v>0.0</v>
      </c>
      <c r="X32" s="166">
        <v>0.0</v>
      </c>
      <c r="Y32" s="166" t="s">
        <v>354</v>
      </c>
      <c r="Z32" s="166" t="s">
        <v>354</v>
      </c>
      <c r="AA32" s="56" t="s">
        <v>365</v>
      </c>
      <c r="AB32" s="26" t="s">
        <v>357</v>
      </c>
      <c r="AC32" s="548" t="s">
        <v>365</v>
      </c>
      <c r="AD32" s="26" t="s">
        <v>357</v>
      </c>
      <c r="AE32" s="549" t="s">
        <v>365</v>
      </c>
      <c r="AF32" s="26" t="s">
        <v>357</v>
      </c>
      <c r="AG32" s="36" t="s">
        <v>365</v>
      </c>
      <c r="AH32" s="102" t="s">
        <v>357</v>
      </c>
      <c r="AI32" s="357">
        <f t="shared" si="1"/>
        <v>4</v>
      </c>
      <c r="AJ32" s="182">
        <f t="shared" si="2"/>
        <v>1</v>
      </c>
      <c r="AK32" s="182"/>
      <c r="AL32" s="265"/>
      <c r="AN32" s="80">
        <v>0.0</v>
      </c>
      <c r="AO32" s="80">
        <v>0.0</v>
      </c>
      <c r="AP32" s="80">
        <v>0.0</v>
      </c>
      <c r="AQ32" s="224">
        <v>0.0</v>
      </c>
      <c r="AR32" s="80">
        <v>0.0</v>
      </c>
      <c r="AS32" s="224">
        <v>3.0</v>
      </c>
      <c r="AT32" s="80">
        <v>0.0</v>
      </c>
      <c r="AU32" s="80">
        <v>0.0</v>
      </c>
      <c r="AV32" s="358">
        <f t="shared" si="3"/>
        <v>3</v>
      </c>
      <c r="AW32" s="358">
        <f t="shared" si="4"/>
        <v>1</v>
      </c>
    </row>
    <row r="33">
      <c r="A33" s="63">
        <v>32.0</v>
      </c>
      <c r="B33" s="48" t="s">
        <v>167</v>
      </c>
      <c r="C33" s="610" t="s">
        <v>168</v>
      </c>
      <c r="D33" s="48" t="s">
        <v>168</v>
      </c>
      <c r="E33" s="482" t="s">
        <v>656</v>
      </c>
      <c r="F33" s="611">
        <v>40243.0</v>
      </c>
      <c r="G33" s="612" t="s">
        <v>547</v>
      </c>
      <c r="H33" s="610" t="s">
        <v>8</v>
      </c>
      <c r="I33" s="610" t="s">
        <v>7</v>
      </c>
      <c r="J33" s="235" t="s">
        <v>354</v>
      </c>
      <c r="K33" s="614">
        <v>1.0</v>
      </c>
      <c r="L33" s="492" t="s">
        <v>354</v>
      </c>
      <c r="M33" s="546">
        <v>235.0</v>
      </c>
      <c r="N33" s="235" t="s">
        <v>354</v>
      </c>
      <c r="O33" s="235" t="s">
        <v>354</v>
      </c>
      <c r="P33" s="235" t="s">
        <v>354</v>
      </c>
      <c r="Q33" s="235" t="s">
        <v>354</v>
      </c>
      <c r="R33" s="151">
        <v>30.97</v>
      </c>
      <c r="S33" s="166">
        <v>0.0</v>
      </c>
      <c r="T33" s="551" t="s">
        <v>354</v>
      </c>
      <c r="U33" s="551" t="s">
        <v>354</v>
      </c>
      <c r="V33" s="551" t="s">
        <v>354</v>
      </c>
      <c r="W33" s="166">
        <v>0.0</v>
      </c>
      <c r="X33" s="166">
        <v>0.0</v>
      </c>
      <c r="Y33" s="166" t="s">
        <v>354</v>
      </c>
      <c r="Z33" s="166" t="s">
        <v>354</v>
      </c>
      <c r="AA33" s="49" t="s">
        <v>356</v>
      </c>
      <c r="AB33" s="49" t="s">
        <v>354</v>
      </c>
      <c r="AC33" s="548" t="s">
        <v>365</v>
      </c>
      <c r="AD33" s="617" t="s">
        <v>358</v>
      </c>
      <c r="AE33" s="549" t="s">
        <v>365</v>
      </c>
      <c r="AF33" s="51" t="s">
        <v>358</v>
      </c>
      <c r="AG33" s="36" t="s">
        <v>365</v>
      </c>
      <c r="AH33" s="617" t="s">
        <v>358</v>
      </c>
      <c r="AI33" s="357">
        <f t="shared" si="1"/>
        <v>4</v>
      </c>
      <c r="AJ33" s="182">
        <f t="shared" si="2"/>
        <v>1</v>
      </c>
      <c r="AK33" s="182"/>
      <c r="AL33" s="265"/>
      <c r="AN33" s="80">
        <v>0.0</v>
      </c>
      <c r="AO33" s="80">
        <v>0.0</v>
      </c>
      <c r="AP33" s="224">
        <v>3.0</v>
      </c>
      <c r="AQ33" s="224">
        <v>0.0</v>
      </c>
      <c r="AR33" s="80">
        <v>0.0</v>
      </c>
      <c r="AS33" s="224">
        <v>0.0</v>
      </c>
      <c r="AT33" s="80">
        <v>0.0</v>
      </c>
      <c r="AU33" s="80">
        <v>0.0</v>
      </c>
      <c r="AV33" s="358">
        <f t="shared" si="3"/>
        <v>3</v>
      </c>
      <c r="AW33" s="358">
        <f t="shared" si="4"/>
        <v>1</v>
      </c>
    </row>
    <row r="34">
      <c r="A34" s="63">
        <v>33.0</v>
      </c>
      <c r="B34" s="48" t="s">
        <v>170</v>
      </c>
      <c r="C34" s="610" t="s">
        <v>171</v>
      </c>
      <c r="D34" s="48" t="s">
        <v>171</v>
      </c>
      <c r="E34" s="482" t="s">
        <v>658</v>
      </c>
      <c r="F34" s="611">
        <v>40243.0</v>
      </c>
      <c r="G34" s="612" t="s">
        <v>547</v>
      </c>
      <c r="H34" s="610" t="s">
        <v>67</v>
      </c>
      <c r="I34" s="610" t="s">
        <v>7</v>
      </c>
      <c r="J34" s="614" t="s">
        <v>1611</v>
      </c>
      <c r="K34" s="614">
        <v>0.0</v>
      </c>
      <c r="L34" s="492" t="s">
        <v>354</v>
      </c>
      <c r="M34" s="546">
        <v>315.0</v>
      </c>
      <c r="N34" s="235" t="s">
        <v>354</v>
      </c>
      <c r="O34" s="235" t="s">
        <v>354</v>
      </c>
      <c r="P34" s="235" t="s">
        <v>354</v>
      </c>
      <c r="Q34" s="235" t="s">
        <v>354</v>
      </c>
      <c r="R34" s="151">
        <v>20.95</v>
      </c>
      <c r="S34" s="166">
        <v>0.0</v>
      </c>
      <c r="T34" s="551" t="s">
        <v>354</v>
      </c>
      <c r="U34" s="551" t="s">
        <v>354</v>
      </c>
      <c r="V34" s="551" t="s">
        <v>354</v>
      </c>
      <c r="W34" s="166">
        <v>0.0</v>
      </c>
      <c r="X34" s="166">
        <v>0.0</v>
      </c>
      <c r="Y34" s="166" t="s">
        <v>354</v>
      </c>
      <c r="Z34" s="166" t="s">
        <v>354</v>
      </c>
      <c r="AA34" s="56" t="s">
        <v>365</v>
      </c>
      <c r="AB34" s="26" t="s">
        <v>357</v>
      </c>
      <c r="AC34" s="548" t="s">
        <v>365</v>
      </c>
      <c r="AD34" s="102" t="s">
        <v>357</v>
      </c>
      <c r="AE34" s="549" t="s">
        <v>365</v>
      </c>
      <c r="AF34" s="26" t="s">
        <v>357</v>
      </c>
      <c r="AG34" s="36" t="s">
        <v>365</v>
      </c>
      <c r="AH34" s="102" t="s">
        <v>357</v>
      </c>
      <c r="AI34" s="357">
        <f t="shared" si="1"/>
        <v>4</v>
      </c>
      <c r="AJ34" s="182">
        <f t="shared" si="2"/>
        <v>1</v>
      </c>
      <c r="AK34" s="182"/>
      <c r="AL34" s="265"/>
      <c r="AN34" s="80">
        <v>0.0</v>
      </c>
      <c r="AO34" s="80">
        <v>0.0</v>
      </c>
      <c r="AP34" s="80">
        <v>0.0</v>
      </c>
      <c r="AQ34" s="224">
        <v>0.0</v>
      </c>
      <c r="AR34" s="80">
        <v>0.0</v>
      </c>
      <c r="AS34" s="224">
        <v>3.0</v>
      </c>
      <c r="AT34" s="80">
        <v>0.0</v>
      </c>
      <c r="AU34" s="80">
        <v>0.0</v>
      </c>
      <c r="AV34" s="358">
        <f t="shared" si="3"/>
        <v>3</v>
      </c>
      <c r="AW34" s="358">
        <f t="shared" si="4"/>
        <v>1</v>
      </c>
    </row>
    <row r="35" ht="18.75" customHeight="1">
      <c r="A35" s="63">
        <v>34.0</v>
      </c>
      <c r="B35" s="48" t="s">
        <v>176</v>
      </c>
      <c r="C35" s="610" t="s">
        <v>177</v>
      </c>
      <c r="D35" s="63" t="s">
        <v>675</v>
      </c>
      <c r="E35" s="482" t="s">
        <v>676</v>
      </c>
      <c r="F35" s="611">
        <v>40243.0</v>
      </c>
      <c r="G35" s="612" t="s">
        <v>547</v>
      </c>
      <c r="H35" s="610" t="s">
        <v>8</v>
      </c>
      <c r="I35" s="613" t="s">
        <v>7</v>
      </c>
      <c r="J35" s="235" t="s">
        <v>354</v>
      </c>
      <c r="K35" s="614">
        <v>0.0</v>
      </c>
      <c r="L35" s="492" t="s">
        <v>354</v>
      </c>
      <c r="M35" s="546">
        <v>190.0</v>
      </c>
      <c r="N35" s="235" t="s">
        <v>354</v>
      </c>
      <c r="O35" s="235" t="s">
        <v>354</v>
      </c>
      <c r="P35" s="235" t="s">
        <v>354</v>
      </c>
      <c r="Q35" s="72" t="s">
        <v>678</v>
      </c>
      <c r="R35" s="151">
        <v>30.88</v>
      </c>
      <c r="S35" s="166">
        <v>0.0</v>
      </c>
      <c r="T35" s="551" t="s">
        <v>354</v>
      </c>
      <c r="U35" s="551" t="s">
        <v>354</v>
      </c>
      <c r="V35" s="551" t="s">
        <v>354</v>
      </c>
      <c r="W35" s="166">
        <v>0.0</v>
      </c>
      <c r="X35" s="166">
        <v>0.0</v>
      </c>
      <c r="Y35" s="166" t="s">
        <v>354</v>
      </c>
      <c r="Z35" s="166" t="s">
        <v>354</v>
      </c>
      <c r="AA35" s="56" t="s">
        <v>365</v>
      </c>
      <c r="AB35" s="26" t="s">
        <v>357</v>
      </c>
      <c r="AC35" s="548" t="s">
        <v>365</v>
      </c>
      <c r="AD35" s="102" t="s">
        <v>357</v>
      </c>
      <c r="AE35" s="549" t="s">
        <v>365</v>
      </c>
      <c r="AF35" s="26" t="s">
        <v>357</v>
      </c>
      <c r="AG35" s="36" t="s">
        <v>365</v>
      </c>
      <c r="AH35" s="102" t="s">
        <v>357</v>
      </c>
      <c r="AI35" s="357">
        <f t="shared" si="1"/>
        <v>4</v>
      </c>
      <c r="AJ35" s="182">
        <f t="shared" si="2"/>
        <v>1</v>
      </c>
      <c r="AK35" s="182"/>
      <c r="AL35" s="265"/>
      <c r="AN35" s="80">
        <v>0.0</v>
      </c>
      <c r="AO35" s="80">
        <v>0.0</v>
      </c>
      <c r="AP35" s="80">
        <v>0.0</v>
      </c>
      <c r="AQ35" s="224">
        <v>0.0</v>
      </c>
      <c r="AR35" s="80">
        <v>0.0</v>
      </c>
      <c r="AS35" s="224">
        <v>3.0</v>
      </c>
      <c r="AT35" s="80">
        <v>0.0</v>
      </c>
      <c r="AU35" s="80">
        <v>0.0</v>
      </c>
      <c r="AV35" s="358">
        <f t="shared" si="3"/>
        <v>3</v>
      </c>
      <c r="AW35" s="358">
        <f t="shared" si="4"/>
        <v>1</v>
      </c>
    </row>
    <row r="36">
      <c r="A36" s="63">
        <v>35.0</v>
      </c>
      <c r="B36" s="48" t="s">
        <v>179</v>
      </c>
      <c r="C36" s="610" t="s">
        <v>180</v>
      </c>
      <c r="D36" s="48" t="s">
        <v>180</v>
      </c>
      <c r="E36" s="482" t="s">
        <v>685</v>
      </c>
      <c r="F36" s="611">
        <v>40243.0</v>
      </c>
      <c r="G36" s="612" t="s">
        <v>547</v>
      </c>
      <c r="H36" s="610" t="s">
        <v>8</v>
      </c>
      <c r="I36" s="610" t="s">
        <v>7</v>
      </c>
      <c r="J36" s="235" t="s">
        <v>354</v>
      </c>
      <c r="K36" s="614">
        <v>0.0</v>
      </c>
      <c r="L36" s="492" t="s">
        <v>354</v>
      </c>
      <c r="M36" s="546">
        <v>215.0</v>
      </c>
      <c r="N36" s="235" t="s">
        <v>354</v>
      </c>
      <c r="O36" s="235" t="s">
        <v>354</v>
      </c>
      <c r="P36" s="235" t="s">
        <v>354</v>
      </c>
      <c r="Q36" s="235" t="s">
        <v>354</v>
      </c>
      <c r="R36" s="151">
        <v>32.43</v>
      </c>
      <c r="S36" s="166">
        <v>0.0</v>
      </c>
      <c r="T36" s="551" t="s">
        <v>354</v>
      </c>
      <c r="U36" s="551" t="s">
        <v>354</v>
      </c>
      <c r="V36" s="551" t="s">
        <v>354</v>
      </c>
      <c r="W36" s="166">
        <v>0.0</v>
      </c>
      <c r="X36" s="166">
        <v>0.0</v>
      </c>
      <c r="Y36" s="166" t="s">
        <v>354</v>
      </c>
      <c r="Z36" s="166" t="s">
        <v>354</v>
      </c>
      <c r="AA36" s="56" t="s">
        <v>365</v>
      </c>
      <c r="AB36" s="58" t="s">
        <v>380</v>
      </c>
      <c r="AC36" s="548" t="s">
        <v>365</v>
      </c>
      <c r="AD36" s="105" t="s">
        <v>413</v>
      </c>
      <c r="AE36" s="549" t="s">
        <v>365</v>
      </c>
      <c r="AF36" s="164" t="s">
        <v>413</v>
      </c>
      <c r="AG36" s="43" t="s">
        <v>361</v>
      </c>
      <c r="AH36" s="43" t="s">
        <v>361</v>
      </c>
      <c r="AI36" s="357">
        <f t="shared" si="1"/>
        <v>3</v>
      </c>
      <c r="AJ36" s="182">
        <f t="shared" si="2"/>
        <v>1</v>
      </c>
      <c r="AK36" s="182"/>
      <c r="AL36" s="265"/>
      <c r="AN36" s="80">
        <v>0.0</v>
      </c>
      <c r="AO36" s="80">
        <v>0.0</v>
      </c>
      <c r="AP36" s="80">
        <v>0.0</v>
      </c>
      <c r="AQ36" s="224">
        <v>0.0</v>
      </c>
      <c r="AR36" s="224">
        <v>2.0</v>
      </c>
      <c r="AS36" s="224">
        <v>0.0</v>
      </c>
      <c r="AT36" s="80">
        <v>0.0</v>
      </c>
      <c r="AU36" s="80">
        <v>0.0</v>
      </c>
      <c r="AV36" s="358">
        <f t="shared" si="3"/>
        <v>2</v>
      </c>
      <c r="AW36" s="358">
        <f t="shared" si="4"/>
        <v>1</v>
      </c>
    </row>
    <row r="37">
      <c r="A37" s="63">
        <v>36.0</v>
      </c>
      <c r="B37" s="48" t="s">
        <v>182</v>
      </c>
      <c r="C37" s="610" t="s">
        <v>183</v>
      </c>
      <c r="D37" s="63" t="s">
        <v>694</v>
      </c>
      <c r="E37" s="482" t="s">
        <v>695</v>
      </c>
      <c r="F37" s="611">
        <v>40243.0</v>
      </c>
      <c r="G37" s="612" t="s">
        <v>547</v>
      </c>
      <c r="H37" s="610" t="s">
        <v>8</v>
      </c>
      <c r="I37" s="610" t="s">
        <v>7</v>
      </c>
      <c r="J37" s="235" t="s">
        <v>354</v>
      </c>
      <c r="K37" s="614">
        <v>0.0</v>
      </c>
      <c r="L37" s="492" t="s">
        <v>354</v>
      </c>
      <c r="M37" s="546">
        <v>245.0</v>
      </c>
      <c r="N37" s="235" t="s">
        <v>354</v>
      </c>
      <c r="O37" s="235" t="s">
        <v>354</v>
      </c>
      <c r="P37" s="235" t="s">
        <v>354</v>
      </c>
      <c r="Q37" s="235" t="s">
        <v>354</v>
      </c>
      <c r="R37" s="151">
        <v>28.63</v>
      </c>
      <c r="S37" s="166">
        <v>0.0</v>
      </c>
      <c r="T37" s="551" t="s">
        <v>354</v>
      </c>
      <c r="U37" s="551" t="s">
        <v>354</v>
      </c>
      <c r="V37" s="551" t="s">
        <v>354</v>
      </c>
      <c r="W37" s="166">
        <v>0.0</v>
      </c>
      <c r="X37" s="166">
        <v>0.0</v>
      </c>
      <c r="Y37" s="166" t="s">
        <v>354</v>
      </c>
      <c r="Z37" s="166" t="s">
        <v>354</v>
      </c>
      <c r="AA37" s="56" t="s">
        <v>365</v>
      </c>
      <c r="AB37" s="26" t="s">
        <v>357</v>
      </c>
      <c r="AC37" s="548" t="s">
        <v>365</v>
      </c>
      <c r="AD37" s="105" t="s">
        <v>413</v>
      </c>
      <c r="AE37" s="549" t="s">
        <v>365</v>
      </c>
      <c r="AF37" s="26" t="s">
        <v>357</v>
      </c>
      <c r="AG37" s="36" t="s">
        <v>365</v>
      </c>
      <c r="AH37" s="617" t="s">
        <v>358</v>
      </c>
      <c r="AI37" s="357">
        <f t="shared" si="1"/>
        <v>4</v>
      </c>
      <c r="AJ37" s="182">
        <f t="shared" si="2"/>
        <v>1</v>
      </c>
      <c r="AK37" s="182"/>
      <c r="AL37" s="265"/>
      <c r="AN37" s="80">
        <v>0.0</v>
      </c>
      <c r="AO37" s="80">
        <v>0.0</v>
      </c>
      <c r="AP37" s="224">
        <v>1.0</v>
      </c>
      <c r="AQ37" s="224">
        <v>0.0</v>
      </c>
      <c r="AR37" s="224">
        <v>1.0</v>
      </c>
      <c r="AS37" s="224">
        <v>1.0</v>
      </c>
      <c r="AT37" s="80">
        <v>0.0</v>
      </c>
      <c r="AU37" s="80">
        <v>0.0</v>
      </c>
      <c r="AV37" s="358">
        <f t="shared" si="3"/>
        <v>3</v>
      </c>
      <c r="AW37" s="358">
        <f t="shared" si="4"/>
        <v>3</v>
      </c>
    </row>
    <row r="38">
      <c r="A38" s="63">
        <v>37.0</v>
      </c>
      <c r="B38" s="48" t="s">
        <v>194</v>
      </c>
      <c r="C38" s="610" t="s">
        <v>195</v>
      </c>
      <c r="D38" s="48" t="s">
        <v>195</v>
      </c>
      <c r="E38" s="482" t="s">
        <v>707</v>
      </c>
      <c r="F38" s="611">
        <v>40243.0</v>
      </c>
      <c r="G38" s="612" t="s">
        <v>547</v>
      </c>
      <c r="H38" s="610" t="s">
        <v>67</v>
      </c>
      <c r="I38" s="610" t="s">
        <v>7</v>
      </c>
      <c r="J38" s="614" t="s">
        <v>1611</v>
      </c>
      <c r="K38" s="614">
        <v>0.0</v>
      </c>
      <c r="L38" s="492" t="s">
        <v>354</v>
      </c>
      <c r="M38" s="546">
        <v>240.0</v>
      </c>
      <c r="N38" s="235" t="s">
        <v>354</v>
      </c>
      <c r="O38" s="235" t="s">
        <v>354</v>
      </c>
      <c r="P38" s="235" t="s">
        <v>354</v>
      </c>
      <c r="Q38" s="235" t="s">
        <v>354</v>
      </c>
      <c r="R38" s="551">
        <v>0.0</v>
      </c>
      <c r="S38" s="166">
        <v>0.0</v>
      </c>
      <c r="T38" s="551" t="s">
        <v>354</v>
      </c>
      <c r="U38" s="551" t="s">
        <v>354</v>
      </c>
      <c r="V38" s="551" t="s">
        <v>354</v>
      </c>
      <c r="W38" s="166">
        <v>0.0</v>
      </c>
      <c r="X38" s="166">
        <v>0.0</v>
      </c>
      <c r="Y38" s="166" t="s">
        <v>354</v>
      </c>
      <c r="Z38" s="166" t="s">
        <v>354</v>
      </c>
      <c r="AA38" s="56" t="s">
        <v>365</v>
      </c>
      <c r="AB38" s="58" t="s">
        <v>380</v>
      </c>
      <c r="AC38" s="615" t="s">
        <v>356</v>
      </c>
      <c r="AD38" s="616" t="s">
        <v>354</v>
      </c>
      <c r="AE38" s="555" t="s">
        <v>356</v>
      </c>
      <c r="AF38" s="555" t="s">
        <v>354</v>
      </c>
      <c r="AG38" s="36" t="s">
        <v>365</v>
      </c>
      <c r="AH38" s="102" t="s">
        <v>357</v>
      </c>
      <c r="AI38" s="357">
        <f t="shared" si="1"/>
        <v>1</v>
      </c>
      <c r="AJ38" s="182">
        <f t="shared" si="2"/>
        <v>1</v>
      </c>
      <c r="AK38" s="182"/>
      <c r="AL38" s="265"/>
      <c r="AN38" s="80">
        <v>0.0</v>
      </c>
      <c r="AO38" s="80">
        <v>0.0</v>
      </c>
      <c r="AP38" s="80">
        <v>0.0</v>
      </c>
      <c r="AQ38" s="224">
        <v>0.0</v>
      </c>
      <c r="AR38" s="80">
        <v>0.0</v>
      </c>
      <c r="AS38" s="224">
        <v>1.0</v>
      </c>
      <c r="AT38" s="80">
        <v>0.0</v>
      </c>
      <c r="AU38" s="80">
        <v>0.0</v>
      </c>
      <c r="AV38" s="363">
        <f t="shared" si="3"/>
        <v>1</v>
      </c>
      <c r="AW38" s="363">
        <f t="shared" si="4"/>
        <v>1</v>
      </c>
    </row>
    <row r="39">
      <c r="A39" s="63">
        <v>38.0</v>
      </c>
      <c r="B39" s="48" t="s">
        <v>197</v>
      </c>
      <c r="C39" s="610" t="s">
        <v>198</v>
      </c>
      <c r="D39" s="63" t="s">
        <v>712</v>
      </c>
      <c r="E39" s="18" t="s">
        <v>1171</v>
      </c>
      <c r="F39" s="611">
        <v>40243.0</v>
      </c>
      <c r="G39" s="612" t="s">
        <v>547</v>
      </c>
      <c r="H39" s="610" t="s">
        <v>67</v>
      </c>
      <c r="I39" s="610" t="s">
        <v>7</v>
      </c>
      <c r="J39" s="614" t="s">
        <v>770</v>
      </c>
      <c r="K39" s="614">
        <v>0.0</v>
      </c>
      <c r="L39" s="492" t="s">
        <v>354</v>
      </c>
      <c r="M39" s="546">
        <v>260.0</v>
      </c>
      <c r="N39" s="235" t="s">
        <v>354</v>
      </c>
      <c r="O39" s="235" t="s">
        <v>354</v>
      </c>
      <c r="P39" s="235" t="s">
        <v>354</v>
      </c>
      <c r="Q39" s="72" t="s">
        <v>575</v>
      </c>
      <c r="R39" s="151">
        <v>32.3</v>
      </c>
      <c r="S39" s="166">
        <v>0.0</v>
      </c>
      <c r="T39" s="551" t="s">
        <v>354</v>
      </c>
      <c r="U39" s="551" t="s">
        <v>354</v>
      </c>
      <c r="V39" s="551" t="s">
        <v>354</v>
      </c>
      <c r="W39" s="166">
        <v>0.0</v>
      </c>
      <c r="X39" s="166">
        <v>0.0</v>
      </c>
      <c r="Y39" s="166" t="s">
        <v>354</v>
      </c>
      <c r="Z39" s="166" t="s">
        <v>354</v>
      </c>
      <c r="AA39" s="56" t="s">
        <v>365</v>
      </c>
      <c r="AB39" s="26" t="s">
        <v>357</v>
      </c>
      <c r="AC39" s="548" t="s">
        <v>365</v>
      </c>
      <c r="AD39" s="102" t="s">
        <v>357</v>
      </c>
      <c r="AE39" s="549" t="s">
        <v>365</v>
      </c>
      <c r="AF39" s="26" t="s">
        <v>357</v>
      </c>
      <c r="AG39" s="36" t="s">
        <v>365</v>
      </c>
      <c r="AH39" s="102" t="s">
        <v>357</v>
      </c>
      <c r="AI39" s="357">
        <f t="shared" si="1"/>
        <v>4</v>
      </c>
      <c r="AJ39" s="182">
        <f t="shared" si="2"/>
        <v>1</v>
      </c>
      <c r="AK39" s="182"/>
      <c r="AL39" s="265"/>
      <c r="AN39" s="80">
        <v>0.0</v>
      </c>
      <c r="AO39" s="80">
        <v>0.0</v>
      </c>
      <c r="AP39" s="80">
        <v>0.0</v>
      </c>
      <c r="AQ39" s="224">
        <v>0.0</v>
      </c>
      <c r="AR39" s="80">
        <v>0.0</v>
      </c>
      <c r="AS39" s="224">
        <v>3.0</v>
      </c>
      <c r="AT39" s="80">
        <v>0.0</v>
      </c>
      <c r="AU39" s="80">
        <v>0.0</v>
      </c>
      <c r="AV39" s="358">
        <f t="shared" si="3"/>
        <v>3</v>
      </c>
      <c r="AW39" s="358">
        <f t="shared" si="4"/>
        <v>1</v>
      </c>
    </row>
    <row r="40">
      <c r="A40" s="63">
        <v>39.0</v>
      </c>
      <c r="B40" s="48" t="s">
        <v>200</v>
      </c>
      <c r="C40" s="610" t="s">
        <v>201</v>
      </c>
      <c r="D40" s="48" t="s">
        <v>201</v>
      </c>
      <c r="E40" s="482" t="s">
        <v>1622</v>
      </c>
      <c r="F40" s="611">
        <v>40243.0</v>
      </c>
      <c r="G40" s="612" t="s">
        <v>547</v>
      </c>
      <c r="H40" s="610" t="s">
        <v>67</v>
      </c>
      <c r="I40" s="610" t="s">
        <v>7</v>
      </c>
      <c r="J40" s="614" t="s">
        <v>770</v>
      </c>
      <c r="K40" s="614">
        <v>0.0</v>
      </c>
      <c r="L40" s="492" t="s">
        <v>354</v>
      </c>
      <c r="M40" s="546">
        <v>215.0</v>
      </c>
      <c r="N40" s="235" t="s">
        <v>354</v>
      </c>
      <c r="O40" s="235" t="s">
        <v>354</v>
      </c>
      <c r="P40" s="235" t="s">
        <v>354</v>
      </c>
      <c r="Q40" s="235" t="s">
        <v>354</v>
      </c>
      <c r="R40" s="551">
        <v>0.0</v>
      </c>
      <c r="S40" s="166">
        <v>0.0</v>
      </c>
      <c r="T40" s="551" t="s">
        <v>354</v>
      </c>
      <c r="U40" s="551" t="s">
        <v>354</v>
      </c>
      <c r="V40" s="551" t="s">
        <v>354</v>
      </c>
      <c r="W40" s="166">
        <v>0.0</v>
      </c>
      <c r="X40" s="166">
        <v>0.0</v>
      </c>
      <c r="Y40" s="166" t="s">
        <v>354</v>
      </c>
      <c r="Z40" s="166" t="s">
        <v>354</v>
      </c>
      <c r="AA40" s="49" t="s">
        <v>356</v>
      </c>
      <c r="AB40" s="49" t="s">
        <v>354</v>
      </c>
      <c r="AC40" s="615" t="s">
        <v>356</v>
      </c>
      <c r="AD40" s="616" t="s">
        <v>354</v>
      </c>
      <c r="AE40" s="555" t="s">
        <v>356</v>
      </c>
      <c r="AF40" s="555" t="s">
        <v>354</v>
      </c>
      <c r="AG40" s="33" t="s">
        <v>356</v>
      </c>
      <c r="AH40" s="33" t="s">
        <v>354</v>
      </c>
      <c r="AI40" s="46">
        <f t="shared" si="1"/>
        <v>0</v>
      </c>
      <c r="AJ40" s="182">
        <f t="shared" si="2"/>
        <v>0</v>
      </c>
      <c r="AK40" s="182"/>
      <c r="AL40" s="265"/>
      <c r="AN40" s="80">
        <v>0.0</v>
      </c>
      <c r="AO40" s="80">
        <v>0.0</v>
      </c>
      <c r="AP40" s="80">
        <v>0.0</v>
      </c>
      <c r="AQ40" s="224">
        <v>0.0</v>
      </c>
      <c r="AR40" s="80">
        <v>0.0</v>
      </c>
      <c r="AS40" s="224">
        <v>0.0</v>
      </c>
      <c r="AT40" s="80">
        <v>0.0</v>
      </c>
      <c r="AU40" s="80">
        <v>0.0</v>
      </c>
      <c r="AV40" s="182">
        <f t="shared" si="3"/>
        <v>0</v>
      </c>
      <c r="AW40" s="182">
        <f t="shared" si="4"/>
        <v>0</v>
      </c>
    </row>
    <row r="41">
      <c r="A41" s="63">
        <v>40.0</v>
      </c>
      <c r="B41" s="48" t="s">
        <v>203</v>
      </c>
      <c r="C41" s="610" t="s">
        <v>204</v>
      </c>
      <c r="D41" s="48" t="s">
        <v>204</v>
      </c>
      <c r="E41" s="482" t="s">
        <v>725</v>
      </c>
      <c r="F41" s="611">
        <v>40243.0</v>
      </c>
      <c r="G41" s="612" t="s">
        <v>547</v>
      </c>
      <c r="H41" s="610" t="s">
        <v>67</v>
      </c>
      <c r="I41" s="613" t="s">
        <v>7</v>
      </c>
      <c r="J41" s="614" t="s">
        <v>1611</v>
      </c>
      <c r="K41" s="614">
        <v>0.0</v>
      </c>
      <c r="L41" s="492" t="s">
        <v>354</v>
      </c>
      <c r="M41" s="546">
        <v>245.0</v>
      </c>
      <c r="N41" s="235" t="s">
        <v>354</v>
      </c>
      <c r="O41" s="235" t="s">
        <v>354</v>
      </c>
      <c r="P41" s="235" t="s">
        <v>354</v>
      </c>
      <c r="Q41" s="235" t="s">
        <v>354</v>
      </c>
      <c r="R41" s="151">
        <v>31.39</v>
      </c>
      <c r="S41" s="166">
        <v>0.0</v>
      </c>
      <c r="T41" s="551" t="s">
        <v>354</v>
      </c>
      <c r="U41" s="551" t="s">
        <v>354</v>
      </c>
      <c r="V41" s="551" t="s">
        <v>354</v>
      </c>
      <c r="W41" s="166">
        <v>0.0</v>
      </c>
      <c r="X41" s="166">
        <v>0.0</v>
      </c>
      <c r="Y41" s="166" t="s">
        <v>354</v>
      </c>
      <c r="Z41" s="166" t="s">
        <v>354</v>
      </c>
      <c r="AA41" s="56" t="s">
        <v>365</v>
      </c>
      <c r="AB41" s="164" t="s">
        <v>413</v>
      </c>
      <c r="AC41" s="548" t="s">
        <v>365</v>
      </c>
      <c r="AD41" s="105" t="s">
        <v>413</v>
      </c>
      <c r="AE41" s="549" t="s">
        <v>365</v>
      </c>
      <c r="AF41" s="164" t="s">
        <v>413</v>
      </c>
      <c r="AG41" s="36" t="s">
        <v>365</v>
      </c>
      <c r="AH41" s="617" t="s">
        <v>358</v>
      </c>
      <c r="AI41" s="357">
        <f t="shared" si="1"/>
        <v>4</v>
      </c>
      <c r="AJ41" s="182">
        <f t="shared" si="2"/>
        <v>1</v>
      </c>
      <c r="AK41" s="182"/>
      <c r="AL41" s="265"/>
      <c r="AN41" s="80">
        <v>0.0</v>
      </c>
      <c r="AO41" s="80">
        <v>0.0</v>
      </c>
      <c r="AP41" s="224">
        <v>1.0</v>
      </c>
      <c r="AQ41" s="224">
        <v>0.0</v>
      </c>
      <c r="AR41" s="224">
        <v>2.0</v>
      </c>
      <c r="AS41" s="224">
        <v>0.0</v>
      </c>
      <c r="AT41" s="80">
        <v>0.0</v>
      </c>
      <c r="AU41" s="80">
        <v>0.0</v>
      </c>
      <c r="AV41" s="358">
        <f t="shared" si="3"/>
        <v>3</v>
      </c>
      <c r="AW41" s="358">
        <f t="shared" si="4"/>
        <v>2</v>
      </c>
    </row>
    <row r="42">
      <c r="A42" s="63">
        <v>41.0</v>
      </c>
      <c r="B42" s="48" t="s">
        <v>209</v>
      </c>
      <c r="C42" s="610" t="s">
        <v>210</v>
      </c>
      <c r="D42" s="48" t="s">
        <v>210</v>
      </c>
      <c r="E42" s="482" t="s">
        <v>748</v>
      </c>
      <c r="F42" s="611">
        <v>40243.0</v>
      </c>
      <c r="G42" s="612" t="s">
        <v>547</v>
      </c>
      <c r="H42" s="610" t="s">
        <v>67</v>
      </c>
      <c r="I42" s="610" t="s">
        <v>7</v>
      </c>
      <c r="J42" s="614" t="s">
        <v>1611</v>
      </c>
      <c r="K42" s="614">
        <v>1.0</v>
      </c>
      <c r="L42" s="492" t="s">
        <v>354</v>
      </c>
      <c r="M42" s="546">
        <v>275.0</v>
      </c>
      <c r="N42" s="235" t="s">
        <v>354</v>
      </c>
      <c r="O42" s="235" t="s">
        <v>354</v>
      </c>
      <c r="P42" s="235" t="s">
        <v>354</v>
      </c>
      <c r="Q42" s="72" t="s">
        <v>1634</v>
      </c>
      <c r="R42" s="551">
        <v>0.0</v>
      </c>
      <c r="S42" s="166">
        <v>0.0</v>
      </c>
      <c r="T42" s="551" t="s">
        <v>354</v>
      </c>
      <c r="U42" s="551" t="s">
        <v>354</v>
      </c>
      <c r="V42" s="551" t="s">
        <v>354</v>
      </c>
      <c r="W42" s="166">
        <v>0.0</v>
      </c>
      <c r="X42" s="166">
        <v>0.0</v>
      </c>
      <c r="Y42" s="166" t="s">
        <v>354</v>
      </c>
      <c r="Z42" s="166" t="s">
        <v>354</v>
      </c>
      <c r="AA42" s="56" t="s">
        <v>365</v>
      </c>
      <c r="AB42" s="58" t="s">
        <v>380</v>
      </c>
      <c r="AC42" s="615" t="s">
        <v>356</v>
      </c>
      <c r="AD42" s="616" t="s">
        <v>354</v>
      </c>
      <c r="AE42" s="599" t="s">
        <v>365</v>
      </c>
      <c r="AF42" s="391" t="s">
        <v>380</v>
      </c>
      <c r="AG42" s="33" t="s">
        <v>356</v>
      </c>
      <c r="AH42" s="33" t="s">
        <v>354</v>
      </c>
      <c r="AI42" s="357">
        <f t="shared" si="1"/>
        <v>1</v>
      </c>
      <c r="AJ42" s="182">
        <f t="shared" si="2"/>
        <v>1</v>
      </c>
      <c r="AK42" s="182"/>
      <c r="AL42" s="265"/>
      <c r="AN42" s="80">
        <v>0.0</v>
      </c>
      <c r="AO42" s="80">
        <v>0.0</v>
      </c>
      <c r="AP42" s="80">
        <v>0.0</v>
      </c>
      <c r="AQ42" s="224">
        <v>0.0</v>
      </c>
      <c r="AR42" s="80">
        <v>0.0</v>
      </c>
      <c r="AS42" s="224">
        <v>0.0</v>
      </c>
      <c r="AT42" s="224">
        <v>1.0</v>
      </c>
      <c r="AU42" s="80">
        <v>0.0</v>
      </c>
      <c r="AV42" s="363">
        <f t="shared" si="3"/>
        <v>1</v>
      </c>
      <c r="AW42" s="363">
        <f t="shared" si="4"/>
        <v>1</v>
      </c>
    </row>
    <row r="43" ht="21.75" customHeight="1">
      <c r="A43" s="63">
        <v>42.0</v>
      </c>
      <c r="B43" s="48" t="s">
        <v>212</v>
      </c>
      <c r="C43" s="610" t="s">
        <v>213</v>
      </c>
      <c r="D43" s="48" t="s">
        <v>213</v>
      </c>
      <c r="E43" s="482" t="s">
        <v>753</v>
      </c>
      <c r="F43" s="611">
        <v>40243.0</v>
      </c>
      <c r="G43" s="612" t="s">
        <v>547</v>
      </c>
      <c r="H43" s="610" t="s">
        <v>67</v>
      </c>
      <c r="I43" s="610" t="s">
        <v>7</v>
      </c>
      <c r="J43" s="614" t="s">
        <v>1611</v>
      </c>
      <c r="K43" s="614">
        <v>1.0</v>
      </c>
      <c r="L43" s="492" t="s">
        <v>354</v>
      </c>
      <c r="M43" s="546">
        <v>270.0</v>
      </c>
      <c r="N43" s="235" t="s">
        <v>354</v>
      </c>
      <c r="O43" s="235" t="s">
        <v>354</v>
      </c>
      <c r="P43" s="235" t="s">
        <v>354</v>
      </c>
      <c r="Q43" s="235" t="s">
        <v>354</v>
      </c>
      <c r="R43" s="151">
        <v>30.65</v>
      </c>
      <c r="S43" s="166">
        <v>0.0</v>
      </c>
      <c r="T43" s="551" t="s">
        <v>354</v>
      </c>
      <c r="U43" s="551" t="s">
        <v>354</v>
      </c>
      <c r="V43" s="551" t="s">
        <v>354</v>
      </c>
      <c r="W43" s="166">
        <v>0.0</v>
      </c>
      <c r="X43" s="166">
        <v>0.0</v>
      </c>
      <c r="Y43" s="166" t="s">
        <v>354</v>
      </c>
      <c r="Z43" s="166" t="s">
        <v>354</v>
      </c>
      <c r="AA43" s="56" t="s">
        <v>365</v>
      </c>
      <c r="AB43" s="58" t="s">
        <v>380</v>
      </c>
      <c r="AC43" s="548" t="s">
        <v>365</v>
      </c>
      <c r="AD43" s="619" t="s">
        <v>420</v>
      </c>
      <c r="AE43" s="599" t="s">
        <v>365</v>
      </c>
      <c r="AF43" s="620" t="s">
        <v>1635</v>
      </c>
      <c r="AG43" s="36" t="s">
        <v>365</v>
      </c>
      <c r="AH43" s="617" t="s">
        <v>358</v>
      </c>
      <c r="AI43" s="357">
        <f t="shared" si="1"/>
        <v>4</v>
      </c>
      <c r="AJ43" s="182">
        <f t="shared" si="2"/>
        <v>1</v>
      </c>
      <c r="AK43" s="182"/>
      <c r="AL43" s="265"/>
      <c r="AN43" s="80">
        <v>0.0</v>
      </c>
      <c r="AO43" s="224">
        <v>2.0</v>
      </c>
      <c r="AP43" s="224">
        <v>1.0</v>
      </c>
      <c r="AQ43" s="224">
        <v>0.0</v>
      </c>
      <c r="AR43" s="80">
        <v>0.0</v>
      </c>
      <c r="AS43" s="224">
        <v>0.0</v>
      </c>
      <c r="AT43" s="224">
        <v>1.0</v>
      </c>
      <c r="AU43" s="80">
        <v>0.0</v>
      </c>
      <c r="AV43" s="358">
        <f t="shared" si="3"/>
        <v>4</v>
      </c>
      <c r="AW43" s="358">
        <f t="shared" si="4"/>
        <v>3</v>
      </c>
    </row>
    <row r="44">
      <c r="A44" s="63">
        <v>43.0</v>
      </c>
      <c r="B44" s="48" t="s">
        <v>215</v>
      </c>
      <c r="C44" s="610" t="s">
        <v>216</v>
      </c>
      <c r="D44" s="48" t="s">
        <v>216</v>
      </c>
      <c r="E44" s="482" t="s">
        <v>764</v>
      </c>
      <c r="F44" s="611">
        <v>40243.0</v>
      </c>
      <c r="G44" s="612" t="s">
        <v>547</v>
      </c>
      <c r="H44" s="610" t="s">
        <v>67</v>
      </c>
      <c r="I44" s="613" t="s">
        <v>7</v>
      </c>
      <c r="J44" s="614" t="s">
        <v>770</v>
      </c>
      <c r="K44" s="614">
        <v>0.0</v>
      </c>
      <c r="L44" s="492" t="s">
        <v>354</v>
      </c>
      <c r="M44" s="546">
        <v>240.0</v>
      </c>
      <c r="N44" s="235" t="s">
        <v>354</v>
      </c>
      <c r="O44" s="235" t="s">
        <v>354</v>
      </c>
      <c r="P44" s="235" t="s">
        <v>354</v>
      </c>
      <c r="Q44" s="235" t="s">
        <v>354</v>
      </c>
      <c r="R44" s="151">
        <v>29.7</v>
      </c>
      <c r="S44" s="151">
        <v>28.04</v>
      </c>
      <c r="T44" s="551" t="s">
        <v>356</v>
      </c>
      <c r="U44" s="551" t="s">
        <v>356</v>
      </c>
      <c r="V44" s="551" t="s">
        <v>356</v>
      </c>
      <c r="W44" s="166">
        <v>0.0</v>
      </c>
      <c r="X44" s="166">
        <v>0.0</v>
      </c>
      <c r="Y44" s="166" t="s">
        <v>354</v>
      </c>
      <c r="Z44" s="166" t="s">
        <v>354</v>
      </c>
      <c r="AA44" s="49" t="s">
        <v>356</v>
      </c>
      <c r="AB44" s="49" t="s">
        <v>354</v>
      </c>
      <c r="AC44" s="548" t="s">
        <v>365</v>
      </c>
      <c r="AD44" s="155" t="s">
        <v>363</v>
      </c>
      <c r="AE44" s="549" t="s">
        <v>365</v>
      </c>
      <c r="AF44" s="99" t="s">
        <v>363</v>
      </c>
      <c r="AG44" s="43" t="s">
        <v>361</v>
      </c>
      <c r="AH44" s="43" t="s">
        <v>361</v>
      </c>
      <c r="AI44" s="357">
        <f t="shared" si="1"/>
        <v>3</v>
      </c>
      <c r="AJ44" s="182">
        <f t="shared" si="2"/>
        <v>1</v>
      </c>
      <c r="AK44" s="182"/>
      <c r="AL44" s="265"/>
      <c r="AN44" s="80">
        <v>0.0</v>
      </c>
      <c r="AO44" s="80">
        <v>0.0</v>
      </c>
      <c r="AP44" s="224">
        <v>0.0</v>
      </c>
      <c r="AQ44" s="224">
        <v>2.0</v>
      </c>
      <c r="AR44" s="80">
        <v>0.0</v>
      </c>
      <c r="AS44" s="224">
        <v>0.0</v>
      </c>
      <c r="AT44" s="80">
        <v>0.0</v>
      </c>
      <c r="AU44" s="80">
        <v>0.0</v>
      </c>
      <c r="AV44" s="358">
        <f t="shared" si="3"/>
        <v>2</v>
      </c>
      <c r="AW44" s="358">
        <f t="shared" si="4"/>
        <v>1</v>
      </c>
    </row>
    <row r="45">
      <c r="A45" s="63">
        <v>44.0</v>
      </c>
      <c r="B45" s="48" t="s">
        <v>218</v>
      </c>
      <c r="C45" s="610" t="s">
        <v>219</v>
      </c>
      <c r="D45" s="48" t="s">
        <v>219</v>
      </c>
      <c r="E45" s="98" t="s">
        <v>769</v>
      </c>
      <c r="F45" s="611">
        <v>40243.0</v>
      </c>
      <c r="G45" s="612" t="s">
        <v>547</v>
      </c>
      <c r="H45" s="610" t="s">
        <v>67</v>
      </c>
      <c r="I45" s="610" t="s">
        <v>7</v>
      </c>
      <c r="J45" s="614" t="s">
        <v>770</v>
      </c>
      <c r="K45" s="614">
        <v>0.0</v>
      </c>
      <c r="L45" s="546">
        <v>121.0</v>
      </c>
      <c r="M45" s="546">
        <v>205.0</v>
      </c>
      <c r="N45" s="235" t="s">
        <v>354</v>
      </c>
      <c r="O45" s="235" t="s">
        <v>354</v>
      </c>
      <c r="P45" s="235" t="s">
        <v>354</v>
      </c>
      <c r="Q45" s="235" t="s">
        <v>354</v>
      </c>
      <c r="R45" s="151">
        <v>28.74</v>
      </c>
      <c r="S45" s="166">
        <v>0.0</v>
      </c>
      <c r="T45" s="551" t="s">
        <v>354</v>
      </c>
      <c r="U45" s="551" t="s">
        <v>354</v>
      </c>
      <c r="V45" s="551" t="s">
        <v>354</v>
      </c>
      <c r="W45" s="166">
        <v>0.0</v>
      </c>
      <c r="X45" s="166">
        <v>0.0</v>
      </c>
      <c r="Y45" s="166" t="s">
        <v>354</v>
      </c>
      <c r="Z45" s="166" t="s">
        <v>354</v>
      </c>
      <c r="AA45" s="56" t="s">
        <v>365</v>
      </c>
      <c r="AB45" s="26" t="s">
        <v>357</v>
      </c>
      <c r="AC45" s="548" t="s">
        <v>365</v>
      </c>
      <c r="AD45" s="102" t="s">
        <v>357</v>
      </c>
      <c r="AE45" s="549" t="s">
        <v>365</v>
      </c>
      <c r="AF45" s="26" t="s">
        <v>357</v>
      </c>
      <c r="AG45" s="36" t="s">
        <v>365</v>
      </c>
      <c r="AH45" s="102" t="s">
        <v>357</v>
      </c>
      <c r="AI45" s="357">
        <f t="shared" si="1"/>
        <v>4</v>
      </c>
      <c r="AJ45" s="182">
        <f t="shared" si="2"/>
        <v>1</v>
      </c>
      <c r="AK45" s="182"/>
      <c r="AL45" s="265"/>
      <c r="AN45" s="80">
        <v>0.0</v>
      </c>
      <c r="AO45" s="80">
        <v>0.0</v>
      </c>
      <c r="AP45" s="80">
        <v>0.0</v>
      </c>
      <c r="AQ45" s="224">
        <v>0.0</v>
      </c>
      <c r="AR45" s="80">
        <v>0.0</v>
      </c>
      <c r="AS45" s="224">
        <v>3.0</v>
      </c>
      <c r="AT45" s="80">
        <v>0.0</v>
      </c>
      <c r="AU45" s="80">
        <v>0.0</v>
      </c>
      <c r="AV45" s="358">
        <f t="shared" si="3"/>
        <v>3</v>
      </c>
      <c r="AW45" s="358">
        <f t="shared" si="4"/>
        <v>1</v>
      </c>
    </row>
    <row r="46">
      <c r="A46" s="63">
        <v>45.0</v>
      </c>
      <c r="B46" s="48" t="s">
        <v>221</v>
      </c>
      <c r="C46" s="610" t="s">
        <v>222</v>
      </c>
      <c r="D46" s="63" t="s">
        <v>1422</v>
      </c>
      <c r="E46" s="482" t="s">
        <v>775</v>
      </c>
      <c r="F46" s="611">
        <v>40243.0</v>
      </c>
      <c r="G46" s="612" t="s">
        <v>547</v>
      </c>
      <c r="H46" s="610" t="s">
        <v>67</v>
      </c>
      <c r="I46" s="610" t="s">
        <v>7</v>
      </c>
      <c r="J46" s="614" t="s">
        <v>1611</v>
      </c>
      <c r="K46" s="614">
        <v>0.0</v>
      </c>
      <c r="L46" s="492" t="s">
        <v>354</v>
      </c>
      <c r="M46" s="546">
        <v>290.0</v>
      </c>
      <c r="N46" s="235" t="s">
        <v>354</v>
      </c>
      <c r="O46" s="235" t="s">
        <v>354</v>
      </c>
      <c r="P46" s="235" t="s">
        <v>354</v>
      </c>
      <c r="Q46" s="235" t="s">
        <v>354</v>
      </c>
      <c r="R46" s="551">
        <v>0.0</v>
      </c>
      <c r="S46" s="166">
        <v>0.0</v>
      </c>
      <c r="T46" s="551" t="s">
        <v>354</v>
      </c>
      <c r="U46" s="551" t="s">
        <v>354</v>
      </c>
      <c r="V46" s="551" t="s">
        <v>354</v>
      </c>
      <c r="W46" s="166">
        <v>0.0</v>
      </c>
      <c r="X46" s="166">
        <v>0.0</v>
      </c>
      <c r="Y46" s="166" t="s">
        <v>354</v>
      </c>
      <c r="Z46" s="166" t="s">
        <v>354</v>
      </c>
      <c r="AA46" s="49" t="s">
        <v>356</v>
      </c>
      <c r="AB46" s="49" t="s">
        <v>354</v>
      </c>
      <c r="AC46" s="615" t="s">
        <v>356</v>
      </c>
      <c r="AD46" s="616" t="s">
        <v>354</v>
      </c>
      <c r="AE46" s="549" t="s">
        <v>365</v>
      </c>
      <c r="AF46" s="26" t="s">
        <v>357</v>
      </c>
      <c r="AG46" s="33" t="s">
        <v>356</v>
      </c>
      <c r="AH46" s="33" t="s">
        <v>354</v>
      </c>
      <c r="AI46" s="357">
        <f t="shared" si="1"/>
        <v>1</v>
      </c>
      <c r="AJ46" s="182">
        <f t="shared" si="2"/>
        <v>1</v>
      </c>
      <c r="AK46" s="182"/>
      <c r="AL46" s="265"/>
      <c r="AN46" s="80">
        <v>0.0</v>
      </c>
      <c r="AO46" s="80">
        <v>0.0</v>
      </c>
      <c r="AP46" s="80">
        <v>0.0</v>
      </c>
      <c r="AQ46" s="224">
        <v>0.0</v>
      </c>
      <c r="AR46" s="80">
        <v>0.0</v>
      </c>
      <c r="AS46" s="224">
        <v>1.0</v>
      </c>
      <c r="AT46" s="80">
        <v>0.0</v>
      </c>
      <c r="AU46" s="80">
        <v>0.0</v>
      </c>
      <c r="AV46" s="363">
        <f t="shared" si="3"/>
        <v>1</v>
      </c>
      <c r="AW46" s="363">
        <f t="shared" si="4"/>
        <v>1</v>
      </c>
    </row>
    <row r="47">
      <c r="A47" s="63">
        <v>46.0</v>
      </c>
      <c r="B47" s="48" t="s">
        <v>224</v>
      </c>
      <c r="C47" s="610" t="s">
        <v>225</v>
      </c>
      <c r="D47" s="48" t="s">
        <v>225</v>
      </c>
      <c r="E47" s="605" t="s">
        <v>789</v>
      </c>
      <c r="F47" s="611">
        <v>40243.0</v>
      </c>
      <c r="G47" s="612" t="s">
        <v>547</v>
      </c>
      <c r="H47" s="610" t="s">
        <v>67</v>
      </c>
      <c r="I47" s="610" t="s">
        <v>7</v>
      </c>
      <c r="J47" s="614" t="s">
        <v>770</v>
      </c>
      <c r="K47" s="614">
        <v>1.0</v>
      </c>
      <c r="L47" s="492" t="s">
        <v>354</v>
      </c>
      <c r="M47" s="546">
        <v>220.0</v>
      </c>
      <c r="N47" s="235" t="s">
        <v>354</v>
      </c>
      <c r="O47" s="235" t="s">
        <v>354</v>
      </c>
      <c r="P47" s="235" t="s">
        <v>354</v>
      </c>
      <c r="Q47" s="72" t="s">
        <v>791</v>
      </c>
      <c r="R47" s="551">
        <v>0.0</v>
      </c>
      <c r="S47" s="166">
        <v>0.0</v>
      </c>
      <c r="T47" s="551" t="s">
        <v>354</v>
      </c>
      <c r="U47" s="551" t="s">
        <v>354</v>
      </c>
      <c r="V47" s="551" t="s">
        <v>354</v>
      </c>
      <c r="W47" s="166">
        <v>0.0</v>
      </c>
      <c r="X47" s="166">
        <v>0.0</v>
      </c>
      <c r="Y47" s="166" t="s">
        <v>354</v>
      </c>
      <c r="Z47" s="166" t="s">
        <v>354</v>
      </c>
      <c r="AA47" s="56" t="s">
        <v>365</v>
      </c>
      <c r="AB47" s="26" t="s">
        <v>357</v>
      </c>
      <c r="AC47" s="548" t="s">
        <v>365</v>
      </c>
      <c r="AD47" s="102" t="s">
        <v>357</v>
      </c>
      <c r="AE47" s="555" t="s">
        <v>356</v>
      </c>
      <c r="AF47" s="555" t="s">
        <v>354</v>
      </c>
      <c r="AG47" s="36" t="s">
        <v>365</v>
      </c>
      <c r="AH47" s="102" t="s">
        <v>357</v>
      </c>
      <c r="AI47" s="357">
        <f t="shared" si="1"/>
        <v>2</v>
      </c>
      <c r="AJ47" s="182">
        <f t="shared" si="2"/>
        <v>1</v>
      </c>
      <c r="AK47" s="182"/>
      <c r="AL47" s="265"/>
      <c r="AN47" s="80">
        <v>0.0</v>
      </c>
      <c r="AO47" s="80">
        <v>0.0</v>
      </c>
      <c r="AP47" s="80">
        <v>0.0</v>
      </c>
      <c r="AQ47" s="224">
        <v>0.0</v>
      </c>
      <c r="AR47" s="80">
        <v>0.0</v>
      </c>
      <c r="AS47" s="224">
        <v>2.0</v>
      </c>
      <c r="AT47" s="80">
        <v>0.0</v>
      </c>
      <c r="AU47" s="80">
        <v>0.0</v>
      </c>
      <c r="AV47" s="358">
        <f t="shared" si="3"/>
        <v>2</v>
      </c>
      <c r="AW47" s="358">
        <f t="shared" si="4"/>
        <v>1</v>
      </c>
    </row>
    <row r="48">
      <c r="A48" s="63">
        <v>47.0</v>
      </c>
      <c r="B48" s="48" t="s">
        <v>227</v>
      </c>
      <c r="C48" s="610" t="s">
        <v>228</v>
      </c>
      <c r="D48" s="48" t="s">
        <v>228</v>
      </c>
      <c r="E48" s="482" t="s">
        <v>1623</v>
      </c>
      <c r="F48" s="611">
        <v>40243.0</v>
      </c>
      <c r="G48" s="612" t="s">
        <v>547</v>
      </c>
      <c r="H48" s="610" t="s">
        <v>67</v>
      </c>
      <c r="I48" s="613" t="s">
        <v>37</v>
      </c>
      <c r="J48" s="614" t="s">
        <v>770</v>
      </c>
      <c r="K48" s="614">
        <v>1.0</v>
      </c>
      <c r="L48" s="546">
        <v>112.0</v>
      </c>
      <c r="M48" s="546">
        <v>195.0</v>
      </c>
      <c r="N48" s="235" t="s">
        <v>354</v>
      </c>
      <c r="O48" s="235" t="s">
        <v>354</v>
      </c>
      <c r="P48" s="235" t="s">
        <v>354</v>
      </c>
      <c r="Q48" s="235" t="s">
        <v>354</v>
      </c>
      <c r="R48" s="151">
        <v>29.47</v>
      </c>
      <c r="S48" s="166">
        <v>0.0</v>
      </c>
      <c r="T48" s="551" t="s">
        <v>354</v>
      </c>
      <c r="U48" s="551" t="s">
        <v>354</v>
      </c>
      <c r="V48" s="551" t="s">
        <v>354</v>
      </c>
      <c r="W48" s="166">
        <v>0.0</v>
      </c>
      <c r="X48" s="166">
        <v>0.0</v>
      </c>
      <c r="Y48" s="166" t="s">
        <v>354</v>
      </c>
      <c r="Z48" s="166" t="s">
        <v>354</v>
      </c>
      <c r="AA48" s="56" t="s">
        <v>365</v>
      </c>
      <c r="AB48" s="26" t="s">
        <v>357</v>
      </c>
      <c r="AC48" s="548" t="s">
        <v>365</v>
      </c>
      <c r="AD48" s="619" t="s">
        <v>420</v>
      </c>
      <c r="AE48" s="549" t="s">
        <v>365</v>
      </c>
      <c r="AF48" s="62" t="s">
        <v>389</v>
      </c>
      <c r="AG48" s="36" t="s">
        <v>365</v>
      </c>
      <c r="AH48" s="617" t="s">
        <v>358</v>
      </c>
      <c r="AI48" s="357">
        <f t="shared" si="1"/>
        <v>4</v>
      </c>
      <c r="AJ48" s="182">
        <f t="shared" si="2"/>
        <v>1</v>
      </c>
      <c r="AK48" s="182"/>
      <c r="AL48" s="265"/>
      <c r="AN48" s="224">
        <v>1.0</v>
      </c>
      <c r="AO48" s="224">
        <v>1.0</v>
      </c>
      <c r="AP48" s="224">
        <v>1.0</v>
      </c>
      <c r="AQ48" s="224">
        <v>0.0</v>
      </c>
      <c r="AR48" s="80">
        <v>0.0</v>
      </c>
      <c r="AS48" s="224">
        <v>0.0</v>
      </c>
      <c r="AT48" s="80">
        <v>0.0</v>
      </c>
      <c r="AU48" s="80">
        <v>0.0</v>
      </c>
      <c r="AV48" s="358">
        <f t="shared" si="3"/>
        <v>3</v>
      </c>
      <c r="AW48" s="358">
        <f t="shared" si="4"/>
        <v>3</v>
      </c>
    </row>
    <row r="49">
      <c r="A49" s="63">
        <v>48.0</v>
      </c>
      <c r="B49" s="48" t="s">
        <v>230</v>
      </c>
      <c r="C49" s="610" t="s">
        <v>231</v>
      </c>
      <c r="D49" s="603" t="s">
        <v>231</v>
      </c>
      <c r="E49" s="602" t="s">
        <v>808</v>
      </c>
      <c r="F49" s="611">
        <v>40243.0</v>
      </c>
      <c r="G49" s="612" t="s">
        <v>547</v>
      </c>
      <c r="H49" s="610" t="s">
        <v>67</v>
      </c>
      <c r="I49" s="610" t="s">
        <v>7</v>
      </c>
      <c r="J49" s="614" t="s">
        <v>1611</v>
      </c>
      <c r="K49" s="614">
        <v>0.0</v>
      </c>
      <c r="L49" s="492" t="s">
        <v>354</v>
      </c>
      <c r="M49" s="546">
        <v>315.0</v>
      </c>
      <c r="N49" s="235" t="s">
        <v>354</v>
      </c>
      <c r="O49" s="235" t="s">
        <v>354</v>
      </c>
      <c r="P49" s="235" t="s">
        <v>354</v>
      </c>
      <c r="Q49" s="235" t="s">
        <v>354</v>
      </c>
      <c r="R49" s="151">
        <v>30.68</v>
      </c>
      <c r="S49" s="166">
        <v>0.0</v>
      </c>
      <c r="T49" s="551" t="s">
        <v>354</v>
      </c>
      <c r="U49" s="551" t="s">
        <v>354</v>
      </c>
      <c r="V49" s="551" t="s">
        <v>354</v>
      </c>
      <c r="W49" s="166">
        <v>0.0</v>
      </c>
      <c r="X49" s="56">
        <v>38.16</v>
      </c>
      <c r="Y49" s="166" t="s">
        <v>356</v>
      </c>
      <c r="Z49" s="166" t="s">
        <v>354</v>
      </c>
      <c r="AA49" s="56" t="s">
        <v>365</v>
      </c>
      <c r="AB49" s="65" t="s">
        <v>387</v>
      </c>
      <c r="AC49" s="560" t="s">
        <v>361</v>
      </c>
      <c r="AD49" s="560" t="s">
        <v>361</v>
      </c>
      <c r="AE49" s="599" t="s">
        <v>365</v>
      </c>
      <c r="AF49" s="366" t="s">
        <v>387</v>
      </c>
      <c r="AG49" s="43" t="s">
        <v>361</v>
      </c>
      <c r="AH49" s="43" t="s">
        <v>361</v>
      </c>
      <c r="AI49" s="357">
        <f t="shared" si="1"/>
        <v>2</v>
      </c>
      <c r="AJ49" s="182">
        <f t="shared" si="2"/>
        <v>1</v>
      </c>
      <c r="AK49" s="182"/>
      <c r="AL49" s="265"/>
      <c r="AN49" s="80">
        <v>0.0</v>
      </c>
      <c r="AO49" s="80">
        <v>0.0</v>
      </c>
      <c r="AP49" s="80">
        <v>0.0</v>
      </c>
      <c r="AQ49" s="224">
        <v>0.0</v>
      </c>
      <c r="AR49" s="80">
        <v>0.0</v>
      </c>
      <c r="AS49" s="224">
        <v>0.0</v>
      </c>
      <c r="AT49" s="80">
        <v>0.0</v>
      </c>
      <c r="AU49" s="224">
        <v>1.0</v>
      </c>
      <c r="AV49" s="358">
        <f t="shared" si="3"/>
        <v>1</v>
      </c>
      <c r="AW49" s="358">
        <f t="shared" si="4"/>
        <v>1</v>
      </c>
    </row>
    <row r="50">
      <c r="A50" s="63">
        <v>49.0</v>
      </c>
      <c r="B50" s="48" t="s">
        <v>233</v>
      </c>
      <c r="C50" s="610" t="s">
        <v>236</v>
      </c>
      <c r="D50" s="48" t="s">
        <v>234</v>
      </c>
      <c r="E50" s="482" t="s">
        <v>1625</v>
      </c>
      <c r="F50" s="611">
        <v>40243.0</v>
      </c>
      <c r="G50" s="612" t="s">
        <v>547</v>
      </c>
      <c r="H50" s="610" t="s">
        <v>67</v>
      </c>
      <c r="I50" s="610" t="s">
        <v>7</v>
      </c>
      <c r="J50" s="614" t="s">
        <v>1611</v>
      </c>
      <c r="K50" s="614">
        <v>0.0</v>
      </c>
      <c r="L50" s="492" t="s">
        <v>354</v>
      </c>
      <c r="M50" s="546">
        <v>275.0</v>
      </c>
      <c r="N50" s="235" t="s">
        <v>354</v>
      </c>
      <c r="O50" s="235" t="s">
        <v>354</v>
      </c>
      <c r="P50" s="235" t="s">
        <v>354</v>
      </c>
      <c r="Q50" s="72" t="s">
        <v>1636</v>
      </c>
      <c r="R50" s="551">
        <v>0.0</v>
      </c>
      <c r="S50" s="166">
        <v>0.0</v>
      </c>
      <c r="T50" s="551" t="s">
        <v>354</v>
      </c>
      <c r="U50" s="551" t="s">
        <v>354</v>
      </c>
      <c r="V50" s="551" t="s">
        <v>354</v>
      </c>
      <c r="W50" s="166">
        <v>0.0</v>
      </c>
      <c r="X50" s="166">
        <v>0.0</v>
      </c>
      <c r="Y50" s="166" t="s">
        <v>354</v>
      </c>
      <c r="Z50" s="166" t="s">
        <v>354</v>
      </c>
      <c r="AA50" s="56" t="s">
        <v>365</v>
      </c>
      <c r="AB50" s="58" t="s">
        <v>380</v>
      </c>
      <c r="AC50" s="615" t="s">
        <v>356</v>
      </c>
      <c r="AD50" s="616" t="s">
        <v>354</v>
      </c>
      <c r="AE50" s="599" t="s">
        <v>365</v>
      </c>
      <c r="AF50" s="391" t="s">
        <v>380</v>
      </c>
      <c r="AG50" s="33" t="s">
        <v>356</v>
      </c>
      <c r="AH50" s="33" t="s">
        <v>354</v>
      </c>
      <c r="AI50" s="357">
        <f t="shared" si="1"/>
        <v>1</v>
      </c>
      <c r="AJ50" s="182">
        <f t="shared" si="2"/>
        <v>1</v>
      </c>
      <c r="AK50" s="182"/>
      <c r="AL50" s="265"/>
      <c r="AN50" s="80">
        <v>0.0</v>
      </c>
      <c r="AO50" s="80">
        <v>0.0</v>
      </c>
      <c r="AP50" s="80">
        <v>0.0</v>
      </c>
      <c r="AQ50" s="224">
        <v>0.0</v>
      </c>
      <c r="AR50" s="80">
        <v>0.0</v>
      </c>
      <c r="AS50" s="224">
        <v>0.0</v>
      </c>
      <c r="AT50" s="224">
        <v>1.0</v>
      </c>
      <c r="AU50" s="80">
        <v>0.0</v>
      </c>
      <c r="AV50" s="363">
        <f t="shared" si="3"/>
        <v>1</v>
      </c>
      <c r="AW50" s="363">
        <f t="shared" si="4"/>
        <v>1</v>
      </c>
    </row>
    <row r="51">
      <c r="A51" s="63">
        <v>50.0</v>
      </c>
      <c r="B51" s="48" t="s">
        <v>237</v>
      </c>
      <c r="C51" s="610" t="s">
        <v>238</v>
      </c>
      <c r="D51" s="48" t="s">
        <v>238</v>
      </c>
      <c r="E51" s="482" t="s">
        <v>844</v>
      </c>
      <c r="F51" s="611">
        <v>40243.0</v>
      </c>
      <c r="G51" s="612" t="s">
        <v>547</v>
      </c>
      <c r="H51" s="610" t="s">
        <v>67</v>
      </c>
      <c r="I51" s="610" t="s">
        <v>7</v>
      </c>
      <c r="J51" s="614" t="s">
        <v>1611</v>
      </c>
      <c r="K51" s="614">
        <v>0.0</v>
      </c>
      <c r="L51" s="492" t="s">
        <v>354</v>
      </c>
      <c r="M51" s="492" t="s">
        <v>354</v>
      </c>
      <c r="N51" s="235" t="s">
        <v>354</v>
      </c>
      <c r="O51" s="235" t="s">
        <v>354</v>
      </c>
      <c r="P51" s="235" t="s">
        <v>354</v>
      </c>
      <c r="Q51" s="72" t="s">
        <v>1637</v>
      </c>
      <c r="R51" s="551">
        <v>0.0</v>
      </c>
      <c r="S51" s="166">
        <v>0.0</v>
      </c>
      <c r="T51" s="551" t="s">
        <v>354</v>
      </c>
      <c r="U51" s="551" t="s">
        <v>354</v>
      </c>
      <c r="V51" s="551" t="s">
        <v>354</v>
      </c>
      <c r="W51" s="166">
        <v>0.0</v>
      </c>
      <c r="X51" s="166">
        <v>0.0</v>
      </c>
      <c r="Y51" s="166" t="s">
        <v>354</v>
      </c>
      <c r="Z51" s="166" t="s">
        <v>354</v>
      </c>
      <c r="AA51" s="49" t="s">
        <v>356</v>
      </c>
      <c r="AB51" s="49" t="s">
        <v>354</v>
      </c>
      <c r="AC51" s="615" t="s">
        <v>356</v>
      </c>
      <c r="AD51" s="616" t="s">
        <v>354</v>
      </c>
      <c r="AE51" s="555" t="s">
        <v>356</v>
      </c>
      <c r="AF51" s="555" t="s">
        <v>354</v>
      </c>
      <c r="AG51" s="36" t="s">
        <v>365</v>
      </c>
      <c r="AH51" s="102" t="s">
        <v>357</v>
      </c>
      <c r="AI51" s="357">
        <f t="shared" si="1"/>
        <v>1</v>
      </c>
      <c r="AJ51" s="182">
        <f t="shared" si="2"/>
        <v>1</v>
      </c>
      <c r="AK51" s="182"/>
      <c r="AL51" s="265"/>
      <c r="AN51" s="80">
        <v>0.0</v>
      </c>
      <c r="AO51" s="80">
        <v>0.0</v>
      </c>
      <c r="AP51" s="80">
        <v>0.0</v>
      </c>
      <c r="AQ51" s="224">
        <v>0.0</v>
      </c>
      <c r="AR51" s="80">
        <v>0.0</v>
      </c>
      <c r="AS51" s="224">
        <v>1.0</v>
      </c>
      <c r="AT51" s="80">
        <v>0.0</v>
      </c>
      <c r="AU51" s="80">
        <v>0.0</v>
      </c>
      <c r="AV51" s="363">
        <f t="shared" si="3"/>
        <v>1</v>
      </c>
      <c r="AW51" s="363">
        <f t="shared" si="4"/>
        <v>1</v>
      </c>
    </row>
    <row r="52">
      <c r="A52" s="63">
        <v>51.0</v>
      </c>
      <c r="B52" s="48" t="s">
        <v>240</v>
      </c>
      <c r="C52" s="610" t="s">
        <v>241</v>
      </c>
      <c r="D52" s="48" t="s">
        <v>241</v>
      </c>
      <c r="E52" s="98" t="s">
        <v>853</v>
      </c>
      <c r="F52" s="611">
        <v>40243.0</v>
      </c>
      <c r="G52" s="612" t="s">
        <v>547</v>
      </c>
      <c r="H52" s="610" t="s">
        <v>67</v>
      </c>
      <c r="I52" s="610" t="s">
        <v>7</v>
      </c>
      <c r="J52" s="614" t="s">
        <v>1611</v>
      </c>
      <c r="K52" s="614">
        <v>1.0</v>
      </c>
      <c r="L52" s="546">
        <v>124.0</v>
      </c>
      <c r="M52" s="546">
        <v>225.0</v>
      </c>
      <c r="N52" s="235" t="s">
        <v>354</v>
      </c>
      <c r="O52" s="235" t="s">
        <v>354</v>
      </c>
      <c r="P52" s="235" t="s">
        <v>354</v>
      </c>
      <c r="Q52" s="72" t="s">
        <v>854</v>
      </c>
      <c r="R52" s="151">
        <v>26.92</v>
      </c>
      <c r="S52" s="166">
        <v>0.0</v>
      </c>
      <c r="T52" s="551" t="s">
        <v>354</v>
      </c>
      <c r="U52" s="551" t="s">
        <v>354</v>
      </c>
      <c r="V52" s="551" t="s">
        <v>354</v>
      </c>
      <c r="W52" s="166">
        <v>0.0</v>
      </c>
      <c r="X52" s="166">
        <v>0.0</v>
      </c>
      <c r="Y52" s="166" t="s">
        <v>354</v>
      </c>
      <c r="Z52" s="166" t="s">
        <v>354</v>
      </c>
      <c r="AA52" s="56" t="s">
        <v>365</v>
      </c>
      <c r="AB52" s="26" t="s">
        <v>357</v>
      </c>
      <c r="AC52" s="548" t="s">
        <v>365</v>
      </c>
      <c r="AD52" s="102" t="s">
        <v>357</v>
      </c>
      <c r="AE52" s="549" t="s">
        <v>365</v>
      </c>
      <c r="AF52" s="26" t="s">
        <v>357</v>
      </c>
      <c r="AG52" s="36" t="s">
        <v>365</v>
      </c>
      <c r="AH52" s="102" t="s">
        <v>357</v>
      </c>
      <c r="AI52" s="357">
        <f t="shared" si="1"/>
        <v>4</v>
      </c>
      <c r="AJ52" s="182">
        <f t="shared" si="2"/>
        <v>1</v>
      </c>
      <c r="AK52" s="182"/>
      <c r="AL52" s="265"/>
      <c r="AN52" s="80">
        <v>0.0</v>
      </c>
      <c r="AO52" s="80">
        <v>0.0</v>
      </c>
      <c r="AP52" s="80">
        <v>0.0</v>
      </c>
      <c r="AQ52" s="224">
        <v>0.0</v>
      </c>
      <c r="AR52" s="80">
        <v>0.0</v>
      </c>
      <c r="AS52" s="224">
        <v>3.0</v>
      </c>
      <c r="AT52" s="80">
        <v>0.0</v>
      </c>
      <c r="AU52" s="80">
        <v>0.0</v>
      </c>
      <c r="AV52" s="358">
        <f t="shared" si="3"/>
        <v>3</v>
      </c>
      <c r="AW52" s="358">
        <f t="shared" si="4"/>
        <v>1</v>
      </c>
    </row>
    <row r="53">
      <c r="A53" s="63">
        <v>52.0</v>
      </c>
      <c r="B53" s="48" t="s">
        <v>243</v>
      </c>
      <c r="C53" s="610" t="s">
        <v>244</v>
      </c>
      <c r="D53" s="48" t="s">
        <v>244</v>
      </c>
      <c r="E53" s="482" t="s">
        <v>856</v>
      </c>
      <c r="F53" s="611">
        <v>40243.0</v>
      </c>
      <c r="G53" s="612" t="s">
        <v>547</v>
      </c>
      <c r="H53" s="610" t="s">
        <v>67</v>
      </c>
      <c r="I53" s="610" t="s">
        <v>7</v>
      </c>
      <c r="J53" s="614" t="s">
        <v>1611</v>
      </c>
      <c r="K53" s="614">
        <v>1.0</v>
      </c>
      <c r="L53" s="546">
        <v>120.0</v>
      </c>
      <c r="M53" s="546">
        <v>275.0</v>
      </c>
      <c r="N53" s="235" t="s">
        <v>354</v>
      </c>
      <c r="O53" s="235" t="s">
        <v>354</v>
      </c>
      <c r="P53" s="235" t="s">
        <v>354</v>
      </c>
      <c r="Q53" s="72" t="s">
        <v>1638</v>
      </c>
      <c r="R53" s="151">
        <v>30.23</v>
      </c>
      <c r="S53" s="166">
        <v>0.0</v>
      </c>
      <c r="T53" s="551" t="s">
        <v>354</v>
      </c>
      <c r="U53" s="551" t="s">
        <v>354</v>
      </c>
      <c r="V53" s="551" t="s">
        <v>354</v>
      </c>
      <c r="W53" s="166">
        <v>0.0</v>
      </c>
      <c r="X53" s="166">
        <v>0.0</v>
      </c>
      <c r="Y53" s="166" t="s">
        <v>354</v>
      </c>
      <c r="Z53" s="166" t="s">
        <v>354</v>
      </c>
      <c r="AA53" s="56" t="s">
        <v>365</v>
      </c>
      <c r="AB53" s="26" t="s">
        <v>357</v>
      </c>
      <c r="AC53" s="548" t="s">
        <v>365</v>
      </c>
      <c r="AD53" s="105" t="s">
        <v>413</v>
      </c>
      <c r="AE53" s="549" t="s">
        <v>365</v>
      </c>
      <c r="AF53" s="26" t="s">
        <v>357</v>
      </c>
      <c r="AG53" s="36" t="s">
        <v>365</v>
      </c>
      <c r="AH53" s="102" t="s">
        <v>357</v>
      </c>
      <c r="AI53" s="357">
        <f t="shared" si="1"/>
        <v>4</v>
      </c>
      <c r="AJ53" s="182">
        <f t="shared" si="2"/>
        <v>1</v>
      </c>
      <c r="AK53" s="182"/>
      <c r="AL53" s="265"/>
      <c r="AN53" s="80">
        <v>0.0</v>
      </c>
      <c r="AO53" s="80">
        <v>0.0</v>
      </c>
      <c r="AP53" s="80">
        <v>0.0</v>
      </c>
      <c r="AQ53" s="224">
        <v>0.0</v>
      </c>
      <c r="AR53" s="224">
        <v>1.0</v>
      </c>
      <c r="AS53" s="224">
        <v>2.0</v>
      </c>
      <c r="AT53" s="80">
        <v>0.0</v>
      </c>
      <c r="AU53" s="80">
        <v>0.0</v>
      </c>
      <c r="AV53" s="358">
        <f t="shared" si="3"/>
        <v>3</v>
      </c>
      <c r="AW53" s="358">
        <f t="shared" si="4"/>
        <v>2</v>
      </c>
    </row>
    <row r="54">
      <c r="A54" s="63">
        <v>53.0</v>
      </c>
      <c r="B54" s="48" t="s">
        <v>246</v>
      </c>
      <c r="C54" s="610" t="s">
        <v>247</v>
      </c>
      <c r="D54" s="606" t="s">
        <v>869</v>
      </c>
      <c r="E54" s="604" t="s">
        <v>870</v>
      </c>
      <c r="F54" s="611">
        <v>40243.0</v>
      </c>
      <c r="G54" s="612" t="s">
        <v>547</v>
      </c>
      <c r="H54" s="610" t="s">
        <v>67</v>
      </c>
      <c r="I54" s="610" t="s">
        <v>7</v>
      </c>
      <c r="J54" s="614" t="s">
        <v>770</v>
      </c>
      <c r="K54" s="614">
        <v>1.0</v>
      </c>
      <c r="L54" s="546">
        <v>123.0</v>
      </c>
      <c r="M54" s="546">
        <v>225.0</v>
      </c>
      <c r="N54" s="235" t="s">
        <v>354</v>
      </c>
      <c r="O54" s="235" t="s">
        <v>354</v>
      </c>
      <c r="P54" s="235" t="s">
        <v>354</v>
      </c>
      <c r="Q54" s="235" t="s">
        <v>354</v>
      </c>
      <c r="R54" s="551">
        <v>0.0</v>
      </c>
      <c r="S54" s="166">
        <v>0.0</v>
      </c>
      <c r="T54" s="551" t="s">
        <v>354</v>
      </c>
      <c r="U54" s="551" t="s">
        <v>354</v>
      </c>
      <c r="V54" s="551" t="s">
        <v>354</v>
      </c>
      <c r="W54" s="166">
        <v>0.0</v>
      </c>
      <c r="X54" s="56">
        <v>36.15</v>
      </c>
      <c r="Y54" s="166" t="s">
        <v>356</v>
      </c>
      <c r="Z54" s="166" t="s">
        <v>354</v>
      </c>
      <c r="AA54" s="49" t="s">
        <v>356</v>
      </c>
      <c r="AB54" s="49" t="s">
        <v>354</v>
      </c>
      <c r="AC54" s="615" t="s">
        <v>356</v>
      </c>
      <c r="AD54" s="616" t="s">
        <v>354</v>
      </c>
      <c r="AE54" s="555" t="s">
        <v>356</v>
      </c>
      <c r="AF54" s="555" t="s">
        <v>354</v>
      </c>
      <c r="AG54" s="33" t="s">
        <v>356</v>
      </c>
      <c r="AH54" s="33" t="s">
        <v>354</v>
      </c>
      <c r="AI54" s="46">
        <f t="shared" si="1"/>
        <v>0</v>
      </c>
      <c r="AJ54" s="182">
        <f t="shared" si="2"/>
        <v>0</v>
      </c>
      <c r="AK54" s="182"/>
      <c r="AL54" s="265"/>
      <c r="AN54" s="80">
        <v>0.0</v>
      </c>
      <c r="AO54" s="80">
        <v>0.0</v>
      </c>
      <c r="AP54" s="80">
        <v>0.0</v>
      </c>
      <c r="AQ54" s="224">
        <v>0.0</v>
      </c>
      <c r="AR54" s="80">
        <v>0.0</v>
      </c>
      <c r="AS54" s="224">
        <v>0.0</v>
      </c>
      <c r="AT54" s="80">
        <v>0.0</v>
      </c>
      <c r="AU54" s="80">
        <v>0.0</v>
      </c>
      <c r="AV54" s="182">
        <f t="shared" si="3"/>
        <v>0</v>
      </c>
      <c r="AW54" s="182">
        <f t="shared" si="4"/>
        <v>0</v>
      </c>
    </row>
    <row r="55">
      <c r="A55" s="63">
        <v>54.0</v>
      </c>
      <c r="B55" s="48" t="s">
        <v>252</v>
      </c>
      <c r="C55" s="610" t="s">
        <v>253</v>
      </c>
      <c r="D55" s="63" t="s">
        <v>881</v>
      </c>
      <c r="E55" s="482" t="s">
        <v>882</v>
      </c>
      <c r="F55" s="611">
        <v>40243.0</v>
      </c>
      <c r="G55" s="612" t="s">
        <v>547</v>
      </c>
      <c r="H55" s="610" t="s">
        <v>67</v>
      </c>
      <c r="I55" s="610" t="s">
        <v>7</v>
      </c>
      <c r="J55" s="614" t="s">
        <v>1611</v>
      </c>
      <c r="K55" s="614">
        <v>0.0</v>
      </c>
      <c r="L55" s="492" t="s">
        <v>354</v>
      </c>
      <c r="M55" s="546">
        <v>275.0</v>
      </c>
      <c r="N55" s="235" t="s">
        <v>354</v>
      </c>
      <c r="O55" s="235" t="s">
        <v>354</v>
      </c>
      <c r="P55" s="235" t="s">
        <v>354</v>
      </c>
      <c r="Q55" s="72" t="s">
        <v>1639</v>
      </c>
      <c r="R55" s="151">
        <v>24.68</v>
      </c>
      <c r="S55" s="166">
        <v>0.0</v>
      </c>
      <c r="T55" s="551" t="s">
        <v>354</v>
      </c>
      <c r="U55" s="551" t="s">
        <v>354</v>
      </c>
      <c r="V55" s="551" t="s">
        <v>354</v>
      </c>
      <c r="W55" s="166">
        <v>0.0</v>
      </c>
      <c r="X55" s="166">
        <v>0.0</v>
      </c>
      <c r="Y55" s="166" t="s">
        <v>354</v>
      </c>
      <c r="Z55" s="166" t="s">
        <v>354</v>
      </c>
      <c r="AA55" s="49" t="s">
        <v>356</v>
      </c>
      <c r="AB55" s="49" t="s">
        <v>354</v>
      </c>
      <c r="AC55" s="560" t="s">
        <v>361</v>
      </c>
      <c r="AD55" s="560" t="s">
        <v>361</v>
      </c>
      <c r="AE55" s="549" t="s">
        <v>365</v>
      </c>
      <c r="AF55" s="99" t="s">
        <v>363</v>
      </c>
      <c r="AG55" s="36" t="s">
        <v>365</v>
      </c>
      <c r="AH55" s="617" t="s">
        <v>358</v>
      </c>
      <c r="AI55" s="357">
        <f t="shared" si="1"/>
        <v>3</v>
      </c>
      <c r="AJ55" s="182">
        <f t="shared" si="2"/>
        <v>1</v>
      </c>
      <c r="AK55" s="182"/>
      <c r="AL55" s="265"/>
      <c r="AN55" s="80">
        <v>0.0</v>
      </c>
      <c r="AO55" s="80">
        <v>0.0</v>
      </c>
      <c r="AP55" s="224">
        <v>1.0</v>
      </c>
      <c r="AQ55" s="224">
        <v>1.0</v>
      </c>
      <c r="AR55" s="80">
        <v>0.0</v>
      </c>
      <c r="AS55" s="224">
        <v>0.0</v>
      </c>
      <c r="AT55" s="80">
        <v>0.0</v>
      </c>
      <c r="AU55" s="80">
        <v>0.0</v>
      </c>
      <c r="AV55" s="358">
        <f t="shared" si="3"/>
        <v>2</v>
      </c>
      <c r="AW55" s="358">
        <f t="shared" si="4"/>
        <v>2</v>
      </c>
    </row>
    <row r="56">
      <c r="A56" s="63">
        <v>55.0</v>
      </c>
      <c r="B56" s="48" t="s">
        <v>256</v>
      </c>
      <c r="C56" s="610" t="s">
        <v>259</v>
      </c>
      <c r="D56" s="601" t="s">
        <v>888</v>
      </c>
      <c r="E56" s="602" t="s">
        <v>889</v>
      </c>
      <c r="F56" s="611">
        <v>40243.0</v>
      </c>
      <c r="G56" s="612" t="s">
        <v>547</v>
      </c>
      <c r="H56" s="610" t="s">
        <v>67</v>
      </c>
      <c r="I56" s="613" t="s">
        <v>37</v>
      </c>
      <c r="J56" s="614" t="s">
        <v>770</v>
      </c>
      <c r="K56" s="614">
        <v>0.0</v>
      </c>
      <c r="L56" s="492" t="s">
        <v>354</v>
      </c>
      <c r="M56" s="546">
        <v>200.0</v>
      </c>
      <c r="N56" s="235" t="s">
        <v>354</v>
      </c>
      <c r="O56" s="235" t="s">
        <v>354</v>
      </c>
      <c r="P56" s="235" t="s">
        <v>354</v>
      </c>
      <c r="Q56" s="72" t="s">
        <v>1640</v>
      </c>
      <c r="R56" s="151">
        <v>25.37</v>
      </c>
      <c r="S56" s="166">
        <v>0.0</v>
      </c>
      <c r="T56" s="551" t="s">
        <v>354</v>
      </c>
      <c r="U56" s="551" t="s">
        <v>354</v>
      </c>
      <c r="V56" s="551" t="s">
        <v>354</v>
      </c>
      <c r="W56" s="166">
        <v>0.0</v>
      </c>
      <c r="X56" s="56">
        <v>35.96</v>
      </c>
      <c r="Y56" s="166" t="s">
        <v>356</v>
      </c>
      <c r="Z56" s="166" t="s">
        <v>354</v>
      </c>
      <c r="AA56" s="56" t="s">
        <v>365</v>
      </c>
      <c r="AB56" s="65" t="s">
        <v>387</v>
      </c>
      <c r="AC56" s="548" t="s">
        <v>365</v>
      </c>
      <c r="AD56" s="619" t="s">
        <v>420</v>
      </c>
      <c r="AE56" s="549" t="s">
        <v>365</v>
      </c>
      <c r="AF56" s="26" t="s">
        <v>357</v>
      </c>
      <c r="AG56" s="36" t="s">
        <v>365</v>
      </c>
      <c r="AH56" s="617" t="s">
        <v>358</v>
      </c>
      <c r="AI56" s="357">
        <f t="shared" si="1"/>
        <v>4</v>
      </c>
      <c r="AJ56" s="182">
        <f t="shared" si="2"/>
        <v>1</v>
      </c>
      <c r="AK56" s="182"/>
      <c r="AL56" s="265"/>
      <c r="AN56" s="80">
        <v>0.0</v>
      </c>
      <c r="AO56" s="224">
        <v>1.0</v>
      </c>
      <c r="AP56" s="80">
        <v>0.0</v>
      </c>
      <c r="AQ56" s="224">
        <v>1.0</v>
      </c>
      <c r="AR56" s="80">
        <v>0.0</v>
      </c>
      <c r="AS56" s="224">
        <v>1.0</v>
      </c>
      <c r="AT56" s="80">
        <v>0.0</v>
      </c>
      <c r="AU56" s="80">
        <v>0.0</v>
      </c>
      <c r="AV56" s="358">
        <f t="shared" si="3"/>
        <v>3</v>
      </c>
      <c r="AW56" s="358">
        <f t="shared" si="4"/>
        <v>3</v>
      </c>
    </row>
    <row r="57">
      <c r="A57" s="63">
        <v>56.0</v>
      </c>
      <c r="B57" s="48" t="s">
        <v>261</v>
      </c>
      <c r="C57" s="610" t="s">
        <v>262</v>
      </c>
      <c r="D57" s="63" t="s">
        <v>899</v>
      </c>
      <c r="E57" s="482" t="s">
        <v>900</v>
      </c>
      <c r="F57" s="611">
        <v>40243.0</v>
      </c>
      <c r="G57" s="612" t="s">
        <v>547</v>
      </c>
      <c r="H57" s="610" t="s">
        <v>67</v>
      </c>
      <c r="I57" s="610" t="s">
        <v>7</v>
      </c>
      <c r="J57" s="614" t="s">
        <v>1611</v>
      </c>
      <c r="K57" s="614">
        <v>1.0</v>
      </c>
      <c r="L57" s="546">
        <v>123.0</v>
      </c>
      <c r="M57" s="546">
        <v>240.0</v>
      </c>
      <c r="N57" s="235" t="s">
        <v>354</v>
      </c>
      <c r="O57" s="235" t="s">
        <v>354</v>
      </c>
      <c r="P57" s="235" t="s">
        <v>354</v>
      </c>
      <c r="Q57" s="72" t="s">
        <v>901</v>
      </c>
      <c r="R57" s="551">
        <v>0.0</v>
      </c>
      <c r="S57" s="166">
        <v>0.0</v>
      </c>
      <c r="T57" s="551" t="s">
        <v>354</v>
      </c>
      <c r="U57" s="551" t="s">
        <v>354</v>
      </c>
      <c r="V57" s="551" t="s">
        <v>354</v>
      </c>
      <c r="W57" s="166">
        <v>0.0</v>
      </c>
      <c r="X57" s="166">
        <v>0.0</v>
      </c>
      <c r="Y57" s="166" t="s">
        <v>354</v>
      </c>
      <c r="Z57" s="166" t="s">
        <v>354</v>
      </c>
      <c r="AA57" s="49" t="s">
        <v>356</v>
      </c>
      <c r="AB57" s="49" t="s">
        <v>354</v>
      </c>
      <c r="AC57" s="615" t="s">
        <v>356</v>
      </c>
      <c r="AD57" s="616" t="s">
        <v>354</v>
      </c>
      <c r="AE57" s="549" t="s">
        <v>365</v>
      </c>
      <c r="AF57" s="164" t="s">
        <v>413</v>
      </c>
      <c r="AG57" s="33" t="s">
        <v>356</v>
      </c>
      <c r="AH57" s="33" t="s">
        <v>354</v>
      </c>
      <c r="AI57" s="357">
        <f t="shared" si="1"/>
        <v>1</v>
      </c>
      <c r="AJ57" s="182">
        <f t="shared" si="2"/>
        <v>1</v>
      </c>
      <c r="AK57" s="182"/>
      <c r="AL57" s="265"/>
      <c r="AN57" s="80">
        <v>0.0</v>
      </c>
      <c r="AO57" s="80">
        <v>0.0</v>
      </c>
      <c r="AP57" s="80">
        <v>0.0</v>
      </c>
      <c r="AQ57" s="224">
        <v>0.0</v>
      </c>
      <c r="AR57" s="224">
        <v>1.0</v>
      </c>
      <c r="AS57" s="224">
        <v>0.0</v>
      </c>
      <c r="AT57" s="80">
        <v>0.0</v>
      </c>
      <c r="AU57" s="80">
        <v>0.0</v>
      </c>
      <c r="AV57" s="363">
        <f t="shared" si="3"/>
        <v>1</v>
      </c>
      <c r="AW57" s="363">
        <f t="shared" si="4"/>
        <v>1</v>
      </c>
    </row>
    <row r="58">
      <c r="A58" s="63">
        <v>57.0</v>
      </c>
      <c r="B58" s="48" t="s">
        <v>264</v>
      </c>
      <c r="C58" s="610" t="s">
        <v>265</v>
      </c>
      <c r="D58" s="49" t="s">
        <v>906</v>
      </c>
      <c r="E58" s="18" t="s">
        <v>907</v>
      </c>
      <c r="F58" s="611">
        <v>40243.0</v>
      </c>
      <c r="G58" s="612" t="s">
        <v>547</v>
      </c>
      <c r="H58" s="610" t="s">
        <v>67</v>
      </c>
      <c r="I58" s="610" t="s">
        <v>7</v>
      </c>
      <c r="J58" s="614" t="s">
        <v>1611</v>
      </c>
      <c r="K58" s="614">
        <v>1.0</v>
      </c>
      <c r="L58" s="492" t="s">
        <v>354</v>
      </c>
      <c r="M58" s="546">
        <v>270.0</v>
      </c>
      <c r="N58" s="235" t="s">
        <v>354</v>
      </c>
      <c r="O58" s="235" t="s">
        <v>354</v>
      </c>
      <c r="P58" s="235" t="s">
        <v>354</v>
      </c>
      <c r="Q58" s="72" t="s">
        <v>1641</v>
      </c>
      <c r="R58" s="551">
        <v>0.0</v>
      </c>
      <c r="S58" s="166">
        <v>0.0</v>
      </c>
      <c r="T58" s="551" t="s">
        <v>354</v>
      </c>
      <c r="U58" s="551" t="s">
        <v>354</v>
      </c>
      <c r="V58" s="551" t="s">
        <v>354</v>
      </c>
      <c r="W58" s="166">
        <v>0.0</v>
      </c>
      <c r="X58" s="166">
        <v>0.0</v>
      </c>
      <c r="Y58" s="166" t="s">
        <v>354</v>
      </c>
      <c r="Z58" s="166" t="s">
        <v>354</v>
      </c>
      <c r="AA58" s="49" t="s">
        <v>356</v>
      </c>
      <c r="AB58" s="49" t="s">
        <v>354</v>
      </c>
      <c r="AC58" s="615" t="s">
        <v>356</v>
      </c>
      <c r="AD58" s="616" t="s">
        <v>354</v>
      </c>
      <c r="AE58" s="555" t="s">
        <v>356</v>
      </c>
      <c r="AF58" s="555" t="s">
        <v>354</v>
      </c>
      <c r="AG58" s="33" t="s">
        <v>356</v>
      </c>
      <c r="AH58" s="33" t="s">
        <v>354</v>
      </c>
      <c r="AI58" s="46">
        <f t="shared" si="1"/>
        <v>0</v>
      </c>
      <c r="AJ58" s="182">
        <f t="shared" si="2"/>
        <v>0</v>
      </c>
      <c r="AK58" s="182"/>
      <c r="AL58" s="265"/>
      <c r="AN58" s="80">
        <v>0.0</v>
      </c>
      <c r="AO58" s="80">
        <v>0.0</v>
      </c>
      <c r="AP58" s="80">
        <v>0.0</v>
      </c>
      <c r="AQ58" s="224">
        <v>0.0</v>
      </c>
      <c r="AR58" s="80">
        <v>0.0</v>
      </c>
      <c r="AS58" s="224">
        <v>0.0</v>
      </c>
      <c r="AT58" s="80">
        <v>0.0</v>
      </c>
      <c r="AU58" s="80">
        <v>0.0</v>
      </c>
      <c r="AV58" s="182">
        <f t="shared" si="3"/>
        <v>0</v>
      </c>
      <c r="AW58" s="182">
        <f t="shared" si="4"/>
        <v>0</v>
      </c>
    </row>
    <row r="59">
      <c r="A59" s="63">
        <v>58.0</v>
      </c>
      <c r="B59" s="48" t="s">
        <v>267</v>
      </c>
      <c r="C59" s="610" t="s">
        <v>268</v>
      </c>
      <c r="D59" s="48" t="s">
        <v>268</v>
      </c>
      <c r="E59" s="482" t="s">
        <v>1626</v>
      </c>
      <c r="F59" s="611">
        <v>40243.0</v>
      </c>
      <c r="G59" s="612" t="s">
        <v>547</v>
      </c>
      <c r="H59" s="610" t="s">
        <v>67</v>
      </c>
      <c r="I59" s="610" t="s">
        <v>7</v>
      </c>
      <c r="J59" s="614" t="s">
        <v>770</v>
      </c>
      <c r="K59" s="614">
        <v>1.0</v>
      </c>
      <c r="L59" s="546">
        <v>116.0</v>
      </c>
      <c r="M59" s="546">
        <v>240.0</v>
      </c>
      <c r="N59" s="235" t="s">
        <v>354</v>
      </c>
      <c r="O59" s="235" t="s">
        <v>354</v>
      </c>
      <c r="P59" s="235" t="s">
        <v>354</v>
      </c>
      <c r="Q59" s="72" t="s">
        <v>916</v>
      </c>
      <c r="R59" s="151">
        <v>26.35</v>
      </c>
      <c r="S59" s="166">
        <v>0.0</v>
      </c>
      <c r="T59" s="551" t="s">
        <v>354</v>
      </c>
      <c r="U59" s="551" t="s">
        <v>354</v>
      </c>
      <c r="V59" s="551" t="s">
        <v>354</v>
      </c>
      <c r="W59" s="166">
        <v>0.0</v>
      </c>
      <c r="X59" s="166">
        <v>0.0</v>
      </c>
      <c r="Y59" s="166" t="s">
        <v>354</v>
      </c>
      <c r="Z59" s="166" t="s">
        <v>354</v>
      </c>
      <c r="AA59" s="56" t="s">
        <v>365</v>
      </c>
      <c r="AB59" s="26" t="s">
        <v>357</v>
      </c>
      <c r="AC59" s="548" t="s">
        <v>365</v>
      </c>
      <c r="AD59" s="560" t="s">
        <v>1642</v>
      </c>
      <c r="AE59" s="549" t="s">
        <v>365</v>
      </c>
      <c r="AF59" s="561" t="s">
        <v>1643</v>
      </c>
      <c r="AG59" s="36" t="s">
        <v>365</v>
      </c>
      <c r="AH59" s="617" t="s">
        <v>358</v>
      </c>
      <c r="AI59" s="357">
        <f t="shared" si="1"/>
        <v>4</v>
      </c>
      <c r="AJ59" s="182">
        <f t="shared" si="2"/>
        <v>1</v>
      </c>
      <c r="AK59" s="182"/>
      <c r="AL59" s="265"/>
      <c r="AN59" s="80">
        <v>0.0</v>
      </c>
      <c r="AO59" s="80">
        <v>0.0</v>
      </c>
      <c r="AP59" s="224">
        <v>1.0</v>
      </c>
      <c r="AQ59" s="224">
        <v>0.0</v>
      </c>
      <c r="AR59" s="224">
        <v>2.0</v>
      </c>
      <c r="AS59" s="224">
        <v>2.0</v>
      </c>
      <c r="AT59" s="80">
        <v>0.0</v>
      </c>
      <c r="AU59" s="80">
        <v>0.0</v>
      </c>
      <c r="AV59" s="358">
        <f t="shared" si="3"/>
        <v>5</v>
      </c>
      <c r="AW59" s="358">
        <f t="shared" si="4"/>
        <v>3</v>
      </c>
    </row>
    <row r="60">
      <c r="A60" s="63">
        <v>59.0</v>
      </c>
      <c r="B60" s="48" t="s">
        <v>275</v>
      </c>
      <c r="C60" s="610" t="s">
        <v>278</v>
      </c>
      <c r="D60" s="48" t="s">
        <v>276</v>
      </c>
      <c r="E60" s="98" t="s">
        <v>932</v>
      </c>
      <c r="F60" s="611">
        <v>40243.0</v>
      </c>
      <c r="G60" s="612" t="s">
        <v>547</v>
      </c>
      <c r="H60" s="610" t="s">
        <v>67</v>
      </c>
      <c r="I60" s="613" t="s">
        <v>37</v>
      </c>
      <c r="J60" s="614" t="s">
        <v>770</v>
      </c>
      <c r="K60" s="614">
        <v>1.0</v>
      </c>
      <c r="L60" s="546">
        <v>118.0</v>
      </c>
      <c r="M60" s="546">
        <v>190.0</v>
      </c>
      <c r="N60" s="235" t="s">
        <v>354</v>
      </c>
      <c r="O60" s="235" t="s">
        <v>354</v>
      </c>
      <c r="P60" s="235" t="s">
        <v>354</v>
      </c>
      <c r="Q60" s="72" t="s">
        <v>933</v>
      </c>
      <c r="R60" s="151">
        <v>25.65</v>
      </c>
      <c r="S60" s="166">
        <v>0.0</v>
      </c>
      <c r="T60" s="551" t="s">
        <v>354</v>
      </c>
      <c r="U60" s="551" t="s">
        <v>354</v>
      </c>
      <c r="V60" s="551" t="s">
        <v>354</v>
      </c>
      <c r="W60" s="166">
        <v>0.0</v>
      </c>
      <c r="X60" s="166">
        <v>0.0</v>
      </c>
      <c r="Y60" s="166" t="s">
        <v>354</v>
      </c>
      <c r="Z60" s="166" t="s">
        <v>354</v>
      </c>
      <c r="AA60" s="56" t="s">
        <v>365</v>
      </c>
      <c r="AB60" s="58" t="s">
        <v>380</v>
      </c>
      <c r="AC60" s="548" t="s">
        <v>365</v>
      </c>
      <c r="AD60" s="102" t="s">
        <v>357</v>
      </c>
      <c r="AE60" s="549" t="s">
        <v>365</v>
      </c>
      <c r="AF60" s="26" t="s">
        <v>357</v>
      </c>
      <c r="AG60" s="43" t="s">
        <v>361</v>
      </c>
      <c r="AH60" s="43" t="s">
        <v>361</v>
      </c>
      <c r="AI60" s="357">
        <f t="shared" si="1"/>
        <v>3</v>
      </c>
      <c r="AJ60" s="182">
        <f t="shared" si="2"/>
        <v>1</v>
      </c>
      <c r="AK60" s="182"/>
      <c r="AL60" s="265"/>
      <c r="AN60" s="80">
        <v>0.0</v>
      </c>
      <c r="AO60" s="80">
        <v>0.0</v>
      </c>
      <c r="AP60" s="80">
        <v>0.0</v>
      </c>
      <c r="AQ60" s="224">
        <v>0.0</v>
      </c>
      <c r="AR60" s="80">
        <v>0.0</v>
      </c>
      <c r="AS60" s="224">
        <v>2.0</v>
      </c>
      <c r="AT60" s="224">
        <v>0.0</v>
      </c>
      <c r="AU60" s="80">
        <v>0.0</v>
      </c>
      <c r="AV60" s="358">
        <f t="shared" si="3"/>
        <v>2</v>
      </c>
      <c r="AW60" s="358">
        <f t="shared" si="4"/>
        <v>1</v>
      </c>
    </row>
    <row r="61">
      <c r="A61" s="63">
        <v>60.0</v>
      </c>
      <c r="B61" s="48" t="s">
        <v>281</v>
      </c>
      <c r="C61" s="610" t="s">
        <v>282</v>
      </c>
      <c r="D61" s="48" t="s">
        <v>282</v>
      </c>
      <c r="E61" s="98" t="s">
        <v>937</v>
      </c>
      <c r="F61" s="611">
        <v>40243.0</v>
      </c>
      <c r="G61" s="612" t="s">
        <v>547</v>
      </c>
      <c r="H61" s="610" t="s">
        <v>67</v>
      </c>
      <c r="I61" s="610" t="s">
        <v>7</v>
      </c>
      <c r="J61" s="614" t="s">
        <v>770</v>
      </c>
      <c r="K61" s="614">
        <v>1.0</v>
      </c>
      <c r="L61" s="492" t="s">
        <v>354</v>
      </c>
      <c r="M61" s="546">
        <v>275.0</v>
      </c>
      <c r="N61" s="235" t="s">
        <v>354</v>
      </c>
      <c r="O61" s="235" t="s">
        <v>354</v>
      </c>
      <c r="P61" s="235" t="s">
        <v>354</v>
      </c>
      <c r="Q61" s="235" t="s">
        <v>354</v>
      </c>
      <c r="R61" s="551">
        <v>0.0</v>
      </c>
      <c r="S61" s="166">
        <v>0.0</v>
      </c>
      <c r="T61" s="551" t="s">
        <v>354</v>
      </c>
      <c r="U61" s="551" t="s">
        <v>354</v>
      </c>
      <c r="V61" s="551" t="s">
        <v>354</v>
      </c>
      <c r="W61" s="166">
        <v>0.0</v>
      </c>
      <c r="X61" s="56">
        <v>38.31</v>
      </c>
      <c r="Y61" s="166" t="s">
        <v>356</v>
      </c>
      <c r="Z61" s="166" t="s">
        <v>354</v>
      </c>
      <c r="AA61" s="49" t="s">
        <v>356</v>
      </c>
      <c r="AB61" s="49" t="s">
        <v>354</v>
      </c>
      <c r="AC61" s="560" t="s">
        <v>361</v>
      </c>
      <c r="AD61" s="560" t="s">
        <v>361</v>
      </c>
      <c r="AE61" s="555" t="s">
        <v>356</v>
      </c>
      <c r="AF61" s="555" t="s">
        <v>354</v>
      </c>
      <c r="AG61" s="36" t="s">
        <v>365</v>
      </c>
      <c r="AH61" s="102" t="s">
        <v>357</v>
      </c>
      <c r="AI61" s="357">
        <f t="shared" si="1"/>
        <v>1</v>
      </c>
      <c r="AJ61" s="182">
        <f t="shared" si="2"/>
        <v>1</v>
      </c>
      <c r="AK61" s="182"/>
      <c r="AL61" s="265"/>
      <c r="AN61" s="80">
        <v>0.0</v>
      </c>
      <c r="AO61" s="224">
        <v>0.0</v>
      </c>
      <c r="AP61" s="80">
        <v>0.0</v>
      </c>
      <c r="AQ61" s="224">
        <v>0.0</v>
      </c>
      <c r="AR61" s="80">
        <v>0.0</v>
      </c>
      <c r="AS61" s="224">
        <v>1.0</v>
      </c>
      <c r="AT61" s="80">
        <v>0.0</v>
      </c>
      <c r="AU61" s="80">
        <v>0.0</v>
      </c>
      <c r="AV61" s="358">
        <f t="shared" si="3"/>
        <v>1</v>
      </c>
      <c r="AW61" s="358">
        <f t="shared" si="4"/>
        <v>1</v>
      </c>
    </row>
    <row r="62">
      <c r="A62" s="63">
        <v>61.0</v>
      </c>
      <c r="B62" s="48" t="s">
        <v>284</v>
      </c>
      <c r="C62" s="610" t="s">
        <v>287</v>
      </c>
      <c r="D62" s="63" t="s">
        <v>939</v>
      </c>
      <c r="E62" s="482" t="s">
        <v>940</v>
      </c>
      <c r="F62" s="611">
        <v>40243.0</v>
      </c>
      <c r="G62" s="612" t="s">
        <v>547</v>
      </c>
      <c r="H62" s="610" t="s">
        <v>67</v>
      </c>
      <c r="I62" s="610" t="s">
        <v>7</v>
      </c>
      <c r="J62" s="614" t="s">
        <v>1611</v>
      </c>
      <c r="K62" s="614">
        <v>1.0</v>
      </c>
      <c r="L62" s="492" t="s">
        <v>354</v>
      </c>
      <c r="M62" s="546">
        <v>270.0</v>
      </c>
      <c r="N62" s="235" t="s">
        <v>354</v>
      </c>
      <c r="O62" s="235" t="s">
        <v>354</v>
      </c>
      <c r="P62" s="235" t="s">
        <v>354</v>
      </c>
      <c r="Q62" s="235" t="s">
        <v>354</v>
      </c>
      <c r="R62" s="551">
        <v>0.0</v>
      </c>
      <c r="S62" s="166">
        <v>0.0</v>
      </c>
      <c r="T62" s="551" t="s">
        <v>354</v>
      </c>
      <c r="U62" s="551" t="s">
        <v>354</v>
      </c>
      <c r="V62" s="551" t="s">
        <v>354</v>
      </c>
      <c r="W62" s="166">
        <v>0.0</v>
      </c>
      <c r="X62" s="56">
        <v>38.52</v>
      </c>
      <c r="Y62" s="221" t="s">
        <v>365</v>
      </c>
      <c r="Z62" s="157" t="s">
        <v>1644</v>
      </c>
      <c r="AA62" s="49" t="s">
        <v>356</v>
      </c>
      <c r="AB62" s="49" t="s">
        <v>354</v>
      </c>
      <c r="AC62" s="615" t="s">
        <v>356</v>
      </c>
      <c r="AD62" s="616" t="s">
        <v>354</v>
      </c>
      <c r="AE62" s="555" t="s">
        <v>356</v>
      </c>
      <c r="AF62" s="555" t="s">
        <v>354</v>
      </c>
      <c r="AG62" s="36" t="s">
        <v>365</v>
      </c>
      <c r="AH62" s="155" t="s">
        <v>363</v>
      </c>
      <c r="AI62" s="357">
        <f t="shared" si="1"/>
        <v>1</v>
      </c>
      <c r="AJ62" s="182">
        <f t="shared" si="2"/>
        <v>1</v>
      </c>
      <c r="AK62" s="182"/>
      <c r="AL62" s="265"/>
      <c r="AN62" s="80">
        <v>0.0</v>
      </c>
      <c r="AO62" s="80">
        <v>0.0</v>
      </c>
      <c r="AP62" s="80">
        <v>0.0</v>
      </c>
      <c r="AQ62" s="224">
        <v>1.0</v>
      </c>
      <c r="AR62" s="80">
        <v>0.0</v>
      </c>
      <c r="AS62" s="224">
        <v>0.0</v>
      </c>
      <c r="AT62" s="80">
        <v>0.0</v>
      </c>
      <c r="AU62" s="80">
        <v>0.0</v>
      </c>
      <c r="AV62" s="363">
        <f t="shared" si="3"/>
        <v>1</v>
      </c>
      <c r="AW62" s="363">
        <f t="shared" si="4"/>
        <v>1</v>
      </c>
    </row>
    <row r="63">
      <c r="A63" s="63" t="s">
        <v>1606</v>
      </c>
      <c r="B63" s="48" t="s">
        <v>354</v>
      </c>
      <c r="C63" s="48" t="s">
        <v>354</v>
      </c>
      <c r="D63" s="48" t="s">
        <v>354</v>
      </c>
      <c r="E63" s="63" t="s">
        <v>354</v>
      </c>
      <c r="F63" s="63" t="s">
        <v>354</v>
      </c>
      <c r="G63" s="48" t="s">
        <v>354</v>
      </c>
      <c r="H63" s="63" t="s">
        <v>354</v>
      </c>
      <c r="I63" s="48" t="s">
        <v>354</v>
      </c>
      <c r="J63" s="235" t="s">
        <v>354</v>
      </c>
      <c r="K63" s="235" t="s">
        <v>354</v>
      </c>
      <c r="L63" s="235" t="s">
        <v>354</v>
      </c>
      <c r="M63" s="235" t="s">
        <v>354</v>
      </c>
      <c r="N63" s="235" t="s">
        <v>354</v>
      </c>
      <c r="O63" s="235" t="s">
        <v>354</v>
      </c>
      <c r="P63" s="235" t="s">
        <v>354</v>
      </c>
      <c r="Q63" s="235" t="s">
        <v>354</v>
      </c>
      <c r="R63" s="151">
        <v>19.11</v>
      </c>
      <c r="S63" s="151">
        <v>24.7</v>
      </c>
      <c r="T63" s="551" t="s">
        <v>354</v>
      </c>
      <c r="U63" s="551" t="s">
        <v>354</v>
      </c>
      <c r="V63" s="551" t="s">
        <v>354</v>
      </c>
      <c r="W63" s="151">
        <v>17.64</v>
      </c>
      <c r="X63" s="56">
        <v>34.47</v>
      </c>
      <c r="Y63" s="221" t="s">
        <v>365</v>
      </c>
      <c r="Z63" s="166" t="s">
        <v>1399</v>
      </c>
      <c r="AA63" s="49" t="s">
        <v>354</v>
      </c>
      <c r="AB63" s="49" t="s">
        <v>354</v>
      </c>
      <c r="AC63" s="548" t="s">
        <v>365</v>
      </c>
      <c r="AD63" s="615" t="s">
        <v>1607</v>
      </c>
      <c r="AE63" s="549" t="s">
        <v>365</v>
      </c>
      <c r="AF63" s="555" t="s">
        <v>1607</v>
      </c>
      <c r="AG63" s="36" t="s">
        <v>365</v>
      </c>
      <c r="AH63" s="23" t="s">
        <v>1607</v>
      </c>
      <c r="AI63" s="46">
        <f t="shared" si="1"/>
        <v>4</v>
      </c>
      <c r="AJ63" s="182">
        <f t="shared" si="2"/>
        <v>1</v>
      </c>
      <c r="AK63" s="182"/>
      <c r="AL63" s="265"/>
      <c r="AM63" s="235" t="s">
        <v>1507</v>
      </c>
      <c r="AN63" s="265">
        <f t="shared" ref="AN63:AU63" si="5">sum(AN2:AN62)</f>
        <v>3</v>
      </c>
      <c r="AO63" s="265">
        <f t="shared" si="5"/>
        <v>6</v>
      </c>
      <c r="AP63" s="265">
        <f t="shared" si="5"/>
        <v>18</v>
      </c>
      <c r="AQ63" s="265">
        <f t="shared" si="5"/>
        <v>17</v>
      </c>
      <c r="AR63" s="265">
        <f t="shared" si="5"/>
        <v>11</v>
      </c>
      <c r="AS63" s="265">
        <f t="shared" si="5"/>
        <v>72</v>
      </c>
      <c r="AT63" s="265">
        <f t="shared" si="5"/>
        <v>3</v>
      </c>
      <c r="AU63" s="265">
        <f t="shared" si="5"/>
        <v>2</v>
      </c>
      <c r="AV63" s="182">
        <f t="shared" si="3"/>
        <v>132</v>
      </c>
      <c r="AW63" s="182"/>
    </row>
    <row r="64">
      <c r="A64" s="63" t="s">
        <v>1608</v>
      </c>
      <c r="B64" s="48" t="s">
        <v>354</v>
      </c>
      <c r="C64" s="48" t="s">
        <v>354</v>
      </c>
      <c r="D64" s="48" t="s">
        <v>354</v>
      </c>
      <c r="E64" s="63" t="s">
        <v>354</v>
      </c>
      <c r="F64" s="63" t="s">
        <v>354</v>
      </c>
      <c r="G64" s="48" t="s">
        <v>354</v>
      </c>
      <c r="H64" s="63" t="s">
        <v>354</v>
      </c>
      <c r="I64" s="48" t="s">
        <v>354</v>
      </c>
      <c r="J64" s="235" t="s">
        <v>354</v>
      </c>
      <c r="K64" s="235" t="s">
        <v>354</v>
      </c>
      <c r="L64" s="235" t="s">
        <v>354</v>
      </c>
      <c r="M64" s="235" t="s">
        <v>354</v>
      </c>
      <c r="N64" s="235" t="s">
        <v>354</v>
      </c>
      <c r="O64" s="235" t="s">
        <v>354</v>
      </c>
      <c r="P64" s="235" t="s">
        <v>354</v>
      </c>
      <c r="Q64" s="235" t="s">
        <v>354</v>
      </c>
      <c r="R64" s="551">
        <v>0.0</v>
      </c>
      <c r="S64" s="166">
        <v>0.0</v>
      </c>
      <c r="T64" s="551" t="s">
        <v>354</v>
      </c>
      <c r="U64" s="551" t="s">
        <v>354</v>
      </c>
      <c r="V64" s="551" t="s">
        <v>354</v>
      </c>
      <c r="W64" s="166">
        <v>0.0</v>
      </c>
      <c r="X64" s="166">
        <v>0.0</v>
      </c>
      <c r="Y64" s="166" t="s">
        <v>354</v>
      </c>
      <c r="Z64" s="166" t="s">
        <v>354</v>
      </c>
      <c r="AA64" s="49" t="s">
        <v>354</v>
      </c>
      <c r="AB64" s="49" t="s">
        <v>354</v>
      </c>
      <c r="AC64" s="615" t="s">
        <v>356</v>
      </c>
      <c r="AD64" s="616" t="s">
        <v>354</v>
      </c>
      <c r="AE64" s="555" t="s">
        <v>356</v>
      </c>
      <c r="AF64" s="555" t="s">
        <v>354</v>
      </c>
      <c r="AG64" s="33" t="s">
        <v>356</v>
      </c>
      <c r="AH64" s="33" t="s">
        <v>354</v>
      </c>
      <c r="AI64" s="46">
        <f t="shared" si="1"/>
        <v>0</v>
      </c>
      <c r="AJ64" s="182">
        <f t="shared" si="2"/>
        <v>0</v>
      </c>
      <c r="AK64" s="182"/>
      <c r="AL64" s="265"/>
      <c r="AM64" s="235" t="s">
        <v>1406</v>
      </c>
      <c r="AN64" s="300">
        <f t="shared" ref="AN64:AU64" si="6">AN63/$AV$63</f>
        <v>0.02272727273</v>
      </c>
      <c r="AO64" s="300">
        <f t="shared" si="6"/>
        <v>0.04545454545</v>
      </c>
      <c r="AP64" s="300">
        <f t="shared" si="6"/>
        <v>0.1363636364</v>
      </c>
      <c r="AQ64" s="300">
        <f t="shared" si="6"/>
        <v>0.1287878788</v>
      </c>
      <c r="AR64" s="300">
        <f t="shared" si="6"/>
        <v>0.08333333333</v>
      </c>
      <c r="AS64" s="300">
        <f t="shared" si="6"/>
        <v>0.5454545455</v>
      </c>
      <c r="AT64" s="300">
        <f t="shared" si="6"/>
        <v>0.02272727273</v>
      </c>
      <c r="AU64" s="300">
        <f t="shared" si="6"/>
        <v>0.01515151515</v>
      </c>
      <c r="AV64" s="380">
        <f t="shared" si="3"/>
        <v>1</v>
      </c>
      <c r="AW64" s="182"/>
    </row>
    <row r="65">
      <c r="A65" s="182"/>
      <c r="B65" s="182"/>
      <c r="C65" s="182"/>
      <c r="D65" s="182"/>
      <c r="E65" s="182"/>
      <c r="F65" s="182"/>
      <c r="G65" s="182"/>
      <c r="H65" s="182"/>
      <c r="I65" s="182"/>
      <c r="J65" s="464"/>
      <c r="K65" s="464"/>
      <c r="L65" s="464"/>
      <c r="M65" s="464"/>
      <c r="N65" s="464"/>
      <c r="O65" s="464"/>
      <c r="P65" s="464"/>
      <c r="Q65" s="464"/>
      <c r="R65" s="46"/>
      <c r="S65" s="46"/>
      <c r="T65" s="46"/>
      <c r="U65" s="46"/>
      <c r="V65" s="46"/>
      <c r="W65" s="46"/>
      <c r="X65" s="46"/>
      <c r="Y65" s="46"/>
      <c r="Z65" s="46"/>
      <c r="AA65" s="46"/>
      <c r="AB65" s="46"/>
      <c r="AC65" s="46"/>
      <c r="AD65" s="46"/>
      <c r="AE65" s="46"/>
      <c r="AF65" s="46"/>
      <c r="AG65" s="46"/>
      <c r="AH65" s="46"/>
      <c r="AI65" s="182"/>
      <c r="AJ65" s="182"/>
      <c r="AK65" s="182"/>
      <c r="AL65" s="265"/>
      <c r="AN65" s="265"/>
      <c r="AO65" s="265"/>
      <c r="AP65" s="265"/>
      <c r="AQ65" s="265"/>
      <c r="AR65" s="265"/>
      <c r="AS65" s="265"/>
      <c r="AT65" s="265"/>
      <c r="AU65" s="265"/>
      <c r="AV65" s="265"/>
      <c r="AW65" s="265"/>
    </row>
    <row r="66">
      <c r="A66" s="182"/>
      <c r="B66" s="182"/>
      <c r="C66" s="182"/>
      <c r="D66" s="182"/>
      <c r="E66" s="182"/>
      <c r="F66" s="182"/>
      <c r="G66" s="182"/>
      <c r="H66" s="182"/>
      <c r="I66" s="182"/>
      <c r="J66" s="464"/>
      <c r="K66" s="464"/>
      <c r="L66" s="464"/>
      <c r="M66" s="464"/>
      <c r="N66" s="464"/>
      <c r="O66" s="464"/>
      <c r="P66" s="464"/>
      <c r="Q66" s="464"/>
      <c r="R66" s="46">
        <f>COUNTIF(R2:R62,"&gt;0")</f>
        <v>39</v>
      </c>
      <c r="S66" s="46"/>
      <c r="T66" s="46"/>
      <c r="U66" s="46"/>
      <c r="V66" s="46"/>
      <c r="W66" s="46"/>
      <c r="X66" s="265"/>
      <c r="Y66" s="265"/>
      <c r="Z66" s="265"/>
      <c r="AA66" s="265"/>
      <c r="AB66" s="265"/>
      <c r="AC66" s="46">
        <f>COUNTIF(AC2:AC62,"POS")</f>
        <v>37</v>
      </c>
      <c r="AD66" s="46"/>
      <c r="AE66" s="46">
        <f>COUNTIF(AE2:AE62,"POS")</f>
        <v>46</v>
      </c>
      <c r="AF66" s="46"/>
      <c r="AG66" s="46">
        <f>COUNTIF(AG2:AG62,"POS")</f>
        <v>46</v>
      </c>
      <c r="AH66" s="46"/>
      <c r="AI66" s="372">
        <f>COUNTIF($AI$2:$AI$62,"&gt;0")</f>
        <v>57</v>
      </c>
      <c r="AJ66" s="372">
        <f>COUNTIF($AI$2:$AI$62,"&gt;1")</f>
        <v>46</v>
      </c>
      <c r="AK66" s="372">
        <f>COUNTIF($AI$2:$AI$62,"&gt;2")</f>
        <v>38</v>
      </c>
      <c r="AL66" s="372">
        <f>COUNTIF($AI$2:$AI$62,"&gt;3")</f>
        <v>27</v>
      </c>
      <c r="AM66" s="373">
        <f>countif(AW2:AW62,"&gt;1")</f>
        <v>17</v>
      </c>
      <c r="AN66" s="157">
        <v>0.0</v>
      </c>
      <c r="AO66" s="157">
        <v>0.0</v>
      </c>
      <c r="AP66" s="157">
        <v>4.0</v>
      </c>
      <c r="AQ66" s="157">
        <v>6.0</v>
      </c>
      <c r="AR66" s="157">
        <v>2.0</v>
      </c>
      <c r="AS66" s="157">
        <v>24.0</v>
      </c>
      <c r="AT66" s="157">
        <v>2.0</v>
      </c>
      <c r="AU66" s="157">
        <v>2.0</v>
      </c>
      <c r="AV66" s="265"/>
      <c r="AW66" s="265"/>
    </row>
    <row r="67">
      <c r="A67" s="182"/>
      <c r="B67" s="182"/>
      <c r="C67" s="182"/>
      <c r="D67" s="182"/>
      <c r="E67" s="182"/>
      <c r="F67" s="182"/>
      <c r="G67" s="182"/>
      <c r="H67" s="182"/>
      <c r="I67" s="182"/>
      <c r="J67" s="464"/>
      <c r="K67" s="464"/>
      <c r="L67" s="464"/>
      <c r="M67" s="464"/>
      <c r="N67" s="464"/>
      <c r="O67" s="464"/>
      <c r="P67" s="464"/>
      <c r="Q67" s="464"/>
      <c r="R67" s="46">
        <f>COUNT($A$2:$A$62)</f>
        <v>61</v>
      </c>
      <c r="S67" s="46"/>
      <c r="T67" s="46"/>
      <c r="U67" s="46"/>
      <c r="V67" s="46"/>
      <c r="W67" s="46"/>
      <c r="X67" s="265"/>
      <c r="Y67" s="265"/>
      <c r="Z67" s="265"/>
      <c r="AA67" s="265"/>
      <c r="AB67" s="265"/>
      <c r="AC67" s="46">
        <f>COUNT($A$2:$A$62)</f>
        <v>61</v>
      </c>
      <c r="AD67" s="46"/>
      <c r="AE67" s="46">
        <f>COUNT($A$2:$A$62)</f>
        <v>61</v>
      </c>
      <c r="AF67" s="46"/>
      <c r="AG67" s="46">
        <f>COUNT($A$2:$A$62)</f>
        <v>61</v>
      </c>
      <c r="AH67" s="46"/>
      <c r="AI67" s="372">
        <f t="shared" ref="AI67:AK67" si="7">COUNT($A$2:$A$62)</f>
        <v>61</v>
      </c>
      <c r="AJ67" s="372">
        <f t="shared" si="7"/>
        <v>61</v>
      </c>
      <c r="AK67" s="372">
        <f t="shared" si="7"/>
        <v>61</v>
      </c>
      <c r="AL67" s="313">
        <v>61.0</v>
      </c>
      <c r="AM67" s="313">
        <v>61.0</v>
      </c>
      <c r="AN67" s="265"/>
      <c r="AO67" s="265"/>
      <c r="AP67" s="265"/>
      <c r="AQ67" s="265"/>
      <c r="AR67" s="265"/>
      <c r="AS67" s="265"/>
      <c r="AT67" s="265"/>
      <c r="AU67" s="265"/>
      <c r="AV67" s="265"/>
      <c r="AW67" s="265"/>
    </row>
    <row r="68">
      <c r="A68" s="182"/>
      <c r="B68" s="182"/>
      <c r="C68" s="182"/>
      <c r="D68" s="182"/>
      <c r="E68" s="182"/>
      <c r="F68" s="182"/>
      <c r="G68" s="182"/>
      <c r="H68" s="182"/>
      <c r="I68" s="182"/>
      <c r="J68" s="464"/>
      <c r="K68" s="464"/>
      <c r="L68" s="464"/>
      <c r="M68" s="464"/>
      <c r="N68" s="464"/>
      <c r="O68" s="464"/>
      <c r="P68" s="464"/>
      <c r="Q68" s="464"/>
      <c r="R68" s="374">
        <f>R66/R67</f>
        <v>0.6393442623</v>
      </c>
      <c r="S68" s="46"/>
      <c r="T68" s="46"/>
      <c r="U68" s="46"/>
      <c r="V68" s="46"/>
      <c r="W68" s="46"/>
      <c r="X68" s="265"/>
      <c r="Y68" s="265"/>
      <c r="Z68" s="265"/>
      <c r="AA68" s="265"/>
      <c r="AB68" s="265"/>
      <c r="AC68" s="374">
        <f>AC66/AC67</f>
        <v>0.606557377</v>
      </c>
      <c r="AD68" s="46"/>
      <c r="AE68" s="374">
        <f>AE66/AE67</f>
        <v>0.7540983607</v>
      </c>
      <c r="AF68" s="46"/>
      <c r="AG68" s="374">
        <f>AG66/AG67</f>
        <v>0.7540983607</v>
      </c>
      <c r="AH68" s="46"/>
      <c r="AI68" s="564">
        <f t="shared" ref="AI68:AM68" si="8">AI66/AI67</f>
        <v>0.9344262295</v>
      </c>
      <c r="AJ68" s="564">
        <f t="shared" si="8"/>
        <v>0.7540983607</v>
      </c>
      <c r="AK68" s="564">
        <f t="shared" si="8"/>
        <v>0.6229508197</v>
      </c>
      <c r="AL68" s="564">
        <f t="shared" si="8"/>
        <v>0.4426229508</v>
      </c>
      <c r="AM68" s="621">
        <f t="shared" si="8"/>
        <v>0.2786885246</v>
      </c>
      <c r="AN68" s="265"/>
      <c r="AO68" s="265"/>
      <c r="AP68" s="265"/>
      <c r="AQ68" s="265"/>
      <c r="AR68" s="265"/>
      <c r="AS68" s="265"/>
      <c r="AT68" s="265"/>
      <c r="AU68" s="265"/>
      <c r="AV68" s="265"/>
      <c r="AW68" s="265"/>
    </row>
    <row r="69">
      <c r="A69" s="182"/>
      <c r="B69" s="182"/>
      <c r="C69" s="182"/>
      <c r="D69" s="182"/>
      <c r="E69" s="182"/>
      <c r="F69" s="182"/>
      <c r="G69" s="182"/>
      <c r="H69" s="182"/>
      <c r="I69" s="182"/>
      <c r="J69" s="464"/>
      <c r="K69" s="464"/>
      <c r="L69" s="464"/>
      <c r="M69" s="464"/>
      <c r="N69" s="464"/>
      <c r="O69" s="464"/>
      <c r="P69" s="464"/>
      <c r="Q69" s="464"/>
      <c r="R69" s="46"/>
      <c r="S69" s="46"/>
      <c r="T69" s="46"/>
      <c r="U69" s="46"/>
      <c r="V69" s="46"/>
      <c r="W69" s="46"/>
      <c r="X69" s="265"/>
      <c r="Y69" s="265"/>
      <c r="Z69" s="265"/>
      <c r="AA69" s="265"/>
      <c r="AB69" s="265"/>
      <c r="AC69" s="46"/>
      <c r="AD69" s="46"/>
      <c r="AE69" s="46"/>
      <c r="AF69" s="46"/>
      <c r="AG69" s="46"/>
      <c r="AH69" s="46"/>
      <c r="AI69" s="372" t="s">
        <v>1401</v>
      </c>
      <c r="AJ69" s="372" t="s">
        <v>1402</v>
      </c>
      <c r="AK69" s="372" t="s">
        <v>1403</v>
      </c>
      <c r="AL69" s="313" t="s">
        <v>1404</v>
      </c>
      <c r="AM69" s="373" t="s">
        <v>1376</v>
      </c>
      <c r="AN69" s="265"/>
      <c r="AO69" s="265"/>
      <c r="AP69" s="265"/>
      <c r="AQ69" s="265"/>
      <c r="AR69" s="265"/>
      <c r="AS69" s="265"/>
      <c r="AT69" s="265"/>
      <c r="AU69" s="265"/>
      <c r="AV69" s="265"/>
      <c r="AW69" s="265"/>
    </row>
    <row r="70">
      <c r="A70" s="182"/>
      <c r="B70" s="182"/>
      <c r="C70" s="182"/>
      <c r="D70" s="182"/>
      <c r="E70" s="182"/>
      <c r="F70" s="182"/>
      <c r="G70" s="182"/>
      <c r="H70" s="182"/>
      <c r="I70" s="182"/>
      <c r="J70" s="464"/>
      <c r="K70" s="464"/>
      <c r="L70" s="464"/>
      <c r="M70" s="464"/>
      <c r="N70" s="464"/>
      <c r="O70" s="464"/>
      <c r="P70" s="464"/>
      <c r="Q70" s="464"/>
      <c r="R70" s="46"/>
      <c r="S70" s="46"/>
      <c r="T70" s="46"/>
      <c r="U70" s="46"/>
      <c r="V70" s="46"/>
      <c r="W70" s="46"/>
      <c r="X70" s="46"/>
      <c r="Y70" s="46"/>
      <c r="Z70" s="46"/>
      <c r="AA70" s="46"/>
      <c r="AB70" s="46"/>
      <c r="AC70" s="46"/>
      <c r="AD70" s="46"/>
      <c r="AE70" s="46"/>
      <c r="AF70" s="46"/>
      <c r="AG70" s="46"/>
      <c r="AH70" s="46"/>
      <c r="AI70" s="182"/>
      <c r="AJ70" s="182"/>
      <c r="AK70" s="182"/>
      <c r="AL70" s="265"/>
      <c r="AN70" s="265"/>
      <c r="AO70" s="265"/>
      <c r="AP70" s="265"/>
      <c r="AQ70" s="265"/>
      <c r="AR70" s="265"/>
      <c r="AS70" s="265"/>
      <c r="AT70" s="265"/>
      <c r="AU70" s="265"/>
      <c r="AV70" s="265"/>
      <c r="AW70" s="265"/>
    </row>
    <row r="71">
      <c r="A71" s="182"/>
      <c r="B71" s="182"/>
      <c r="C71" s="182"/>
      <c r="D71" s="182"/>
      <c r="E71" s="182"/>
      <c r="F71" s="182"/>
      <c r="G71" s="182"/>
      <c r="H71" s="182"/>
      <c r="I71" s="182"/>
      <c r="J71" s="464"/>
      <c r="K71" s="464"/>
      <c r="L71" s="464"/>
      <c r="M71" s="331" t="s">
        <v>1497</v>
      </c>
      <c r="N71" s="345" t="s">
        <v>389</v>
      </c>
      <c r="O71" s="346" t="s">
        <v>420</v>
      </c>
      <c r="P71" s="347" t="s">
        <v>358</v>
      </c>
      <c r="Q71" s="348" t="s">
        <v>363</v>
      </c>
      <c r="R71" s="349" t="s">
        <v>413</v>
      </c>
      <c r="S71" s="350" t="s">
        <v>357</v>
      </c>
      <c r="T71" s="351" t="s">
        <v>380</v>
      </c>
      <c r="U71" s="352" t="s">
        <v>387</v>
      </c>
      <c r="V71" s="566" t="s">
        <v>1427</v>
      </c>
      <c r="W71" s="408" t="s">
        <v>1190</v>
      </c>
      <c r="X71" s="567" t="s">
        <v>1214</v>
      </c>
      <c r="Y71" s="568" t="s">
        <v>1120</v>
      </c>
      <c r="Z71" s="569" t="s">
        <v>1188</v>
      </c>
      <c r="AA71" s="570" t="s">
        <v>1428</v>
      </c>
      <c r="AB71" s="571" t="s">
        <v>1429</v>
      </c>
      <c r="AC71" s="572" t="s">
        <v>1178</v>
      </c>
      <c r="AD71" s="573" t="s">
        <v>1145</v>
      </c>
      <c r="AE71" s="417" t="s">
        <v>1301</v>
      </c>
      <c r="AF71" s="574" t="s">
        <v>1130</v>
      </c>
      <c r="AG71" s="575" t="s">
        <v>1314</v>
      </c>
      <c r="AH71" s="576" t="s">
        <v>1431</v>
      </c>
      <c r="AI71" s="577" t="s">
        <v>1095</v>
      </c>
      <c r="AJ71" s="578" t="s">
        <v>1103</v>
      </c>
      <c r="AK71" s="579" t="s">
        <v>1090</v>
      </c>
      <c r="AL71" s="580" t="s">
        <v>1296</v>
      </c>
      <c r="AM71" s="581" t="s">
        <v>1270</v>
      </c>
      <c r="AN71" s="582" t="s">
        <v>1115</v>
      </c>
      <c r="AO71" s="583" t="s">
        <v>1089</v>
      </c>
      <c r="AP71" s="584" t="s">
        <v>1182</v>
      </c>
      <c r="AQ71" s="585" t="s">
        <v>1298</v>
      </c>
      <c r="AR71" s="586" t="s">
        <v>1163</v>
      </c>
      <c r="AS71" s="587" t="s">
        <v>1223</v>
      </c>
      <c r="AT71" s="588" t="s">
        <v>1441</v>
      </c>
      <c r="AU71" s="589" t="s">
        <v>1129</v>
      </c>
      <c r="AV71" s="590" t="s">
        <v>1447</v>
      </c>
      <c r="AW71" s="591" t="s">
        <v>1454</v>
      </c>
    </row>
    <row r="72">
      <c r="A72" s="182"/>
      <c r="B72" s="182"/>
      <c r="C72" s="182"/>
      <c r="D72" s="182"/>
      <c r="E72" s="182"/>
      <c r="F72" s="182"/>
      <c r="G72" s="182"/>
      <c r="H72" s="182"/>
      <c r="I72" s="182"/>
      <c r="J72" s="464"/>
      <c r="K72" s="464"/>
      <c r="L72" s="464"/>
      <c r="M72" s="468">
        <f>correl(N72:U72,AN63:AU63)</f>
        <v>0.9754238452</v>
      </c>
      <c r="N72" s="76">
        <f t="shared" ref="N72:U72" si="9">countif(AN2:AN62,"&gt;0")</f>
        <v>3</v>
      </c>
      <c r="O72" s="76">
        <f t="shared" si="9"/>
        <v>5</v>
      </c>
      <c r="P72" s="76">
        <f t="shared" si="9"/>
        <v>12</v>
      </c>
      <c r="Q72" s="76">
        <f t="shared" si="9"/>
        <v>15</v>
      </c>
      <c r="R72" s="76">
        <f t="shared" si="9"/>
        <v>7</v>
      </c>
      <c r="S72" s="76">
        <f t="shared" si="9"/>
        <v>32</v>
      </c>
      <c r="T72" s="76">
        <f t="shared" si="9"/>
        <v>3</v>
      </c>
      <c r="U72" s="76">
        <f t="shared" si="9"/>
        <v>2</v>
      </c>
      <c r="V72" s="592">
        <f t="shared" ref="V72:AB72" si="10">countifs($AN$2:$AN$62,"&gt;0",AO2:AO62,"&gt;0")</f>
        <v>1</v>
      </c>
      <c r="W72" s="592">
        <f t="shared" si="10"/>
        <v>2</v>
      </c>
      <c r="X72" s="592">
        <f t="shared" si="10"/>
        <v>1</v>
      </c>
      <c r="Y72" s="265">
        <f t="shared" si="10"/>
        <v>0</v>
      </c>
      <c r="Z72" s="265">
        <f t="shared" si="10"/>
        <v>0</v>
      </c>
      <c r="AA72" s="265">
        <f t="shared" si="10"/>
        <v>0</v>
      </c>
      <c r="AB72" s="265">
        <f t="shared" si="10"/>
        <v>0</v>
      </c>
      <c r="AC72" s="592">
        <f t="shared" ref="AC72:AH72" si="11">countifs($AO$2:$AO$62,"&gt;0",AP2:AP62,"&gt;0")</f>
        <v>3</v>
      </c>
      <c r="AD72" s="592">
        <f t="shared" si="11"/>
        <v>2</v>
      </c>
      <c r="AE72" s="265">
        <f t="shared" si="11"/>
        <v>0</v>
      </c>
      <c r="AF72" s="592">
        <f t="shared" si="11"/>
        <v>1</v>
      </c>
      <c r="AG72" s="592">
        <f t="shared" si="11"/>
        <v>1</v>
      </c>
      <c r="AH72" s="265">
        <f t="shared" si="11"/>
        <v>0</v>
      </c>
      <c r="AI72" s="592">
        <f t="shared" ref="AI72:AM72" si="12">countifs($AP$2:$AP$62,"&gt;0",AQ2:AQ62,"&gt;0")</f>
        <v>1</v>
      </c>
      <c r="AJ72" s="592">
        <f t="shared" si="12"/>
        <v>3</v>
      </c>
      <c r="AK72" s="592">
        <f t="shared" si="12"/>
        <v>2</v>
      </c>
      <c r="AL72" s="592">
        <f t="shared" si="12"/>
        <v>1</v>
      </c>
      <c r="AM72" s="265">
        <f t="shared" si="12"/>
        <v>0</v>
      </c>
      <c r="AN72" s="592">
        <f t="shared" ref="AN72:AQ72" si="13">countifs($AQ$2:$AQ$62,"&gt;0",AR2:AR62,"&gt;0")</f>
        <v>1</v>
      </c>
      <c r="AO72" s="592">
        <f t="shared" si="13"/>
        <v>5</v>
      </c>
      <c r="AP72" s="265">
        <f t="shared" si="13"/>
        <v>0</v>
      </c>
      <c r="AQ72" s="265">
        <f t="shared" si="13"/>
        <v>0</v>
      </c>
      <c r="AR72" s="592">
        <f t="shared" ref="AR72:AT72" si="14">countifs($AR$2:$AR$62,"&gt;0",AS2:AS62,"&gt;0")</f>
        <v>3</v>
      </c>
      <c r="AS72" s="265">
        <f t="shared" si="14"/>
        <v>0</v>
      </c>
      <c r="AT72" s="265">
        <f t="shared" si="14"/>
        <v>0</v>
      </c>
      <c r="AU72" s="265">
        <f t="shared" ref="AU72:AV72" si="15">countifs($AS$2:$AS$62,"&gt;0",AT2:AT62,"&gt;0")</f>
        <v>0</v>
      </c>
      <c r="AV72" s="265">
        <f t="shared" si="15"/>
        <v>0</v>
      </c>
      <c r="AW72" s="265">
        <f>countifs($AT$2:$AT$62,"&gt;0",AU2:AU62,"&gt;0")</f>
        <v>0</v>
      </c>
    </row>
    <row r="73">
      <c r="A73" s="182"/>
      <c r="B73" s="182"/>
      <c r="C73" s="182"/>
      <c r="D73" s="182"/>
      <c r="E73" s="182"/>
      <c r="F73" s="182"/>
      <c r="G73" s="182"/>
      <c r="H73" s="182"/>
      <c r="I73" s="182"/>
      <c r="J73" s="464"/>
      <c r="K73" s="464"/>
      <c r="L73" s="464"/>
      <c r="N73" s="76">
        <f t="shared" ref="N73:U73" si="16">N72/sum($N$72:$U$72)</f>
        <v>0.03797468354</v>
      </c>
      <c r="O73" s="76">
        <f t="shared" si="16"/>
        <v>0.06329113924</v>
      </c>
      <c r="P73" s="76">
        <f t="shared" si="16"/>
        <v>0.1518987342</v>
      </c>
      <c r="Q73" s="76">
        <f t="shared" si="16"/>
        <v>0.1898734177</v>
      </c>
      <c r="R73" s="76">
        <f t="shared" si="16"/>
        <v>0.08860759494</v>
      </c>
      <c r="S73" s="76">
        <f t="shared" si="16"/>
        <v>0.4050632911</v>
      </c>
      <c r="T73" s="76">
        <f t="shared" si="16"/>
        <v>0.03797468354</v>
      </c>
      <c r="U73" s="76">
        <f t="shared" si="16"/>
        <v>0.0253164557</v>
      </c>
      <c r="V73" s="265"/>
      <c r="W73" s="265"/>
      <c r="X73" s="265"/>
      <c r="Y73" s="265"/>
      <c r="Z73" s="265"/>
      <c r="AA73" s="265"/>
      <c r="AB73" s="265"/>
      <c r="AC73" s="265"/>
      <c r="AD73" s="265"/>
      <c r="AE73" s="265"/>
      <c r="AF73" s="265"/>
      <c r="AG73" s="265"/>
      <c r="AH73" s="265"/>
      <c r="AI73" s="265"/>
      <c r="AJ73" s="265"/>
      <c r="AK73" s="265"/>
      <c r="AL73" s="265"/>
      <c r="AM73" s="265"/>
      <c r="AN73" s="265"/>
      <c r="AO73" s="265"/>
      <c r="AP73" s="265"/>
      <c r="AQ73" s="265"/>
      <c r="AR73" s="265"/>
      <c r="AS73" s="265"/>
      <c r="AT73" s="265"/>
      <c r="AU73" s="265"/>
      <c r="AV73" s="265"/>
      <c r="AW73" s="265"/>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7.29" defaultRowHeight="15.0"/>
  <cols>
    <col customWidth="1" min="1" max="1" width="9.14"/>
    <col customWidth="1" min="2" max="2" width="5.86"/>
    <col customWidth="1" min="3" max="3" width="9.29"/>
    <col customWidth="1" min="4" max="4" width="21.0"/>
    <col customWidth="1" min="5" max="5" width="17.14"/>
    <col customWidth="1" min="6" max="6" width="13.71"/>
    <col customWidth="1" min="7" max="7" width="6.86"/>
    <col customWidth="1" min="8" max="8" width="4.0"/>
    <col customWidth="1" min="9" max="9" width="15.14"/>
    <col customWidth="1" min="10" max="10" width="5.29"/>
    <col customWidth="1" min="11" max="11" width="9.86"/>
    <col customWidth="1" min="12" max="12" width="10.57"/>
    <col customWidth="1" min="13" max="13" width="8.14"/>
    <col customWidth="1" min="14" max="14" width="13.0"/>
    <col customWidth="1" min="15" max="15" width="8.43"/>
    <col customWidth="1" min="16" max="16" width="8.0"/>
    <col customWidth="1" min="17" max="17" width="9.57"/>
    <col customWidth="1" min="18" max="18" width="29.29"/>
    <col customWidth="1" min="19" max="19" width="19.57"/>
    <col customWidth="1" min="20" max="20" width="16.14"/>
    <col customWidth="1" min="21" max="21" width="22.86"/>
    <col customWidth="1" min="22" max="22" width="26.0"/>
    <col customWidth="1" min="23" max="23" width="25.86"/>
    <col customWidth="1" min="24" max="24" width="14.57"/>
    <col customWidth="1" min="25" max="25" width="20.86"/>
    <col customWidth="1" min="26" max="26" width="23.71"/>
    <col customWidth="1" min="27" max="27" width="18.71"/>
    <col customWidth="1" min="28" max="28" width="13.0"/>
    <col customWidth="1" min="29" max="29" width="26.71"/>
    <col customWidth="1" min="30" max="30" width="14.71"/>
    <col customWidth="1" min="31" max="31" width="17.57"/>
    <col customWidth="1" min="32" max="32" width="15.0"/>
    <col customWidth="1" min="33" max="33" width="27.0"/>
    <col customWidth="1" min="34" max="34" width="12.14"/>
    <col customWidth="1" min="35" max="35" width="9.29"/>
    <col customWidth="1" min="36" max="36" width="8.86"/>
    <col customWidth="1" min="37" max="37" width="9.57"/>
    <col customWidth="1" min="38" max="38" width="13.71"/>
    <col customWidth="1" min="39" max="39" width="9.57"/>
    <col customWidth="1" min="40" max="40" width="8.71"/>
    <col customWidth="1" min="41" max="41" width="6.14"/>
    <col customWidth="1" min="42" max="42" width="6.57"/>
    <col customWidth="1" min="43" max="44" width="8.71"/>
    <col customWidth="1" min="45" max="45" width="6.57"/>
    <col customWidth="1" min="46" max="47" width="8.71"/>
    <col customWidth="1" min="48" max="49" width="9.29"/>
    <col customWidth="1" min="50" max="50" width="11.43"/>
  </cols>
  <sheetData>
    <row r="1">
      <c r="A1" s="340" t="s">
        <v>1355</v>
      </c>
      <c r="B1" s="309" t="s">
        <v>0</v>
      </c>
      <c r="C1" s="309" t="s">
        <v>1356</v>
      </c>
      <c r="D1" s="309" t="s">
        <v>1246</v>
      </c>
      <c r="E1" s="310" t="s">
        <v>331</v>
      </c>
      <c r="F1" s="543" t="s">
        <v>1357</v>
      </c>
      <c r="G1" s="372" t="s">
        <v>1</v>
      </c>
      <c r="H1" s="372" t="s">
        <v>4</v>
      </c>
      <c r="I1" s="340" t="s">
        <v>1358</v>
      </c>
      <c r="J1" s="310" t="s">
        <v>1359</v>
      </c>
      <c r="K1" s="310" t="s">
        <v>336</v>
      </c>
      <c r="L1" s="310" t="s">
        <v>1645</v>
      </c>
      <c r="M1" s="311" t="s">
        <v>332</v>
      </c>
      <c r="N1" s="311" t="s">
        <v>1360</v>
      </c>
      <c r="O1" s="311" t="s">
        <v>1593</v>
      </c>
      <c r="P1" s="311" t="s">
        <v>1594</v>
      </c>
      <c r="Q1" s="311" t="s">
        <v>1595</v>
      </c>
      <c r="R1" s="543" t="s">
        <v>339</v>
      </c>
      <c r="S1" s="339" t="s">
        <v>1361</v>
      </c>
      <c r="T1" s="339" t="s">
        <v>1362</v>
      </c>
      <c r="U1" s="339" t="s">
        <v>1363</v>
      </c>
      <c r="V1" s="339" t="s">
        <v>1627</v>
      </c>
      <c r="W1" s="339" t="s">
        <v>1628</v>
      </c>
      <c r="X1" s="339" t="s">
        <v>1364</v>
      </c>
      <c r="Y1" s="340" t="s">
        <v>1407</v>
      </c>
      <c r="Z1" s="340" t="s">
        <v>1366</v>
      </c>
      <c r="AA1" s="340" t="s">
        <v>1367</v>
      </c>
      <c r="AB1" s="339" t="s">
        <v>1597</v>
      </c>
      <c r="AC1" s="339" t="s">
        <v>1598</v>
      </c>
      <c r="AD1" s="341" t="s">
        <v>1368</v>
      </c>
      <c r="AE1" s="341" t="s">
        <v>1369</v>
      </c>
      <c r="AF1" s="342" t="s">
        <v>1370</v>
      </c>
      <c r="AG1" s="342" t="s">
        <v>1371</v>
      </c>
      <c r="AH1" s="343" t="s">
        <v>1372</v>
      </c>
      <c r="AI1" s="344" t="s">
        <v>1373</v>
      </c>
      <c r="AJ1" s="310" t="s">
        <v>1374</v>
      </c>
      <c r="AK1" s="310" t="s">
        <v>1629</v>
      </c>
      <c r="AL1" s="313" t="s">
        <v>1630</v>
      </c>
      <c r="AM1" s="265"/>
      <c r="AN1" s="265"/>
      <c r="AO1" s="345" t="s">
        <v>389</v>
      </c>
      <c r="AP1" s="346" t="s">
        <v>420</v>
      </c>
      <c r="AQ1" s="347" t="s">
        <v>358</v>
      </c>
      <c r="AR1" s="348" t="s">
        <v>363</v>
      </c>
      <c r="AS1" s="349" t="s">
        <v>413</v>
      </c>
      <c r="AT1" s="350" t="s">
        <v>357</v>
      </c>
      <c r="AU1" s="351" t="s">
        <v>380</v>
      </c>
      <c r="AV1" s="352" t="s">
        <v>387</v>
      </c>
      <c r="AW1" s="353" t="s">
        <v>1375</v>
      </c>
      <c r="AX1" s="353" t="s">
        <v>1376</v>
      </c>
    </row>
    <row r="2">
      <c r="A2" s="49">
        <v>1.0</v>
      </c>
      <c r="B2" s="46" t="s">
        <v>5</v>
      </c>
      <c r="C2" s="45" t="s">
        <v>6</v>
      </c>
      <c r="D2" s="622" t="s">
        <v>6</v>
      </c>
      <c r="E2" s="602" t="s">
        <v>1599</v>
      </c>
      <c r="F2" s="593">
        <v>40319.0</v>
      </c>
      <c r="G2" s="623" t="s">
        <v>353</v>
      </c>
      <c r="H2" s="45" t="s">
        <v>8</v>
      </c>
      <c r="I2" s="45" t="s">
        <v>7</v>
      </c>
      <c r="J2" s="235" t="s">
        <v>354</v>
      </c>
      <c r="K2" s="235" t="s">
        <v>354</v>
      </c>
      <c r="L2" s="614">
        <v>0.0</v>
      </c>
      <c r="M2" s="235" t="s">
        <v>354</v>
      </c>
      <c r="N2" s="624">
        <v>165.0</v>
      </c>
      <c r="O2" s="235" t="s">
        <v>354</v>
      </c>
      <c r="P2" s="235" t="s">
        <v>354</v>
      </c>
      <c r="Q2" s="235" t="s">
        <v>354</v>
      </c>
      <c r="R2" s="625" t="s">
        <v>367</v>
      </c>
      <c r="S2" s="551">
        <v>0.0</v>
      </c>
      <c r="T2" s="551">
        <v>0.0</v>
      </c>
      <c r="U2" s="551" t="s">
        <v>354</v>
      </c>
      <c r="V2" s="551" t="s">
        <v>354</v>
      </c>
      <c r="W2" s="551" t="s">
        <v>354</v>
      </c>
      <c r="X2" s="551">
        <v>0.0</v>
      </c>
      <c r="Y2" s="221">
        <v>5.98</v>
      </c>
      <c r="Z2" s="551" t="s">
        <v>356</v>
      </c>
      <c r="AA2" s="551" t="s">
        <v>354</v>
      </c>
      <c r="AB2" s="63" t="s">
        <v>356</v>
      </c>
      <c r="AC2" s="63" t="s">
        <v>354</v>
      </c>
      <c r="AD2" s="548" t="s">
        <v>365</v>
      </c>
      <c r="AE2" s="102" t="s">
        <v>1646</v>
      </c>
      <c r="AF2" s="561" t="s">
        <v>361</v>
      </c>
      <c r="AG2" s="561" t="s">
        <v>361</v>
      </c>
      <c r="AH2" s="36" t="s">
        <v>365</v>
      </c>
      <c r="AI2" s="155" t="s">
        <v>363</v>
      </c>
      <c r="AJ2" s="357">
        <f t="shared" ref="AJ2:AJ75" si="1">sum(COUNTIF(AD2:AI2,"POS"),countif(S2,"&gt;0"))</f>
        <v>2</v>
      </c>
      <c r="AK2" s="182">
        <f t="shared" ref="AK2:AK37" si="2">if(AJ2&gt;0,1,0)</f>
        <v>1</v>
      </c>
      <c r="AL2" s="265">
        <f>correl(L2:L73,AK2:AK73)</f>
        <v>-0.09810708435</v>
      </c>
      <c r="AM2" s="265"/>
      <c r="AN2" s="265"/>
      <c r="AO2" s="80">
        <v>0.0</v>
      </c>
      <c r="AP2" s="80">
        <v>0.0</v>
      </c>
      <c r="AQ2" s="80">
        <v>0.0</v>
      </c>
      <c r="AR2" s="224">
        <v>1.0</v>
      </c>
      <c r="AS2" s="80">
        <v>0.0</v>
      </c>
      <c r="AT2" s="224">
        <v>1.0</v>
      </c>
      <c r="AU2" s="80">
        <v>0.0</v>
      </c>
      <c r="AV2" s="80">
        <v>0.0</v>
      </c>
      <c r="AW2" s="358">
        <f t="shared" ref="AW2:AW75" si="3">sum(AO2:AV2)</f>
        <v>2</v>
      </c>
      <c r="AX2" s="358">
        <f t="shared" ref="AX2:AX73" si="4">countif(AO2:AV2,"&gt;0")</f>
        <v>2</v>
      </c>
    </row>
    <row r="3">
      <c r="A3" s="49">
        <v>2.0</v>
      </c>
      <c r="B3" s="46" t="s">
        <v>12</v>
      </c>
      <c r="C3" s="45" t="s">
        <v>13</v>
      </c>
      <c r="D3" s="46" t="s">
        <v>13</v>
      </c>
      <c r="E3" s="18" t="s">
        <v>374</v>
      </c>
      <c r="F3" s="593">
        <v>40319.0</v>
      </c>
      <c r="G3" s="623" t="s">
        <v>353</v>
      </c>
      <c r="H3" s="45" t="s">
        <v>8</v>
      </c>
      <c r="I3" s="45" t="s">
        <v>7</v>
      </c>
      <c r="J3" s="235" t="s">
        <v>354</v>
      </c>
      <c r="K3" s="235" t="s">
        <v>354</v>
      </c>
      <c r="L3" s="614">
        <v>0.0</v>
      </c>
      <c r="M3" s="235" t="s">
        <v>354</v>
      </c>
      <c r="N3" s="624">
        <v>180.0</v>
      </c>
      <c r="O3" s="235" t="s">
        <v>354</v>
      </c>
      <c r="P3" s="235" t="s">
        <v>354</v>
      </c>
      <c r="Q3" s="235" t="s">
        <v>354</v>
      </c>
      <c r="R3" s="625" t="s">
        <v>1647</v>
      </c>
      <c r="S3" s="551">
        <v>0.0</v>
      </c>
      <c r="T3" s="551">
        <v>0.0</v>
      </c>
      <c r="U3" s="551" t="s">
        <v>354</v>
      </c>
      <c r="V3" s="551" t="s">
        <v>354</v>
      </c>
      <c r="W3" s="551" t="s">
        <v>354</v>
      </c>
      <c r="X3" s="551">
        <v>0.0</v>
      </c>
      <c r="Y3" s="551">
        <v>0.0</v>
      </c>
      <c r="Z3" s="551" t="s">
        <v>354</v>
      </c>
      <c r="AA3" s="551" t="s">
        <v>354</v>
      </c>
      <c r="AB3" s="63" t="s">
        <v>356</v>
      </c>
      <c r="AC3" s="63" t="s">
        <v>354</v>
      </c>
      <c r="AD3" s="615" t="s">
        <v>356</v>
      </c>
      <c r="AE3" s="616" t="s">
        <v>354</v>
      </c>
      <c r="AF3" s="558" t="s">
        <v>356</v>
      </c>
      <c r="AG3" s="558" t="s">
        <v>354</v>
      </c>
      <c r="AH3" s="33" t="s">
        <v>356</v>
      </c>
      <c r="AI3" s="33" t="s">
        <v>354</v>
      </c>
      <c r="AJ3" s="46">
        <f t="shared" si="1"/>
        <v>0</v>
      </c>
      <c r="AK3" s="182">
        <f t="shared" si="2"/>
        <v>0</v>
      </c>
      <c r="AL3" s="265"/>
      <c r="AM3" s="265"/>
      <c r="AN3" s="265"/>
      <c r="AO3" s="80">
        <v>0.0</v>
      </c>
      <c r="AP3" s="80">
        <v>0.0</v>
      </c>
      <c r="AQ3" s="80">
        <v>0.0</v>
      </c>
      <c r="AR3" s="80">
        <v>0.0</v>
      </c>
      <c r="AS3" s="80">
        <v>0.0</v>
      </c>
      <c r="AT3" s="224">
        <v>0.0</v>
      </c>
      <c r="AU3" s="80">
        <v>0.0</v>
      </c>
      <c r="AV3" s="80">
        <v>0.0</v>
      </c>
      <c r="AW3" s="182">
        <f t="shared" si="3"/>
        <v>0</v>
      </c>
      <c r="AX3" s="182">
        <f t="shared" si="4"/>
        <v>0</v>
      </c>
    </row>
    <row r="4">
      <c r="A4" s="49">
        <v>3.0</v>
      </c>
      <c r="B4" s="46" t="s">
        <v>18</v>
      </c>
      <c r="C4" s="45" t="s">
        <v>19</v>
      </c>
      <c r="D4" s="46" t="s">
        <v>19</v>
      </c>
      <c r="E4" s="18" t="s">
        <v>383</v>
      </c>
      <c r="F4" s="593">
        <v>40319.0</v>
      </c>
      <c r="G4" s="623" t="s">
        <v>353</v>
      </c>
      <c r="H4" s="45" t="s">
        <v>8</v>
      </c>
      <c r="I4" s="45" t="s">
        <v>7</v>
      </c>
      <c r="J4" s="235" t="s">
        <v>354</v>
      </c>
      <c r="K4" s="235" t="s">
        <v>354</v>
      </c>
      <c r="L4" s="614">
        <v>1.0</v>
      </c>
      <c r="M4" s="235" t="s">
        <v>354</v>
      </c>
      <c r="N4" s="624">
        <v>225.0</v>
      </c>
      <c r="O4" s="235" t="s">
        <v>354</v>
      </c>
      <c r="P4" s="235" t="s">
        <v>354</v>
      </c>
      <c r="Q4" s="235" t="s">
        <v>354</v>
      </c>
      <c r="R4" s="464"/>
      <c r="S4" s="151">
        <v>37.91</v>
      </c>
      <c r="T4" s="551">
        <v>0.0</v>
      </c>
      <c r="U4" s="551" t="s">
        <v>354</v>
      </c>
      <c r="V4" s="551" t="s">
        <v>354</v>
      </c>
      <c r="W4" s="551" t="s">
        <v>354</v>
      </c>
      <c r="X4" s="551">
        <v>0.0</v>
      </c>
      <c r="Y4" s="551">
        <v>0.0</v>
      </c>
      <c r="Z4" s="551" t="s">
        <v>354</v>
      </c>
      <c r="AA4" s="551" t="s">
        <v>354</v>
      </c>
      <c r="AB4" s="56" t="s">
        <v>365</v>
      </c>
      <c r="AC4" s="65" t="s">
        <v>387</v>
      </c>
      <c r="AD4" s="560" t="s">
        <v>361</v>
      </c>
      <c r="AE4" s="560" t="s">
        <v>361</v>
      </c>
      <c r="AF4" s="599" t="s">
        <v>365</v>
      </c>
      <c r="AG4" s="626" t="s">
        <v>387</v>
      </c>
      <c r="AH4" s="36" t="s">
        <v>365</v>
      </c>
      <c r="AI4" s="155" t="s">
        <v>363</v>
      </c>
      <c r="AJ4" s="357">
        <f t="shared" si="1"/>
        <v>3</v>
      </c>
      <c r="AK4" s="182">
        <f t="shared" si="2"/>
        <v>1</v>
      </c>
      <c r="AL4" s="265"/>
      <c r="AM4" s="265"/>
      <c r="AN4" s="265"/>
      <c r="AO4" s="80">
        <v>0.0</v>
      </c>
      <c r="AP4" s="80">
        <v>0.0</v>
      </c>
      <c r="AQ4" s="80">
        <v>0.0</v>
      </c>
      <c r="AR4" s="224">
        <v>1.0</v>
      </c>
      <c r="AS4" s="80">
        <v>0.0</v>
      </c>
      <c r="AT4" s="224">
        <v>0.0</v>
      </c>
      <c r="AU4" s="80">
        <v>0.0</v>
      </c>
      <c r="AV4" s="224">
        <v>1.0</v>
      </c>
      <c r="AW4" s="358">
        <f t="shared" si="3"/>
        <v>2</v>
      </c>
      <c r="AX4" s="358">
        <f t="shared" si="4"/>
        <v>2</v>
      </c>
    </row>
    <row r="5">
      <c r="A5" s="49">
        <v>4.0</v>
      </c>
      <c r="B5" s="46" t="s">
        <v>28</v>
      </c>
      <c r="C5" s="45" t="s">
        <v>29</v>
      </c>
      <c r="D5" s="46" t="s">
        <v>29</v>
      </c>
      <c r="E5" s="18" t="s">
        <v>401</v>
      </c>
      <c r="F5" s="593">
        <v>40319.0</v>
      </c>
      <c r="G5" s="623" t="s">
        <v>353</v>
      </c>
      <c r="H5" s="45" t="s">
        <v>8</v>
      </c>
      <c r="I5" s="45" t="s">
        <v>7</v>
      </c>
      <c r="J5" s="235" t="s">
        <v>354</v>
      </c>
      <c r="K5" s="235" t="s">
        <v>354</v>
      </c>
      <c r="L5" s="614">
        <v>0.0</v>
      </c>
      <c r="M5" s="235" t="s">
        <v>354</v>
      </c>
      <c r="N5" s="624">
        <v>225.0</v>
      </c>
      <c r="O5" s="235" t="s">
        <v>354</v>
      </c>
      <c r="P5" s="235" t="s">
        <v>354</v>
      </c>
      <c r="Q5" s="235" t="s">
        <v>354</v>
      </c>
      <c r="R5" s="235" t="s">
        <v>354</v>
      </c>
      <c r="S5" s="551">
        <v>0.0</v>
      </c>
      <c r="T5" s="551">
        <v>0.0</v>
      </c>
      <c r="U5" s="551" t="s">
        <v>354</v>
      </c>
      <c r="V5" s="551" t="s">
        <v>354</v>
      </c>
      <c r="W5" s="551" t="s">
        <v>354</v>
      </c>
      <c r="X5" s="551">
        <v>0.0</v>
      </c>
      <c r="Y5" s="551">
        <v>0.0</v>
      </c>
      <c r="Z5" s="551" t="s">
        <v>354</v>
      </c>
      <c r="AA5" s="551" t="s">
        <v>354</v>
      </c>
      <c r="AB5" s="63" t="s">
        <v>356</v>
      </c>
      <c r="AC5" s="63" t="s">
        <v>354</v>
      </c>
      <c r="AD5" s="560" t="s">
        <v>361</v>
      </c>
      <c r="AE5" s="560" t="s">
        <v>361</v>
      </c>
      <c r="AF5" s="558" t="s">
        <v>356</v>
      </c>
      <c r="AG5" s="558" t="s">
        <v>354</v>
      </c>
      <c r="AH5" s="36" t="s">
        <v>365</v>
      </c>
      <c r="AI5" s="155" t="s">
        <v>363</v>
      </c>
      <c r="AJ5" s="357">
        <f t="shared" si="1"/>
        <v>1</v>
      </c>
      <c r="AK5" s="182">
        <f t="shared" si="2"/>
        <v>1</v>
      </c>
      <c r="AL5" s="265"/>
      <c r="AM5" s="265"/>
      <c r="AN5" s="265"/>
      <c r="AO5" s="80">
        <v>0.0</v>
      </c>
      <c r="AP5" s="80">
        <v>0.0</v>
      </c>
      <c r="AQ5" s="80">
        <v>0.0</v>
      </c>
      <c r="AR5" s="224">
        <v>1.0</v>
      </c>
      <c r="AS5" s="80">
        <v>0.0</v>
      </c>
      <c r="AT5" s="224">
        <v>0.0</v>
      </c>
      <c r="AU5" s="80">
        <v>0.0</v>
      </c>
      <c r="AV5" s="80">
        <v>0.0</v>
      </c>
      <c r="AW5" s="363">
        <f t="shared" si="3"/>
        <v>1</v>
      </c>
      <c r="AX5" s="363">
        <f t="shared" si="4"/>
        <v>1</v>
      </c>
    </row>
    <row r="6">
      <c r="A6" s="49">
        <v>5.0</v>
      </c>
      <c r="B6" s="46" t="s">
        <v>35</v>
      </c>
      <c r="C6" s="46" t="s">
        <v>36</v>
      </c>
      <c r="D6" s="46" t="s">
        <v>36</v>
      </c>
      <c r="E6" s="18" t="s">
        <v>411</v>
      </c>
      <c r="F6" s="593">
        <v>40319.0</v>
      </c>
      <c r="G6" s="627">
        <v>43290.0</v>
      </c>
      <c r="H6" s="46" t="s">
        <v>8</v>
      </c>
      <c r="I6" s="49" t="s">
        <v>7</v>
      </c>
      <c r="J6" s="235" t="s">
        <v>354</v>
      </c>
      <c r="K6" s="235" t="s">
        <v>354</v>
      </c>
      <c r="L6" s="235" t="s">
        <v>354</v>
      </c>
      <c r="M6" s="235" t="s">
        <v>354</v>
      </c>
      <c r="N6" s="624">
        <v>160.0</v>
      </c>
      <c r="O6" s="235" t="s">
        <v>354</v>
      </c>
      <c r="P6" s="235" t="s">
        <v>354</v>
      </c>
      <c r="Q6" s="235" t="s">
        <v>354</v>
      </c>
      <c r="R6" s="625" t="s">
        <v>415</v>
      </c>
      <c r="S6" s="551">
        <v>0.0</v>
      </c>
      <c r="T6" s="551">
        <v>0.0</v>
      </c>
      <c r="U6" s="551" t="s">
        <v>354</v>
      </c>
      <c r="V6" s="551" t="s">
        <v>354</v>
      </c>
      <c r="W6" s="551" t="s">
        <v>354</v>
      </c>
      <c r="X6" s="551">
        <v>0.0</v>
      </c>
      <c r="Y6" s="551">
        <v>0.0</v>
      </c>
      <c r="Z6" s="551" t="s">
        <v>354</v>
      </c>
      <c r="AA6" s="551" t="s">
        <v>354</v>
      </c>
      <c r="AB6" s="63" t="s">
        <v>356</v>
      </c>
      <c r="AC6" s="63" t="s">
        <v>354</v>
      </c>
      <c r="AD6" s="615" t="s">
        <v>356</v>
      </c>
      <c r="AE6" s="616" t="s">
        <v>354</v>
      </c>
      <c r="AF6" s="558" t="s">
        <v>356</v>
      </c>
      <c r="AG6" s="558" t="s">
        <v>354</v>
      </c>
      <c r="AH6" s="33" t="s">
        <v>356</v>
      </c>
      <c r="AI6" s="33" t="s">
        <v>354</v>
      </c>
      <c r="AJ6" s="46">
        <f t="shared" si="1"/>
        <v>0</v>
      </c>
      <c r="AK6" s="182">
        <f t="shared" si="2"/>
        <v>0</v>
      </c>
      <c r="AL6" s="265"/>
      <c r="AM6" s="265"/>
      <c r="AN6" s="265"/>
      <c r="AO6" s="80">
        <v>0.0</v>
      </c>
      <c r="AP6" s="80">
        <v>0.0</v>
      </c>
      <c r="AQ6" s="80">
        <v>0.0</v>
      </c>
      <c r="AR6" s="80">
        <v>0.0</v>
      </c>
      <c r="AS6" s="80">
        <v>0.0</v>
      </c>
      <c r="AT6" s="224">
        <v>0.0</v>
      </c>
      <c r="AU6" s="80">
        <v>0.0</v>
      </c>
      <c r="AV6" s="80">
        <v>0.0</v>
      </c>
      <c r="AW6" s="182">
        <f t="shared" si="3"/>
        <v>0</v>
      </c>
      <c r="AX6" s="182">
        <f t="shared" si="4"/>
        <v>0</v>
      </c>
    </row>
    <row r="7">
      <c r="A7" s="49">
        <v>6.0</v>
      </c>
      <c r="B7" s="46" t="s">
        <v>41</v>
      </c>
      <c r="C7" s="45" t="s">
        <v>42</v>
      </c>
      <c r="D7" s="46" t="s">
        <v>42</v>
      </c>
      <c r="E7" s="18" t="s">
        <v>421</v>
      </c>
      <c r="F7" s="593">
        <v>40319.0</v>
      </c>
      <c r="G7" s="623" t="s">
        <v>353</v>
      </c>
      <c r="H7" s="45" t="s">
        <v>8</v>
      </c>
      <c r="I7" s="45" t="s">
        <v>7</v>
      </c>
      <c r="J7" s="235" t="s">
        <v>354</v>
      </c>
      <c r="K7" s="235" t="s">
        <v>354</v>
      </c>
      <c r="L7" s="614">
        <v>0.0</v>
      </c>
      <c r="M7" s="235" t="s">
        <v>354</v>
      </c>
      <c r="N7" s="624">
        <v>260.0</v>
      </c>
      <c r="O7" s="235" t="s">
        <v>354</v>
      </c>
      <c r="P7" s="235" t="s">
        <v>354</v>
      </c>
      <c r="Q7" s="235" t="s">
        <v>354</v>
      </c>
      <c r="R7" s="235" t="s">
        <v>354</v>
      </c>
      <c r="S7" s="551">
        <v>0.0</v>
      </c>
      <c r="T7" s="551">
        <v>0.0</v>
      </c>
      <c r="U7" s="551" t="s">
        <v>354</v>
      </c>
      <c r="V7" s="551" t="s">
        <v>354</v>
      </c>
      <c r="W7" s="551" t="s">
        <v>354</v>
      </c>
      <c r="X7" s="551">
        <v>0.0</v>
      </c>
      <c r="Y7" s="551">
        <v>0.0</v>
      </c>
      <c r="Z7" s="551" t="s">
        <v>354</v>
      </c>
      <c r="AA7" s="551" t="s">
        <v>354</v>
      </c>
      <c r="AB7" s="63" t="s">
        <v>356</v>
      </c>
      <c r="AC7" s="63" t="s">
        <v>354</v>
      </c>
      <c r="AD7" s="548" t="s">
        <v>365</v>
      </c>
      <c r="AE7" s="102" t="s">
        <v>1646</v>
      </c>
      <c r="AF7" s="558" t="s">
        <v>356</v>
      </c>
      <c r="AG7" s="558" t="s">
        <v>354</v>
      </c>
      <c r="AH7" s="43" t="s">
        <v>361</v>
      </c>
      <c r="AI7" s="43" t="s">
        <v>361</v>
      </c>
      <c r="AJ7" s="357">
        <f t="shared" si="1"/>
        <v>1</v>
      </c>
      <c r="AK7" s="182">
        <f t="shared" si="2"/>
        <v>1</v>
      </c>
      <c r="AL7" s="265"/>
      <c r="AM7" s="265"/>
      <c r="AN7" s="265"/>
      <c r="AO7" s="80">
        <v>0.0</v>
      </c>
      <c r="AP7" s="80">
        <v>0.0</v>
      </c>
      <c r="AQ7" s="80">
        <v>0.0</v>
      </c>
      <c r="AR7" s="80">
        <v>0.0</v>
      </c>
      <c r="AS7" s="80">
        <v>0.0</v>
      </c>
      <c r="AT7" s="224">
        <v>1.0</v>
      </c>
      <c r="AU7" s="80">
        <v>0.0</v>
      </c>
      <c r="AV7" s="80">
        <v>0.0</v>
      </c>
      <c r="AW7" s="363">
        <f t="shared" si="3"/>
        <v>1</v>
      </c>
      <c r="AX7" s="363">
        <f t="shared" si="4"/>
        <v>1</v>
      </c>
    </row>
    <row r="8">
      <c r="A8" s="49">
        <v>7.0</v>
      </c>
      <c r="B8" s="46" t="s">
        <v>60</v>
      </c>
      <c r="C8" s="45" t="s">
        <v>61</v>
      </c>
      <c r="D8" s="49" t="s">
        <v>437</v>
      </c>
      <c r="E8" s="18" t="s">
        <v>438</v>
      </c>
      <c r="F8" s="593">
        <v>40319.0</v>
      </c>
      <c r="G8" s="612" t="s">
        <v>439</v>
      </c>
      <c r="H8" s="45" t="s">
        <v>8</v>
      </c>
      <c r="I8" s="85" t="s">
        <v>37</v>
      </c>
      <c r="J8" s="235" t="s">
        <v>354</v>
      </c>
      <c r="K8" s="235" t="s">
        <v>354</v>
      </c>
      <c r="L8" s="614">
        <v>0.0</v>
      </c>
      <c r="M8" s="624">
        <v>115.0</v>
      </c>
      <c r="N8" s="624">
        <v>195.0</v>
      </c>
      <c r="O8" s="235" t="s">
        <v>354</v>
      </c>
      <c r="P8" s="235" t="s">
        <v>354</v>
      </c>
      <c r="Q8" s="235" t="s">
        <v>354</v>
      </c>
      <c r="R8" s="625" t="s">
        <v>441</v>
      </c>
      <c r="S8" s="151">
        <v>31.51</v>
      </c>
      <c r="T8" s="551">
        <v>0.0</v>
      </c>
      <c r="U8" s="551" t="s">
        <v>354</v>
      </c>
      <c r="V8" s="551" t="s">
        <v>354</v>
      </c>
      <c r="W8" s="551" t="s">
        <v>354</v>
      </c>
      <c r="X8" s="551">
        <v>0.0</v>
      </c>
      <c r="Y8" s="551">
        <v>0.0</v>
      </c>
      <c r="Z8" s="551" t="s">
        <v>354</v>
      </c>
      <c r="AA8" s="551" t="s">
        <v>354</v>
      </c>
      <c r="AB8" s="56" t="s">
        <v>365</v>
      </c>
      <c r="AC8" s="26" t="s">
        <v>357</v>
      </c>
      <c r="AD8" s="548" t="s">
        <v>365</v>
      </c>
      <c r="AE8" s="102" t="s">
        <v>1646</v>
      </c>
      <c r="AF8" s="549" t="s">
        <v>365</v>
      </c>
      <c r="AG8" s="102" t="s">
        <v>357</v>
      </c>
      <c r="AH8" s="36" t="s">
        <v>365</v>
      </c>
      <c r="AI8" s="102" t="s">
        <v>357</v>
      </c>
      <c r="AJ8" s="357">
        <f t="shared" si="1"/>
        <v>4</v>
      </c>
      <c r="AK8" s="182">
        <f t="shared" si="2"/>
        <v>1</v>
      </c>
      <c r="AL8" s="265"/>
      <c r="AM8" s="265"/>
      <c r="AN8" s="265"/>
      <c r="AO8" s="80">
        <v>0.0</v>
      </c>
      <c r="AP8" s="80">
        <v>0.0</v>
      </c>
      <c r="AQ8" s="80">
        <v>0.0</v>
      </c>
      <c r="AR8" s="80">
        <v>0.0</v>
      </c>
      <c r="AS8" s="80">
        <v>0.0</v>
      </c>
      <c r="AT8" s="224">
        <v>3.0</v>
      </c>
      <c r="AU8" s="80">
        <v>0.0</v>
      </c>
      <c r="AV8" s="80">
        <v>0.0</v>
      </c>
      <c r="AW8" s="358">
        <f t="shared" si="3"/>
        <v>3</v>
      </c>
      <c r="AX8" s="358">
        <f t="shared" si="4"/>
        <v>1</v>
      </c>
    </row>
    <row r="9">
      <c r="A9" s="49">
        <v>8.0</v>
      </c>
      <c r="B9" s="46" t="s">
        <v>70</v>
      </c>
      <c r="C9" s="45" t="s">
        <v>74</v>
      </c>
      <c r="D9" s="46" t="s">
        <v>71</v>
      </c>
      <c r="E9" s="18" t="s">
        <v>459</v>
      </c>
      <c r="F9" s="593">
        <v>40319.0</v>
      </c>
      <c r="G9" s="623" t="s">
        <v>439</v>
      </c>
      <c r="H9" s="45" t="s">
        <v>8</v>
      </c>
      <c r="I9" s="45" t="s">
        <v>7</v>
      </c>
      <c r="J9" s="235" t="s">
        <v>354</v>
      </c>
      <c r="K9" s="235" t="s">
        <v>354</v>
      </c>
      <c r="L9" s="614">
        <v>1.0</v>
      </c>
      <c r="M9" s="235" t="s">
        <v>354</v>
      </c>
      <c r="N9" s="624">
        <v>230.0</v>
      </c>
      <c r="O9" s="235" t="s">
        <v>354</v>
      </c>
      <c r="P9" s="235" t="s">
        <v>354</v>
      </c>
      <c r="Q9" s="235" t="s">
        <v>354</v>
      </c>
      <c r="R9" s="625" t="s">
        <v>1648</v>
      </c>
      <c r="S9" s="551">
        <v>0.0</v>
      </c>
      <c r="T9" s="551">
        <v>0.0</v>
      </c>
      <c r="U9" s="551" t="s">
        <v>354</v>
      </c>
      <c r="V9" s="551" t="s">
        <v>354</v>
      </c>
      <c r="W9" s="551" t="s">
        <v>354</v>
      </c>
      <c r="X9" s="551">
        <v>0.0</v>
      </c>
      <c r="Y9" s="551">
        <v>0.0</v>
      </c>
      <c r="Z9" s="551" t="s">
        <v>354</v>
      </c>
      <c r="AA9" s="551" t="s">
        <v>354</v>
      </c>
      <c r="AB9" s="63" t="s">
        <v>356</v>
      </c>
      <c r="AC9" s="63" t="s">
        <v>354</v>
      </c>
      <c r="AD9" s="560" t="s">
        <v>361</v>
      </c>
      <c r="AE9" s="560" t="s">
        <v>361</v>
      </c>
      <c r="AF9" s="558" t="s">
        <v>356</v>
      </c>
      <c r="AG9" s="558" t="s">
        <v>354</v>
      </c>
      <c r="AH9" s="36" t="s">
        <v>365</v>
      </c>
      <c r="AI9" s="102" t="s">
        <v>357</v>
      </c>
      <c r="AJ9" s="357">
        <f t="shared" si="1"/>
        <v>1</v>
      </c>
      <c r="AK9" s="182">
        <f t="shared" si="2"/>
        <v>1</v>
      </c>
      <c r="AL9" s="265"/>
      <c r="AM9" s="265"/>
      <c r="AN9" s="265"/>
      <c r="AO9" s="80">
        <v>0.0</v>
      </c>
      <c r="AP9" s="80">
        <v>0.0</v>
      </c>
      <c r="AQ9" s="80">
        <v>0.0</v>
      </c>
      <c r="AR9" s="80">
        <v>0.0</v>
      </c>
      <c r="AS9" s="80">
        <v>0.0</v>
      </c>
      <c r="AT9" s="224">
        <v>1.0</v>
      </c>
      <c r="AU9" s="80">
        <v>0.0</v>
      </c>
      <c r="AV9" s="80">
        <v>0.0</v>
      </c>
      <c r="AW9" s="363">
        <f t="shared" si="3"/>
        <v>1</v>
      </c>
      <c r="AX9" s="363">
        <f t="shared" si="4"/>
        <v>1</v>
      </c>
    </row>
    <row r="10" ht="15.75" customHeight="1">
      <c r="A10" s="49">
        <v>9.0</v>
      </c>
      <c r="B10" s="46" t="s">
        <v>79</v>
      </c>
      <c r="C10" s="45" t="s">
        <v>80</v>
      </c>
      <c r="D10" s="622" t="s">
        <v>80</v>
      </c>
      <c r="E10" s="602" t="s">
        <v>467</v>
      </c>
      <c r="F10" s="593">
        <v>40319.0</v>
      </c>
      <c r="G10" s="623" t="s">
        <v>439</v>
      </c>
      <c r="H10" s="45" t="s">
        <v>8</v>
      </c>
      <c r="I10" s="45" t="s">
        <v>7</v>
      </c>
      <c r="J10" s="235" t="s">
        <v>354</v>
      </c>
      <c r="K10" s="235" t="s">
        <v>354</v>
      </c>
      <c r="L10" s="614">
        <v>1.0</v>
      </c>
      <c r="M10" s="235" t="s">
        <v>354</v>
      </c>
      <c r="N10" s="624">
        <v>285.0</v>
      </c>
      <c r="O10" s="235" t="s">
        <v>354</v>
      </c>
      <c r="P10" s="235" t="s">
        <v>354</v>
      </c>
      <c r="Q10" s="235" t="s">
        <v>354</v>
      </c>
      <c r="R10" s="625" t="s">
        <v>469</v>
      </c>
      <c r="S10" s="551">
        <v>0.0</v>
      </c>
      <c r="T10" s="551">
        <v>0.0</v>
      </c>
      <c r="U10" s="551" t="s">
        <v>354</v>
      </c>
      <c r="V10" s="551" t="s">
        <v>354</v>
      </c>
      <c r="W10" s="551" t="s">
        <v>354</v>
      </c>
      <c r="X10" s="551">
        <v>0.0</v>
      </c>
      <c r="Y10" s="221">
        <v>10.16</v>
      </c>
      <c r="Z10" s="551" t="s">
        <v>356</v>
      </c>
      <c r="AA10" s="551" t="s">
        <v>354</v>
      </c>
      <c r="AB10" s="63" t="s">
        <v>356</v>
      </c>
      <c r="AC10" s="63" t="s">
        <v>354</v>
      </c>
      <c r="AD10" s="615" t="s">
        <v>356</v>
      </c>
      <c r="AE10" s="616" t="s">
        <v>354</v>
      </c>
      <c r="AF10" s="558" t="s">
        <v>356</v>
      </c>
      <c r="AG10" s="558" t="s">
        <v>354</v>
      </c>
      <c r="AH10" s="33" t="s">
        <v>356</v>
      </c>
      <c r="AI10" s="33" t="s">
        <v>354</v>
      </c>
      <c r="AJ10" s="46">
        <f t="shared" si="1"/>
        <v>0</v>
      </c>
      <c r="AK10" s="182">
        <f t="shared" si="2"/>
        <v>0</v>
      </c>
      <c r="AL10" s="265"/>
      <c r="AM10" s="265"/>
      <c r="AN10" s="265"/>
      <c r="AO10" s="80">
        <v>0.0</v>
      </c>
      <c r="AP10" s="80">
        <v>0.0</v>
      </c>
      <c r="AQ10" s="80">
        <v>0.0</v>
      </c>
      <c r="AR10" s="80">
        <v>0.0</v>
      </c>
      <c r="AS10" s="80">
        <v>0.0</v>
      </c>
      <c r="AT10" s="224">
        <v>0.0</v>
      </c>
      <c r="AU10" s="80">
        <v>0.0</v>
      </c>
      <c r="AV10" s="80">
        <v>0.0</v>
      </c>
      <c r="AW10" s="182">
        <f t="shared" si="3"/>
        <v>0</v>
      </c>
      <c r="AX10" s="182">
        <f t="shared" si="4"/>
        <v>0</v>
      </c>
    </row>
    <row r="11">
      <c r="A11" s="49">
        <v>10.0</v>
      </c>
      <c r="B11" s="46" t="s">
        <v>83</v>
      </c>
      <c r="C11" s="45" t="s">
        <v>84</v>
      </c>
      <c r="D11" s="622" t="s">
        <v>84</v>
      </c>
      <c r="E11" s="602" t="s">
        <v>474</v>
      </c>
      <c r="F11" s="593">
        <v>40319.0</v>
      </c>
      <c r="G11" s="623" t="s">
        <v>439</v>
      </c>
      <c r="H11" s="45" t="s">
        <v>67</v>
      </c>
      <c r="I11" s="45" t="s">
        <v>7</v>
      </c>
      <c r="J11" s="235" t="s">
        <v>354</v>
      </c>
      <c r="K11" s="614" t="s">
        <v>1649</v>
      </c>
      <c r="L11" s="614">
        <v>1.0</v>
      </c>
      <c r="M11" s="235" t="s">
        <v>354</v>
      </c>
      <c r="N11" s="624">
        <v>330.0</v>
      </c>
      <c r="O11" s="235" t="s">
        <v>354</v>
      </c>
      <c r="P11" s="235" t="s">
        <v>354</v>
      </c>
      <c r="Q11" s="235" t="s">
        <v>354</v>
      </c>
      <c r="R11" s="625" t="s">
        <v>1650</v>
      </c>
      <c r="S11" s="151">
        <v>28.37</v>
      </c>
      <c r="T11" s="551">
        <v>0.0</v>
      </c>
      <c r="U11" s="551" t="s">
        <v>354</v>
      </c>
      <c r="V11" s="551" t="s">
        <v>354</v>
      </c>
      <c r="W11" s="551" t="s">
        <v>354</v>
      </c>
      <c r="X11" s="551">
        <v>0.0</v>
      </c>
      <c r="Y11" s="221">
        <v>22.57</v>
      </c>
      <c r="Z11" s="551" t="s">
        <v>356</v>
      </c>
      <c r="AA11" s="551" t="s">
        <v>354</v>
      </c>
      <c r="AB11" s="56" t="s">
        <v>365</v>
      </c>
      <c r="AC11" s="58" t="s">
        <v>380</v>
      </c>
      <c r="AD11" s="548" t="s">
        <v>365</v>
      </c>
      <c r="AE11" s="391" t="s">
        <v>380</v>
      </c>
      <c r="AF11" s="599" t="s">
        <v>365</v>
      </c>
      <c r="AG11" s="391" t="s">
        <v>380</v>
      </c>
      <c r="AH11" s="33" t="s">
        <v>356</v>
      </c>
      <c r="AI11" s="33" t="s">
        <v>354</v>
      </c>
      <c r="AJ11" s="357">
        <f t="shared" si="1"/>
        <v>3</v>
      </c>
      <c r="AK11" s="182">
        <f t="shared" si="2"/>
        <v>1</v>
      </c>
      <c r="AL11" s="265"/>
      <c r="AM11" s="265"/>
      <c r="AN11" s="265"/>
      <c r="AO11" s="80">
        <v>0.0</v>
      </c>
      <c r="AP11" s="80">
        <v>0.0</v>
      </c>
      <c r="AQ11" s="80">
        <v>0.0</v>
      </c>
      <c r="AR11" s="80">
        <v>0.0</v>
      </c>
      <c r="AS11" s="80">
        <v>0.0</v>
      </c>
      <c r="AT11" s="224">
        <v>0.0</v>
      </c>
      <c r="AU11" s="224">
        <v>2.0</v>
      </c>
      <c r="AV11" s="80">
        <v>0.0</v>
      </c>
      <c r="AW11" s="358">
        <f t="shared" si="3"/>
        <v>2</v>
      </c>
      <c r="AX11" s="358">
        <f t="shared" si="4"/>
        <v>1</v>
      </c>
    </row>
    <row r="12">
      <c r="A12" s="49">
        <v>11.0</v>
      </c>
      <c r="B12" s="46" t="s">
        <v>93</v>
      </c>
      <c r="C12" s="45" t="s">
        <v>94</v>
      </c>
      <c r="D12" s="46" t="s">
        <v>94</v>
      </c>
      <c r="E12" s="98" t="s">
        <v>506</v>
      </c>
      <c r="F12" s="593">
        <v>40319.0</v>
      </c>
      <c r="G12" s="623" t="s">
        <v>439</v>
      </c>
      <c r="H12" s="45" t="s">
        <v>67</v>
      </c>
      <c r="I12" s="85" t="s">
        <v>7</v>
      </c>
      <c r="J12" s="235" t="s">
        <v>354</v>
      </c>
      <c r="K12" s="614" t="s">
        <v>770</v>
      </c>
      <c r="L12" s="614">
        <v>0.0</v>
      </c>
      <c r="M12" s="235" t="s">
        <v>354</v>
      </c>
      <c r="N12" s="624">
        <v>230.0</v>
      </c>
      <c r="O12" s="235" t="s">
        <v>354</v>
      </c>
      <c r="P12" s="235" t="s">
        <v>354</v>
      </c>
      <c r="Q12" s="235" t="s">
        <v>354</v>
      </c>
      <c r="R12" s="235" t="s">
        <v>354</v>
      </c>
      <c r="S12" s="551">
        <v>0.0</v>
      </c>
      <c r="T12" s="551">
        <v>0.0</v>
      </c>
      <c r="U12" s="551" t="s">
        <v>354</v>
      </c>
      <c r="V12" s="551" t="s">
        <v>354</v>
      </c>
      <c r="W12" s="551" t="s">
        <v>354</v>
      </c>
      <c r="X12" s="551">
        <v>0.0</v>
      </c>
      <c r="Y12" s="551">
        <v>0.0</v>
      </c>
      <c r="Z12" s="551" t="s">
        <v>354</v>
      </c>
      <c r="AA12" s="551" t="s">
        <v>354</v>
      </c>
      <c r="AB12" s="63" t="s">
        <v>356</v>
      </c>
      <c r="AC12" s="63" t="s">
        <v>354</v>
      </c>
      <c r="AD12" s="615" t="s">
        <v>356</v>
      </c>
      <c r="AE12" s="616" t="s">
        <v>354</v>
      </c>
      <c r="AF12" s="558" t="s">
        <v>356</v>
      </c>
      <c r="AG12" s="558" t="s">
        <v>354</v>
      </c>
      <c r="AH12" s="36" t="s">
        <v>365</v>
      </c>
      <c r="AI12" s="102" t="s">
        <v>357</v>
      </c>
      <c r="AJ12" s="357">
        <f t="shared" si="1"/>
        <v>1</v>
      </c>
      <c r="AK12" s="182">
        <f t="shared" si="2"/>
        <v>1</v>
      </c>
      <c r="AL12" s="265"/>
      <c r="AM12" s="265"/>
      <c r="AN12" s="265"/>
      <c r="AO12" s="80">
        <v>0.0</v>
      </c>
      <c r="AP12" s="80">
        <v>0.0</v>
      </c>
      <c r="AQ12" s="80">
        <v>0.0</v>
      </c>
      <c r="AR12" s="80">
        <v>0.0</v>
      </c>
      <c r="AS12" s="80">
        <v>0.0</v>
      </c>
      <c r="AT12" s="224">
        <v>1.0</v>
      </c>
      <c r="AU12" s="80">
        <v>0.0</v>
      </c>
      <c r="AV12" s="80">
        <v>0.0</v>
      </c>
      <c r="AW12" s="363">
        <f t="shared" si="3"/>
        <v>1</v>
      </c>
      <c r="AX12" s="363">
        <f t="shared" si="4"/>
        <v>1</v>
      </c>
    </row>
    <row r="13">
      <c r="A13" s="49">
        <v>12.0</v>
      </c>
      <c r="B13" s="46" t="s">
        <v>97</v>
      </c>
      <c r="C13" s="45" t="s">
        <v>98</v>
      </c>
      <c r="D13" s="46" t="s">
        <v>98</v>
      </c>
      <c r="E13" s="98" t="s">
        <v>1610</v>
      </c>
      <c r="F13" s="593">
        <v>40319.0</v>
      </c>
      <c r="G13" s="623" t="s">
        <v>439</v>
      </c>
      <c r="H13" s="45" t="s">
        <v>67</v>
      </c>
      <c r="I13" s="85" t="s">
        <v>7</v>
      </c>
      <c r="J13" s="235" t="s">
        <v>354</v>
      </c>
      <c r="K13" s="614" t="s">
        <v>770</v>
      </c>
      <c r="L13" s="614">
        <v>0.0</v>
      </c>
      <c r="M13" s="235" t="s">
        <v>354</v>
      </c>
      <c r="N13" s="624">
        <v>220.0</v>
      </c>
      <c r="O13" s="235" t="s">
        <v>354</v>
      </c>
      <c r="P13" s="235" t="s">
        <v>354</v>
      </c>
      <c r="Q13" s="235" t="s">
        <v>354</v>
      </c>
      <c r="R13" s="625" t="s">
        <v>512</v>
      </c>
      <c r="S13" s="551">
        <v>0.0</v>
      </c>
      <c r="T13" s="551">
        <v>0.0</v>
      </c>
      <c r="U13" s="551" t="s">
        <v>354</v>
      </c>
      <c r="V13" s="551" t="s">
        <v>354</v>
      </c>
      <c r="W13" s="551" t="s">
        <v>354</v>
      </c>
      <c r="X13" s="551">
        <v>0.0</v>
      </c>
      <c r="Y13" s="551">
        <v>0.0</v>
      </c>
      <c r="Z13" s="551" t="s">
        <v>354</v>
      </c>
      <c r="AA13" s="551" t="s">
        <v>354</v>
      </c>
      <c r="AB13" s="63" t="s">
        <v>356</v>
      </c>
      <c r="AC13" s="63" t="s">
        <v>354</v>
      </c>
      <c r="AD13" s="615" t="s">
        <v>356</v>
      </c>
      <c r="AE13" s="616" t="s">
        <v>354</v>
      </c>
      <c r="AF13" s="558" t="s">
        <v>356</v>
      </c>
      <c r="AG13" s="558" t="s">
        <v>354</v>
      </c>
      <c r="AH13" s="33" t="s">
        <v>356</v>
      </c>
      <c r="AI13" s="33" t="s">
        <v>354</v>
      </c>
      <c r="AJ13" s="46">
        <f t="shared" si="1"/>
        <v>0</v>
      </c>
      <c r="AK13" s="182">
        <f t="shared" si="2"/>
        <v>0</v>
      </c>
      <c r="AL13" s="265"/>
      <c r="AM13" s="265"/>
      <c r="AN13" s="265"/>
      <c r="AO13" s="80">
        <v>0.0</v>
      </c>
      <c r="AP13" s="80">
        <v>0.0</v>
      </c>
      <c r="AQ13" s="80">
        <v>0.0</v>
      </c>
      <c r="AR13" s="80">
        <v>0.0</v>
      </c>
      <c r="AS13" s="80">
        <v>0.0</v>
      </c>
      <c r="AT13" s="224">
        <v>0.0</v>
      </c>
      <c r="AU13" s="80">
        <v>0.0</v>
      </c>
      <c r="AV13" s="80">
        <v>0.0</v>
      </c>
      <c r="AW13" s="182">
        <f t="shared" si="3"/>
        <v>0</v>
      </c>
      <c r="AX13" s="182">
        <f t="shared" si="4"/>
        <v>0</v>
      </c>
    </row>
    <row r="14">
      <c r="A14" s="49">
        <v>13.0</v>
      </c>
      <c r="B14" s="46" t="s">
        <v>100</v>
      </c>
      <c r="C14" s="45" t="s">
        <v>101</v>
      </c>
      <c r="D14" s="46" t="s">
        <v>101</v>
      </c>
      <c r="E14" s="18" t="s">
        <v>518</v>
      </c>
      <c r="F14" s="593">
        <v>40319.0</v>
      </c>
      <c r="G14" s="623" t="s">
        <v>439</v>
      </c>
      <c r="H14" s="45" t="s">
        <v>8</v>
      </c>
      <c r="I14" s="45" t="s">
        <v>7</v>
      </c>
      <c r="J14" s="235" t="s">
        <v>354</v>
      </c>
      <c r="K14" s="235" t="s">
        <v>354</v>
      </c>
      <c r="L14" s="614">
        <v>1.0</v>
      </c>
      <c r="M14" s="235" t="s">
        <v>354</v>
      </c>
      <c r="N14" s="624">
        <v>220.0</v>
      </c>
      <c r="O14" s="235" t="s">
        <v>354</v>
      </c>
      <c r="P14" s="235" t="s">
        <v>354</v>
      </c>
      <c r="Q14" s="235" t="s">
        <v>354</v>
      </c>
      <c r="R14" s="235" t="s">
        <v>354</v>
      </c>
      <c r="S14" s="551">
        <v>0.0</v>
      </c>
      <c r="T14" s="551">
        <v>0.0</v>
      </c>
      <c r="U14" s="551" t="s">
        <v>354</v>
      </c>
      <c r="V14" s="551" t="s">
        <v>354</v>
      </c>
      <c r="W14" s="551" t="s">
        <v>354</v>
      </c>
      <c r="X14" s="551">
        <v>0.0</v>
      </c>
      <c r="Y14" s="551">
        <v>0.0</v>
      </c>
      <c r="Z14" s="551" t="s">
        <v>354</v>
      </c>
      <c r="AA14" s="551" t="s">
        <v>354</v>
      </c>
      <c r="AB14" s="63" t="s">
        <v>356</v>
      </c>
      <c r="AC14" s="63" t="s">
        <v>354</v>
      </c>
      <c r="AD14" s="548" t="s">
        <v>365</v>
      </c>
      <c r="AE14" s="391" t="s">
        <v>380</v>
      </c>
      <c r="AF14" s="558" t="s">
        <v>356</v>
      </c>
      <c r="AG14" s="558" t="s">
        <v>354</v>
      </c>
      <c r="AH14" s="33" t="s">
        <v>356</v>
      </c>
      <c r="AI14" s="33" t="s">
        <v>354</v>
      </c>
      <c r="AJ14" s="357">
        <f t="shared" si="1"/>
        <v>1</v>
      </c>
      <c r="AK14" s="182">
        <f t="shared" si="2"/>
        <v>1</v>
      </c>
      <c r="AL14" s="265"/>
      <c r="AM14" s="265"/>
      <c r="AN14" s="265"/>
      <c r="AO14" s="80">
        <v>0.0</v>
      </c>
      <c r="AP14" s="80">
        <v>0.0</v>
      </c>
      <c r="AQ14" s="80">
        <v>0.0</v>
      </c>
      <c r="AR14" s="80">
        <v>0.0</v>
      </c>
      <c r="AS14" s="80">
        <v>0.0</v>
      </c>
      <c r="AT14" s="224">
        <v>0.0</v>
      </c>
      <c r="AU14" s="224">
        <v>1.0</v>
      </c>
      <c r="AV14" s="80">
        <v>0.0</v>
      </c>
      <c r="AW14" s="363">
        <f t="shared" si="3"/>
        <v>1</v>
      </c>
      <c r="AX14" s="363">
        <f t="shared" si="4"/>
        <v>1</v>
      </c>
    </row>
    <row r="15">
      <c r="A15" s="49">
        <v>14.0</v>
      </c>
      <c r="B15" s="46" t="s">
        <v>104</v>
      </c>
      <c r="C15" s="45" t="s">
        <v>105</v>
      </c>
      <c r="D15" s="46" t="s">
        <v>105</v>
      </c>
      <c r="E15" s="18" t="s">
        <v>522</v>
      </c>
      <c r="F15" s="593">
        <v>40319.0</v>
      </c>
      <c r="G15" s="623" t="s">
        <v>439</v>
      </c>
      <c r="H15" s="45" t="s">
        <v>67</v>
      </c>
      <c r="I15" s="45" t="s">
        <v>7</v>
      </c>
      <c r="J15" s="235" t="s">
        <v>354</v>
      </c>
      <c r="K15" s="614" t="s">
        <v>1649</v>
      </c>
      <c r="L15" s="614">
        <v>0.0</v>
      </c>
      <c r="M15" s="235" t="s">
        <v>354</v>
      </c>
      <c r="N15" s="624">
        <v>220.0</v>
      </c>
      <c r="O15" s="235" t="s">
        <v>354</v>
      </c>
      <c r="P15" s="235" t="s">
        <v>354</v>
      </c>
      <c r="Q15" s="235" t="s">
        <v>354</v>
      </c>
      <c r="R15" s="625" t="s">
        <v>527</v>
      </c>
      <c r="S15" s="551">
        <v>0.0</v>
      </c>
      <c r="T15" s="551">
        <v>0.0</v>
      </c>
      <c r="U15" s="551" t="s">
        <v>354</v>
      </c>
      <c r="V15" s="551" t="s">
        <v>354</v>
      </c>
      <c r="W15" s="551" t="s">
        <v>354</v>
      </c>
      <c r="X15" s="551">
        <v>0.0</v>
      </c>
      <c r="Y15" s="551">
        <v>0.0</v>
      </c>
      <c r="Z15" s="551" t="s">
        <v>354</v>
      </c>
      <c r="AA15" s="551" t="s">
        <v>354</v>
      </c>
      <c r="AB15" s="63" t="s">
        <v>356</v>
      </c>
      <c r="AC15" s="63" t="s">
        <v>354</v>
      </c>
      <c r="AD15" s="560" t="s">
        <v>361</v>
      </c>
      <c r="AE15" s="560" t="s">
        <v>361</v>
      </c>
      <c r="AF15" s="558" t="s">
        <v>356</v>
      </c>
      <c r="AG15" s="558" t="s">
        <v>354</v>
      </c>
      <c r="AH15" s="33" t="s">
        <v>356</v>
      </c>
      <c r="AI15" s="33" t="s">
        <v>354</v>
      </c>
      <c r="AJ15" s="46">
        <f t="shared" si="1"/>
        <v>0</v>
      </c>
      <c r="AK15" s="182">
        <f t="shared" si="2"/>
        <v>0</v>
      </c>
      <c r="AL15" s="265"/>
      <c r="AM15" s="265"/>
      <c r="AN15" s="265"/>
      <c r="AO15" s="80">
        <v>0.0</v>
      </c>
      <c r="AP15" s="80">
        <v>0.0</v>
      </c>
      <c r="AQ15" s="80">
        <v>0.0</v>
      </c>
      <c r="AR15" s="80">
        <v>0.0</v>
      </c>
      <c r="AS15" s="80">
        <v>0.0</v>
      </c>
      <c r="AT15" s="224">
        <v>0.0</v>
      </c>
      <c r="AU15" s="80">
        <v>0.0</v>
      </c>
      <c r="AV15" s="80">
        <v>0.0</v>
      </c>
      <c r="AW15" s="182">
        <f t="shared" si="3"/>
        <v>0</v>
      </c>
      <c r="AX15" s="182">
        <f t="shared" si="4"/>
        <v>0</v>
      </c>
    </row>
    <row r="16">
      <c r="A16" s="49">
        <v>15.0</v>
      </c>
      <c r="B16" s="46" t="s">
        <v>108</v>
      </c>
      <c r="C16" s="45" t="s">
        <v>109</v>
      </c>
      <c r="D16" s="46" t="s">
        <v>109</v>
      </c>
      <c r="E16" s="18" t="s">
        <v>536</v>
      </c>
      <c r="F16" s="593">
        <v>40319.0</v>
      </c>
      <c r="G16" s="623" t="s">
        <v>439</v>
      </c>
      <c r="H16" s="45" t="s">
        <v>8</v>
      </c>
      <c r="I16" s="85" t="s">
        <v>37</v>
      </c>
      <c r="J16" s="235" t="s">
        <v>354</v>
      </c>
      <c r="K16" s="235" t="s">
        <v>354</v>
      </c>
      <c r="L16" s="614">
        <v>1.0</v>
      </c>
      <c r="M16" s="624">
        <v>111.0</v>
      </c>
      <c r="N16" s="624">
        <v>170.0</v>
      </c>
      <c r="O16" s="235" t="s">
        <v>354</v>
      </c>
      <c r="P16" s="235" t="s">
        <v>354</v>
      </c>
      <c r="Q16" s="235" t="s">
        <v>354</v>
      </c>
      <c r="R16" s="235" t="s">
        <v>354</v>
      </c>
      <c r="S16" s="151">
        <v>35.71</v>
      </c>
      <c r="T16" s="551">
        <v>0.0</v>
      </c>
      <c r="U16" s="551" t="s">
        <v>354</v>
      </c>
      <c r="V16" s="551" t="s">
        <v>354</v>
      </c>
      <c r="W16" s="551" t="s">
        <v>354</v>
      </c>
      <c r="X16" s="551">
        <v>0.0</v>
      </c>
      <c r="Y16" s="551">
        <v>0.0</v>
      </c>
      <c r="Z16" s="551" t="s">
        <v>354</v>
      </c>
      <c r="AA16" s="551" t="s">
        <v>354</v>
      </c>
      <c r="AB16" s="56" t="s">
        <v>365</v>
      </c>
      <c r="AC16" s="26" t="s">
        <v>357</v>
      </c>
      <c r="AD16" s="548" t="s">
        <v>365</v>
      </c>
      <c r="AE16" s="102" t="s">
        <v>1646</v>
      </c>
      <c r="AF16" s="549" t="s">
        <v>365</v>
      </c>
      <c r="AG16" s="102" t="s">
        <v>357</v>
      </c>
      <c r="AH16" s="36" t="s">
        <v>365</v>
      </c>
      <c r="AI16" s="102" t="s">
        <v>357</v>
      </c>
      <c r="AJ16" s="357">
        <f t="shared" si="1"/>
        <v>4</v>
      </c>
      <c r="AK16" s="182">
        <f t="shared" si="2"/>
        <v>1</v>
      </c>
      <c r="AL16" s="265"/>
      <c r="AM16" s="265"/>
      <c r="AN16" s="265"/>
      <c r="AO16" s="80">
        <v>0.0</v>
      </c>
      <c r="AP16" s="80">
        <v>0.0</v>
      </c>
      <c r="AQ16" s="80">
        <v>0.0</v>
      </c>
      <c r="AR16" s="80">
        <v>0.0</v>
      </c>
      <c r="AS16" s="80">
        <v>0.0</v>
      </c>
      <c r="AT16" s="224">
        <v>3.0</v>
      </c>
      <c r="AU16" s="80">
        <v>0.0</v>
      </c>
      <c r="AV16" s="80">
        <v>0.0</v>
      </c>
      <c r="AW16" s="358">
        <f t="shared" si="3"/>
        <v>3</v>
      </c>
      <c r="AX16" s="358">
        <f t="shared" si="4"/>
        <v>1</v>
      </c>
    </row>
    <row r="17">
      <c r="A17" s="49">
        <v>16.0</v>
      </c>
      <c r="B17" s="46" t="s">
        <v>112</v>
      </c>
      <c r="C17" s="45" t="s">
        <v>113</v>
      </c>
      <c r="D17" s="46" t="s">
        <v>113</v>
      </c>
      <c r="E17" s="98" t="s">
        <v>541</v>
      </c>
      <c r="F17" s="593">
        <v>40319.0</v>
      </c>
      <c r="G17" s="623" t="s">
        <v>439</v>
      </c>
      <c r="H17" s="45" t="s">
        <v>8</v>
      </c>
      <c r="I17" s="45" t="s">
        <v>7</v>
      </c>
      <c r="J17" s="235" t="s">
        <v>354</v>
      </c>
      <c r="K17" s="235" t="s">
        <v>354</v>
      </c>
      <c r="L17" s="614">
        <v>0.0</v>
      </c>
      <c r="M17" s="235" t="s">
        <v>354</v>
      </c>
      <c r="N17" s="624">
        <v>220.0</v>
      </c>
      <c r="O17" s="235" t="s">
        <v>354</v>
      </c>
      <c r="P17" s="235" t="s">
        <v>354</v>
      </c>
      <c r="Q17" s="235" t="s">
        <v>354</v>
      </c>
      <c r="R17" s="235" t="s">
        <v>354</v>
      </c>
      <c r="S17" s="551">
        <v>0.0</v>
      </c>
      <c r="T17" s="551">
        <v>0.0</v>
      </c>
      <c r="U17" s="551" t="s">
        <v>354</v>
      </c>
      <c r="V17" s="551" t="s">
        <v>354</v>
      </c>
      <c r="W17" s="551" t="s">
        <v>354</v>
      </c>
      <c r="X17" s="551">
        <v>0.0</v>
      </c>
      <c r="Y17" s="551">
        <v>0.0</v>
      </c>
      <c r="Z17" s="551" t="s">
        <v>354</v>
      </c>
      <c r="AA17" s="551" t="s">
        <v>354</v>
      </c>
      <c r="AB17" s="63" t="s">
        <v>356</v>
      </c>
      <c r="AC17" s="63" t="s">
        <v>354</v>
      </c>
      <c r="AD17" s="548" t="s">
        <v>365</v>
      </c>
      <c r="AE17" s="155" t="s">
        <v>1651</v>
      </c>
      <c r="AF17" s="549" t="s">
        <v>365</v>
      </c>
      <c r="AG17" s="155" t="s">
        <v>363</v>
      </c>
      <c r="AH17" s="36" t="s">
        <v>365</v>
      </c>
      <c r="AI17" s="155" t="s">
        <v>363</v>
      </c>
      <c r="AJ17" s="357">
        <f t="shared" si="1"/>
        <v>3</v>
      </c>
      <c r="AK17" s="182">
        <f t="shared" si="2"/>
        <v>1</v>
      </c>
      <c r="AL17" s="265"/>
      <c r="AM17" s="265"/>
      <c r="AN17" s="265"/>
      <c r="AO17" s="80">
        <v>0.0</v>
      </c>
      <c r="AP17" s="80">
        <v>0.0</v>
      </c>
      <c r="AQ17" s="80">
        <v>0.0</v>
      </c>
      <c r="AR17" s="224">
        <v>3.0</v>
      </c>
      <c r="AS17" s="80">
        <v>0.0</v>
      </c>
      <c r="AT17" s="224">
        <v>0.0</v>
      </c>
      <c r="AU17" s="80">
        <v>0.0</v>
      </c>
      <c r="AV17" s="80">
        <v>0.0</v>
      </c>
      <c r="AW17" s="358">
        <f t="shared" si="3"/>
        <v>3</v>
      </c>
      <c r="AX17" s="358">
        <f t="shared" si="4"/>
        <v>1</v>
      </c>
    </row>
    <row r="18">
      <c r="A18" s="49">
        <v>17.0</v>
      </c>
      <c r="B18" s="46" t="s">
        <v>119</v>
      </c>
      <c r="C18" s="45" t="s">
        <v>120</v>
      </c>
      <c r="D18" s="622" t="s">
        <v>120</v>
      </c>
      <c r="E18" s="602" t="s">
        <v>552</v>
      </c>
      <c r="F18" s="593">
        <v>40319.0</v>
      </c>
      <c r="G18" s="623" t="s">
        <v>547</v>
      </c>
      <c r="H18" s="45" t="s">
        <v>8</v>
      </c>
      <c r="I18" s="85" t="s">
        <v>37</v>
      </c>
      <c r="J18" s="235" t="s">
        <v>354</v>
      </c>
      <c r="K18" s="235" t="s">
        <v>354</v>
      </c>
      <c r="L18" s="614">
        <v>1.0</v>
      </c>
      <c r="M18" s="235" t="s">
        <v>354</v>
      </c>
      <c r="N18" s="624">
        <v>170.0</v>
      </c>
      <c r="O18" s="235" t="s">
        <v>354</v>
      </c>
      <c r="P18" s="235" t="s">
        <v>354</v>
      </c>
      <c r="Q18" s="235" t="s">
        <v>354</v>
      </c>
      <c r="R18" s="235" t="s">
        <v>354</v>
      </c>
      <c r="S18" s="551">
        <v>0.0</v>
      </c>
      <c r="T18" s="551">
        <v>0.0</v>
      </c>
      <c r="U18" s="551" t="s">
        <v>354</v>
      </c>
      <c r="V18" s="551" t="s">
        <v>354</v>
      </c>
      <c r="W18" s="551" t="s">
        <v>354</v>
      </c>
      <c r="X18" s="551">
        <v>0.0</v>
      </c>
      <c r="Y18" s="221">
        <v>38.13</v>
      </c>
      <c r="Z18" s="551" t="s">
        <v>356</v>
      </c>
      <c r="AA18" s="551" t="s">
        <v>354</v>
      </c>
      <c r="AB18" s="63" t="s">
        <v>356</v>
      </c>
      <c r="AC18" s="63" t="s">
        <v>354</v>
      </c>
      <c r="AD18" s="615" t="s">
        <v>356</v>
      </c>
      <c r="AE18" s="616" t="s">
        <v>354</v>
      </c>
      <c r="AF18" s="558" t="s">
        <v>356</v>
      </c>
      <c r="AG18" s="558" t="s">
        <v>354</v>
      </c>
      <c r="AH18" s="33" t="s">
        <v>356</v>
      </c>
      <c r="AI18" s="33" t="s">
        <v>354</v>
      </c>
      <c r="AJ18" s="46">
        <f t="shared" si="1"/>
        <v>0</v>
      </c>
      <c r="AK18" s="182">
        <f t="shared" si="2"/>
        <v>0</v>
      </c>
      <c r="AL18" s="265"/>
      <c r="AM18" s="265"/>
      <c r="AN18" s="265"/>
      <c r="AO18" s="80">
        <v>0.0</v>
      </c>
      <c r="AP18" s="80">
        <v>0.0</v>
      </c>
      <c r="AQ18" s="80">
        <v>0.0</v>
      </c>
      <c r="AR18" s="80">
        <v>0.0</v>
      </c>
      <c r="AS18" s="80">
        <v>0.0</v>
      </c>
      <c r="AT18" s="224">
        <v>0.0</v>
      </c>
      <c r="AU18" s="80">
        <v>0.0</v>
      </c>
      <c r="AV18" s="80">
        <v>0.0</v>
      </c>
      <c r="AW18" s="182">
        <f t="shared" si="3"/>
        <v>0</v>
      </c>
      <c r="AX18" s="182">
        <f t="shared" si="4"/>
        <v>0</v>
      </c>
    </row>
    <row r="19">
      <c r="A19" s="49">
        <v>18.0</v>
      </c>
      <c r="B19" s="46" t="s">
        <v>122</v>
      </c>
      <c r="C19" s="45" t="s">
        <v>123</v>
      </c>
      <c r="D19" s="46" t="s">
        <v>123</v>
      </c>
      <c r="E19" s="98" t="s">
        <v>557</v>
      </c>
      <c r="F19" s="593">
        <v>40319.0</v>
      </c>
      <c r="G19" s="623" t="s">
        <v>547</v>
      </c>
      <c r="H19" s="45" t="s">
        <v>8</v>
      </c>
      <c r="I19" s="45" t="s">
        <v>7</v>
      </c>
      <c r="J19" s="235" t="s">
        <v>354</v>
      </c>
      <c r="K19" s="235" t="s">
        <v>354</v>
      </c>
      <c r="L19" s="614">
        <v>1.0</v>
      </c>
      <c r="M19" s="235" t="s">
        <v>354</v>
      </c>
      <c r="N19" s="624">
        <v>245.0</v>
      </c>
      <c r="O19" s="235" t="s">
        <v>354</v>
      </c>
      <c r="P19" s="235" t="s">
        <v>354</v>
      </c>
      <c r="Q19" s="235" t="s">
        <v>354</v>
      </c>
      <c r="R19" s="235" t="s">
        <v>354</v>
      </c>
      <c r="S19" s="551">
        <v>0.0</v>
      </c>
      <c r="T19" s="551">
        <v>0.0</v>
      </c>
      <c r="U19" s="551" t="s">
        <v>354</v>
      </c>
      <c r="V19" s="551" t="s">
        <v>354</v>
      </c>
      <c r="W19" s="551" t="s">
        <v>354</v>
      </c>
      <c r="X19" s="551">
        <v>0.0</v>
      </c>
      <c r="Y19" s="551">
        <v>0.0</v>
      </c>
      <c r="Z19" s="551" t="s">
        <v>354</v>
      </c>
      <c r="AA19" s="551" t="s">
        <v>354</v>
      </c>
      <c r="AB19" s="63" t="s">
        <v>356</v>
      </c>
      <c r="AC19" s="63" t="s">
        <v>354</v>
      </c>
      <c r="AD19" s="560" t="s">
        <v>361</v>
      </c>
      <c r="AE19" s="560" t="s">
        <v>361</v>
      </c>
      <c r="AF19" s="558" t="s">
        <v>356</v>
      </c>
      <c r="AG19" s="558" t="s">
        <v>354</v>
      </c>
      <c r="AH19" s="33" t="s">
        <v>356</v>
      </c>
      <c r="AI19" s="33" t="s">
        <v>354</v>
      </c>
      <c r="AJ19" s="46">
        <f t="shared" si="1"/>
        <v>0</v>
      </c>
      <c r="AK19" s="182">
        <f t="shared" si="2"/>
        <v>0</v>
      </c>
      <c r="AL19" s="265"/>
      <c r="AM19" s="265"/>
      <c r="AN19" s="265"/>
      <c r="AO19" s="80">
        <v>0.0</v>
      </c>
      <c r="AP19" s="80">
        <v>0.0</v>
      </c>
      <c r="AQ19" s="80">
        <v>0.0</v>
      </c>
      <c r="AR19" s="80">
        <v>0.0</v>
      </c>
      <c r="AS19" s="80">
        <v>0.0</v>
      </c>
      <c r="AT19" s="224">
        <v>0.0</v>
      </c>
      <c r="AU19" s="80">
        <v>0.0</v>
      </c>
      <c r="AV19" s="80">
        <v>0.0</v>
      </c>
      <c r="AW19" s="182">
        <f t="shared" si="3"/>
        <v>0</v>
      </c>
      <c r="AX19" s="182">
        <f t="shared" si="4"/>
        <v>0</v>
      </c>
    </row>
    <row r="20">
      <c r="A20" s="49">
        <v>19.0</v>
      </c>
      <c r="B20" s="46" t="s">
        <v>125</v>
      </c>
      <c r="C20" s="45" t="s">
        <v>126</v>
      </c>
      <c r="D20" s="49" t="s">
        <v>560</v>
      </c>
      <c r="E20" s="18" t="s">
        <v>561</v>
      </c>
      <c r="F20" s="593">
        <v>40319.0</v>
      </c>
      <c r="G20" s="623" t="s">
        <v>547</v>
      </c>
      <c r="H20" s="45" t="s">
        <v>8</v>
      </c>
      <c r="I20" s="45" t="s">
        <v>7</v>
      </c>
      <c r="J20" s="235" t="s">
        <v>354</v>
      </c>
      <c r="K20" s="235" t="s">
        <v>354</v>
      </c>
      <c r="L20" s="614">
        <v>0.0</v>
      </c>
      <c r="M20" s="235" t="s">
        <v>354</v>
      </c>
      <c r="N20" s="624">
        <v>205.0</v>
      </c>
      <c r="O20" s="235" t="s">
        <v>354</v>
      </c>
      <c r="P20" s="235" t="s">
        <v>354</v>
      </c>
      <c r="Q20" s="235" t="s">
        <v>354</v>
      </c>
      <c r="R20" s="235" t="s">
        <v>354</v>
      </c>
      <c r="S20" s="551">
        <v>0.0</v>
      </c>
      <c r="T20" s="551">
        <v>0.0</v>
      </c>
      <c r="U20" s="551" t="s">
        <v>354</v>
      </c>
      <c r="V20" s="551" t="s">
        <v>354</v>
      </c>
      <c r="W20" s="551" t="s">
        <v>354</v>
      </c>
      <c r="X20" s="551">
        <v>0.0</v>
      </c>
      <c r="Y20" s="551">
        <v>0.0</v>
      </c>
      <c r="Z20" s="551" t="s">
        <v>354</v>
      </c>
      <c r="AA20" s="551" t="s">
        <v>354</v>
      </c>
      <c r="AB20" s="63" t="s">
        <v>356</v>
      </c>
      <c r="AC20" s="63" t="s">
        <v>354</v>
      </c>
      <c r="AD20" s="615" t="s">
        <v>356</v>
      </c>
      <c r="AE20" s="616" t="s">
        <v>354</v>
      </c>
      <c r="AF20" s="558" t="s">
        <v>356</v>
      </c>
      <c r="AG20" s="558" t="s">
        <v>354</v>
      </c>
      <c r="AH20" s="33" t="s">
        <v>356</v>
      </c>
      <c r="AI20" s="33" t="s">
        <v>354</v>
      </c>
      <c r="AJ20" s="46">
        <f t="shared" si="1"/>
        <v>0</v>
      </c>
      <c r="AK20" s="182">
        <f t="shared" si="2"/>
        <v>0</v>
      </c>
      <c r="AL20" s="265"/>
      <c r="AM20" s="265"/>
      <c r="AN20" s="265"/>
      <c r="AO20" s="80">
        <v>0.0</v>
      </c>
      <c r="AP20" s="80">
        <v>0.0</v>
      </c>
      <c r="AQ20" s="80">
        <v>0.0</v>
      </c>
      <c r="AR20" s="80">
        <v>0.0</v>
      </c>
      <c r="AS20" s="80">
        <v>0.0</v>
      </c>
      <c r="AT20" s="224">
        <v>0.0</v>
      </c>
      <c r="AU20" s="80">
        <v>0.0</v>
      </c>
      <c r="AV20" s="80">
        <v>0.0</v>
      </c>
      <c r="AW20" s="182">
        <f t="shared" si="3"/>
        <v>0</v>
      </c>
      <c r="AX20" s="182">
        <f t="shared" si="4"/>
        <v>0</v>
      </c>
    </row>
    <row r="21">
      <c r="A21" s="49">
        <v>20.0</v>
      </c>
      <c r="B21" s="46" t="s">
        <v>128</v>
      </c>
      <c r="C21" s="45" t="s">
        <v>129</v>
      </c>
      <c r="D21" s="622" t="s">
        <v>129</v>
      </c>
      <c r="E21" s="602" t="s">
        <v>564</v>
      </c>
      <c r="F21" s="593">
        <v>40319.0</v>
      </c>
      <c r="G21" s="623" t="s">
        <v>547</v>
      </c>
      <c r="H21" s="45" t="s">
        <v>8</v>
      </c>
      <c r="I21" s="45" t="s">
        <v>7</v>
      </c>
      <c r="J21" s="235" t="s">
        <v>354</v>
      </c>
      <c r="K21" s="235" t="s">
        <v>354</v>
      </c>
      <c r="L21" s="614">
        <v>0.0</v>
      </c>
      <c r="M21" s="235" t="s">
        <v>354</v>
      </c>
      <c r="N21" s="624">
        <v>240.0</v>
      </c>
      <c r="O21" s="235" t="s">
        <v>354</v>
      </c>
      <c r="P21" s="235" t="s">
        <v>354</v>
      </c>
      <c r="Q21" s="235" t="s">
        <v>354</v>
      </c>
      <c r="R21" s="235" t="s">
        <v>354</v>
      </c>
      <c r="S21" s="551">
        <v>0.0</v>
      </c>
      <c r="T21" s="551">
        <v>0.0</v>
      </c>
      <c r="U21" s="551" t="s">
        <v>354</v>
      </c>
      <c r="V21" s="551" t="s">
        <v>354</v>
      </c>
      <c r="W21" s="551" t="s">
        <v>354</v>
      </c>
      <c r="X21" s="551">
        <v>0.0</v>
      </c>
      <c r="Y21" s="221">
        <v>37.2</v>
      </c>
      <c r="Z21" s="551" t="s">
        <v>356</v>
      </c>
      <c r="AA21" s="551" t="s">
        <v>354</v>
      </c>
      <c r="AB21" s="63" t="s">
        <v>356</v>
      </c>
      <c r="AC21" s="63" t="s">
        <v>354</v>
      </c>
      <c r="AD21" s="560" t="s">
        <v>361</v>
      </c>
      <c r="AE21" s="560" t="s">
        <v>361</v>
      </c>
      <c r="AF21" s="558" t="s">
        <v>356</v>
      </c>
      <c r="AG21" s="558" t="s">
        <v>354</v>
      </c>
      <c r="AH21" s="33" t="s">
        <v>356</v>
      </c>
      <c r="AI21" s="33" t="s">
        <v>354</v>
      </c>
      <c r="AJ21" s="46">
        <f t="shared" si="1"/>
        <v>0</v>
      </c>
      <c r="AK21" s="182">
        <f t="shared" si="2"/>
        <v>0</v>
      </c>
      <c r="AL21" s="265"/>
      <c r="AM21" s="265"/>
      <c r="AN21" s="265"/>
      <c r="AO21" s="80">
        <v>0.0</v>
      </c>
      <c r="AP21" s="80">
        <v>0.0</v>
      </c>
      <c r="AQ21" s="80">
        <v>0.0</v>
      </c>
      <c r="AR21" s="80">
        <v>0.0</v>
      </c>
      <c r="AS21" s="80">
        <v>0.0</v>
      </c>
      <c r="AT21" s="224">
        <v>0.0</v>
      </c>
      <c r="AU21" s="80">
        <v>0.0</v>
      </c>
      <c r="AV21" s="80">
        <v>0.0</v>
      </c>
      <c r="AW21" s="182">
        <f t="shared" si="3"/>
        <v>0</v>
      </c>
      <c r="AX21" s="182">
        <f t="shared" si="4"/>
        <v>0</v>
      </c>
    </row>
    <row r="22">
      <c r="A22" s="49">
        <v>21.0</v>
      </c>
      <c r="B22" s="46" t="s">
        <v>131</v>
      </c>
      <c r="C22" s="45" t="s">
        <v>132</v>
      </c>
      <c r="D22" s="49" t="s">
        <v>1425</v>
      </c>
      <c r="E22" s="18" t="s">
        <v>573</v>
      </c>
      <c r="F22" s="593">
        <v>40319.0</v>
      </c>
      <c r="G22" s="623" t="s">
        <v>547</v>
      </c>
      <c r="H22" s="45" t="s">
        <v>67</v>
      </c>
      <c r="I22" s="45" t="s">
        <v>7</v>
      </c>
      <c r="J22" s="235" t="s">
        <v>354</v>
      </c>
      <c r="K22" s="614" t="s">
        <v>1649</v>
      </c>
      <c r="L22" s="614">
        <v>1.0</v>
      </c>
      <c r="M22" s="235" t="s">
        <v>354</v>
      </c>
      <c r="N22" s="624">
        <v>230.0</v>
      </c>
      <c r="O22" s="235" t="s">
        <v>354</v>
      </c>
      <c r="P22" s="235" t="s">
        <v>354</v>
      </c>
      <c r="Q22" s="235" t="s">
        <v>354</v>
      </c>
      <c r="R22" s="625" t="s">
        <v>576</v>
      </c>
      <c r="S22" s="551">
        <v>0.0</v>
      </c>
      <c r="T22" s="551">
        <v>0.0</v>
      </c>
      <c r="U22" s="551" t="s">
        <v>354</v>
      </c>
      <c r="V22" s="551" t="s">
        <v>354</v>
      </c>
      <c r="W22" s="551" t="s">
        <v>354</v>
      </c>
      <c r="X22" s="551">
        <v>0.0</v>
      </c>
      <c r="Y22" s="551">
        <v>0.0</v>
      </c>
      <c r="Z22" s="551" t="s">
        <v>354</v>
      </c>
      <c r="AA22" s="551" t="s">
        <v>354</v>
      </c>
      <c r="AB22" s="63" t="s">
        <v>356</v>
      </c>
      <c r="AC22" s="63" t="s">
        <v>354</v>
      </c>
      <c r="AD22" s="615" t="s">
        <v>356</v>
      </c>
      <c r="AE22" s="616" t="s">
        <v>354</v>
      </c>
      <c r="AF22" s="558" t="s">
        <v>356</v>
      </c>
      <c r="AG22" s="558" t="s">
        <v>354</v>
      </c>
      <c r="AH22" s="36" t="s">
        <v>365</v>
      </c>
      <c r="AI22" s="102" t="s">
        <v>357</v>
      </c>
      <c r="AJ22" s="357">
        <f t="shared" si="1"/>
        <v>1</v>
      </c>
      <c r="AK22" s="182">
        <f t="shared" si="2"/>
        <v>1</v>
      </c>
      <c r="AL22" s="265"/>
      <c r="AM22" s="265"/>
      <c r="AN22" s="265"/>
      <c r="AO22" s="80">
        <v>0.0</v>
      </c>
      <c r="AP22" s="80">
        <v>0.0</v>
      </c>
      <c r="AQ22" s="80">
        <v>0.0</v>
      </c>
      <c r="AR22" s="80">
        <v>0.0</v>
      </c>
      <c r="AS22" s="80">
        <v>0.0</v>
      </c>
      <c r="AT22" s="224">
        <v>1.0</v>
      </c>
      <c r="AU22" s="80">
        <v>0.0</v>
      </c>
      <c r="AV22" s="80">
        <v>0.0</v>
      </c>
      <c r="AW22" s="363">
        <f t="shared" si="3"/>
        <v>1</v>
      </c>
      <c r="AX22" s="363">
        <f t="shared" si="4"/>
        <v>1</v>
      </c>
    </row>
    <row r="23">
      <c r="A23" s="49">
        <v>22.0</v>
      </c>
      <c r="B23" s="46" t="s">
        <v>134</v>
      </c>
      <c r="C23" s="45" t="s">
        <v>135</v>
      </c>
      <c r="D23" s="46" t="s">
        <v>135</v>
      </c>
      <c r="E23" s="18" t="s">
        <v>596</v>
      </c>
      <c r="F23" s="593">
        <v>40319.0</v>
      </c>
      <c r="G23" s="623" t="s">
        <v>547</v>
      </c>
      <c r="H23" s="45" t="s">
        <v>8</v>
      </c>
      <c r="I23" s="45" t="s">
        <v>7</v>
      </c>
      <c r="J23" s="235" t="s">
        <v>354</v>
      </c>
      <c r="K23" s="235" t="s">
        <v>354</v>
      </c>
      <c r="L23" s="614">
        <v>1.0</v>
      </c>
      <c r="M23" s="235" t="s">
        <v>354</v>
      </c>
      <c r="N23" s="624">
        <v>210.0</v>
      </c>
      <c r="O23" s="235" t="s">
        <v>354</v>
      </c>
      <c r="P23" s="235" t="s">
        <v>354</v>
      </c>
      <c r="Q23" s="235" t="s">
        <v>354</v>
      </c>
      <c r="R23" s="235" t="s">
        <v>354</v>
      </c>
      <c r="S23" s="551">
        <v>0.0</v>
      </c>
      <c r="T23" s="551">
        <v>0.0</v>
      </c>
      <c r="U23" s="551" t="s">
        <v>354</v>
      </c>
      <c r="V23" s="551" t="s">
        <v>354</v>
      </c>
      <c r="W23" s="551" t="s">
        <v>354</v>
      </c>
      <c r="X23" s="551">
        <v>0.0</v>
      </c>
      <c r="Y23" s="551">
        <v>0.0</v>
      </c>
      <c r="Z23" s="551" t="s">
        <v>354</v>
      </c>
      <c r="AA23" s="551" t="s">
        <v>354</v>
      </c>
      <c r="AB23" s="63" t="s">
        <v>356</v>
      </c>
      <c r="AC23" s="63" t="s">
        <v>354</v>
      </c>
      <c r="AD23" s="560" t="s">
        <v>361</v>
      </c>
      <c r="AE23" s="560" t="s">
        <v>361</v>
      </c>
      <c r="AF23" s="558" t="s">
        <v>356</v>
      </c>
      <c r="AG23" s="558" t="s">
        <v>354</v>
      </c>
      <c r="AH23" s="33" t="s">
        <v>356</v>
      </c>
      <c r="AI23" s="33" t="s">
        <v>354</v>
      </c>
      <c r="AJ23" s="46">
        <f t="shared" si="1"/>
        <v>0</v>
      </c>
      <c r="AK23" s="182">
        <f t="shared" si="2"/>
        <v>0</v>
      </c>
      <c r="AL23" s="265"/>
      <c r="AM23" s="265"/>
      <c r="AN23" s="265"/>
      <c r="AO23" s="80">
        <v>0.0</v>
      </c>
      <c r="AP23" s="80">
        <v>0.0</v>
      </c>
      <c r="AQ23" s="80">
        <v>0.0</v>
      </c>
      <c r="AR23" s="80">
        <v>0.0</v>
      </c>
      <c r="AS23" s="80">
        <v>0.0</v>
      </c>
      <c r="AT23" s="224">
        <v>0.0</v>
      </c>
      <c r="AU23" s="80">
        <v>0.0</v>
      </c>
      <c r="AV23" s="80">
        <v>0.0</v>
      </c>
      <c r="AW23" s="182">
        <f t="shared" si="3"/>
        <v>0</v>
      </c>
      <c r="AX23" s="182">
        <f t="shared" si="4"/>
        <v>0</v>
      </c>
    </row>
    <row r="24">
      <c r="A24" s="49">
        <v>23.0</v>
      </c>
      <c r="B24" s="46" t="s">
        <v>137</v>
      </c>
      <c r="C24" s="45" t="s">
        <v>138</v>
      </c>
      <c r="D24" s="46" t="s">
        <v>138</v>
      </c>
      <c r="E24" s="98" t="s">
        <v>1614</v>
      </c>
      <c r="F24" s="593">
        <v>40319.0</v>
      </c>
      <c r="G24" s="623" t="s">
        <v>547</v>
      </c>
      <c r="H24" s="45" t="s">
        <v>8</v>
      </c>
      <c r="I24" s="45" t="s">
        <v>37</v>
      </c>
      <c r="J24" s="235" t="s">
        <v>354</v>
      </c>
      <c r="K24" s="235" t="s">
        <v>354</v>
      </c>
      <c r="L24" s="614">
        <v>1.0</v>
      </c>
      <c r="M24" s="235" t="s">
        <v>354</v>
      </c>
      <c r="N24" s="624">
        <v>175.0</v>
      </c>
      <c r="O24" s="235" t="s">
        <v>354</v>
      </c>
      <c r="P24" s="235" t="s">
        <v>354</v>
      </c>
      <c r="Q24" s="235" t="s">
        <v>354</v>
      </c>
      <c r="R24" s="625" t="s">
        <v>603</v>
      </c>
      <c r="S24" s="151">
        <v>31.6</v>
      </c>
      <c r="T24" s="551">
        <v>0.0</v>
      </c>
      <c r="U24" s="551" t="s">
        <v>354</v>
      </c>
      <c r="V24" s="551" t="s">
        <v>354</v>
      </c>
      <c r="W24" s="551" t="s">
        <v>354</v>
      </c>
      <c r="X24" s="551">
        <v>0.0</v>
      </c>
      <c r="Y24" s="551">
        <v>0.0</v>
      </c>
      <c r="Z24" s="551" t="s">
        <v>354</v>
      </c>
      <c r="AA24" s="551" t="s">
        <v>354</v>
      </c>
      <c r="AB24" s="56" t="s">
        <v>365</v>
      </c>
      <c r="AC24" s="73" t="s">
        <v>357</v>
      </c>
      <c r="AD24" s="548" t="s">
        <v>365</v>
      </c>
      <c r="AE24" s="102" t="s">
        <v>1646</v>
      </c>
      <c r="AF24" s="549" t="s">
        <v>365</v>
      </c>
      <c r="AG24" s="102" t="s">
        <v>357</v>
      </c>
      <c r="AH24" s="36" t="s">
        <v>365</v>
      </c>
      <c r="AI24" s="102" t="s">
        <v>357</v>
      </c>
      <c r="AJ24" s="357">
        <f t="shared" si="1"/>
        <v>4</v>
      </c>
      <c r="AK24" s="182">
        <f t="shared" si="2"/>
        <v>1</v>
      </c>
      <c r="AL24" s="265"/>
      <c r="AM24" s="265"/>
      <c r="AN24" s="265"/>
      <c r="AO24" s="80">
        <v>0.0</v>
      </c>
      <c r="AP24" s="80">
        <v>0.0</v>
      </c>
      <c r="AQ24" s="80">
        <v>0.0</v>
      </c>
      <c r="AR24" s="80">
        <v>0.0</v>
      </c>
      <c r="AS24" s="80">
        <v>0.0</v>
      </c>
      <c r="AT24" s="224">
        <v>3.0</v>
      </c>
      <c r="AU24" s="80">
        <v>0.0</v>
      </c>
      <c r="AV24" s="80">
        <v>0.0</v>
      </c>
      <c r="AW24" s="358">
        <f t="shared" si="3"/>
        <v>3</v>
      </c>
      <c r="AX24" s="358">
        <f t="shared" si="4"/>
        <v>1</v>
      </c>
    </row>
    <row r="25">
      <c r="A25" s="49">
        <v>24.0</v>
      </c>
      <c r="B25" s="46" t="s">
        <v>140</v>
      </c>
      <c r="C25" s="45" t="s">
        <v>141</v>
      </c>
      <c r="D25" s="46" t="s">
        <v>141</v>
      </c>
      <c r="E25" s="18" t="s">
        <v>609</v>
      </c>
      <c r="F25" s="593">
        <v>40319.0</v>
      </c>
      <c r="G25" s="623" t="s">
        <v>547</v>
      </c>
      <c r="H25" s="45" t="s">
        <v>8</v>
      </c>
      <c r="I25" s="45" t="s">
        <v>7</v>
      </c>
      <c r="J25" s="235" t="s">
        <v>354</v>
      </c>
      <c r="K25" s="235" t="s">
        <v>354</v>
      </c>
      <c r="L25" s="614">
        <v>1.0</v>
      </c>
      <c r="M25" s="235" t="s">
        <v>354</v>
      </c>
      <c r="N25" s="624">
        <v>230.0</v>
      </c>
      <c r="O25" s="235" t="s">
        <v>354</v>
      </c>
      <c r="P25" s="235" t="s">
        <v>354</v>
      </c>
      <c r="Q25" s="235" t="s">
        <v>354</v>
      </c>
      <c r="R25" s="235" t="s">
        <v>354</v>
      </c>
      <c r="S25" s="551">
        <v>0.0</v>
      </c>
      <c r="T25" s="551">
        <v>0.0</v>
      </c>
      <c r="U25" s="551" t="s">
        <v>354</v>
      </c>
      <c r="V25" s="551" t="s">
        <v>354</v>
      </c>
      <c r="W25" s="551" t="s">
        <v>354</v>
      </c>
      <c r="X25" s="551">
        <v>0.0</v>
      </c>
      <c r="Y25" s="551">
        <v>0.0</v>
      </c>
      <c r="Z25" s="551" t="s">
        <v>354</v>
      </c>
      <c r="AA25" s="551" t="s">
        <v>354</v>
      </c>
      <c r="AB25" s="63" t="s">
        <v>356</v>
      </c>
      <c r="AC25" s="63" t="s">
        <v>354</v>
      </c>
      <c r="AD25" s="615" t="s">
        <v>356</v>
      </c>
      <c r="AE25" s="616" t="s">
        <v>354</v>
      </c>
      <c r="AF25" s="558" t="s">
        <v>356</v>
      </c>
      <c r="AG25" s="558" t="s">
        <v>354</v>
      </c>
      <c r="AH25" s="36" t="s">
        <v>365</v>
      </c>
      <c r="AI25" s="155" t="s">
        <v>363</v>
      </c>
      <c r="AJ25" s="357">
        <f t="shared" si="1"/>
        <v>1</v>
      </c>
      <c r="AK25" s="182">
        <f t="shared" si="2"/>
        <v>1</v>
      </c>
      <c r="AL25" s="265"/>
      <c r="AM25" s="265"/>
      <c r="AN25" s="265"/>
      <c r="AO25" s="80">
        <v>0.0</v>
      </c>
      <c r="AP25" s="80">
        <v>0.0</v>
      </c>
      <c r="AQ25" s="80">
        <v>0.0</v>
      </c>
      <c r="AR25" s="224">
        <v>1.0</v>
      </c>
      <c r="AS25" s="80">
        <v>0.0</v>
      </c>
      <c r="AT25" s="224">
        <v>0.0</v>
      </c>
      <c r="AU25" s="80">
        <v>0.0</v>
      </c>
      <c r="AV25" s="80">
        <v>0.0</v>
      </c>
      <c r="AW25" s="363">
        <f t="shared" si="3"/>
        <v>1</v>
      </c>
      <c r="AX25" s="363">
        <f t="shared" si="4"/>
        <v>1</v>
      </c>
    </row>
    <row r="26">
      <c r="A26" s="49">
        <v>25.0</v>
      </c>
      <c r="B26" s="46" t="s">
        <v>143</v>
      </c>
      <c r="C26" s="45" t="s">
        <v>144</v>
      </c>
      <c r="D26" s="49" t="s">
        <v>616</v>
      </c>
      <c r="E26" s="18" t="s">
        <v>617</v>
      </c>
      <c r="F26" s="593">
        <v>40319.0</v>
      </c>
      <c r="G26" s="623" t="s">
        <v>547</v>
      </c>
      <c r="H26" s="45" t="s">
        <v>8</v>
      </c>
      <c r="I26" s="45" t="s">
        <v>7</v>
      </c>
      <c r="J26" s="235" t="s">
        <v>354</v>
      </c>
      <c r="K26" s="235" t="s">
        <v>354</v>
      </c>
      <c r="L26" s="614">
        <v>0.0</v>
      </c>
      <c r="M26" s="235" t="s">
        <v>354</v>
      </c>
      <c r="N26" s="624">
        <v>220.0</v>
      </c>
      <c r="O26" s="235" t="s">
        <v>354</v>
      </c>
      <c r="P26" s="235" t="s">
        <v>354</v>
      </c>
      <c r="Q26" s="235" t="s">
        <v>354</v>
      </c>
      <c r="R26" s="625" t="s">
        <v>620</v>
      </c>
      <c r="S26" s="151">
        <v>32.29</v>
      </c>
      <c r="T26" s="551">
        <v>0.0</v>
      </c>
      <c r="U26" s="551" t="s">
        <v>354</v>
      </c>
      <c r="V26" s="551" t="s">
        <v>354</v>
      </c>
      <c r="W26" s="551" t="s">
        <v>354</v>
      </c>
      <c r="X26" s="551">
        <v>0.0</v>
      </c>
      <c r="Y26" s="551">
        <v>0.0</v>
      </c>
      <c r="Z26" s="551" t="s">
        <v>354</v>
      </c>
      <c r="AA26" s="551" t="s">
        <v>354</v>
      </c>
      <c r="AB26" s="56" t="s">
        <v>365</v>
      </c>
      <c r="AC26" s="26" t="s">
        <v>357</v>
      </c>
      <c r="AD26" s="548" t="s">
        <v>365</v>
      </c>
      <c r="AE26" s="102" t="s">
        <v>1646</v>
      </c>
      <c r="AF26" s="549" t="s">
        <v>365</v>
      </c>
      <c r="AG26" s="102" t="s">
        <v>357</v>
      </c>
      <c r="AH26" s="36" t="s">
        <v>365</v>
      </c>
      <c r="AI26" s="102" t="s">
        <v>357</v>
      </c>
      <c r="AJ26" s="357">
        <f t="shared" si="1"/>
        <v>4</v>
      </c>
      <c r="AK26" s="182">
        <f t="shared" si="2"/>
        <v>1</v>
      </c>
      <c r="AL26" s="265"/>
      <c r="AM26" s="265"/>
      <c r="AN26" s="265"/>
      <c r="AO26" s="80">
        <v>0.0</v>
      </c>
      <c r="AP26" s="80">
        <v>0.0</v>
      </c>
      <c r="AQ26" s="80">
        <v>0.0</v>
      </c>
      <c r="AR26" s="80">
        <v>0.0</v>
      </c>
      <c r="AS26" s="80">
        <v>0.0</v>
      </c>
      <c r="AT26" s="224">
        <v>3.0</v>
      </c>
      <c r="AU26" s="80">
        <v>0.0</v>
      </c>
      <c r="AV26" s="80">
        <v>0.0</v>
      </c>
      <c r="AW26" s="358">
        <f t="shared" si="3"/>
        <v>3</v>
      </c>
      <c r="AX26" s="358">
        <f t="shared" si="4"/>
        <v>1</v>
      </c>
    </row>
    <row r="27">
      <c r="A27" s="49">
        <v>26.0</v>
      </c>
      <c r="B27" s="46" t="s">
        <v>146</v>
      </c>
      <c r="C27" s="46" t="s">
        <v>149</v>
      </c>
      <c r="D27" s="46" t="s">
        <v>147</v>
      </c>
      <c r="E27" s="98" t="s">
        <v>626</v>
      </c>
      <c r="F27" s="593">
        <v>40319.0</v>
      </c>
      <c r="G27" s="57" t="s">
        <v>547</v>
      </c>
      <c r="H27" s="46" t="s">
        <v>67</v>
      </c>
      <c r="I27" s="46" t="s">
        <v>7</v>
      </c>
      <c r="J27" s="235" t="s">
        <v>354</v>
      </c>
      <c r="K27" s="235" t="s">
        <v>770</v>
      </c>
      <c r="L27" s="235" t="s">
        <v>354</v>
      </c>
      <c r="M27" s="624">
        <v>118.0</v>
      </c>
      <c r="N27" s="624">
        <v>170.0</v>
      </c>
      <c r="O27" s="235" t="s">
        <v>354</v>
      </c>
      <c r="P27" s="235" t="s">
        <v>354</v>
      </c>
      <c r="Q27" s="235" t="s">
        <v>354</v>
      </c>
      <c r="R27" s="625" t="s">
        <v>1652</v>
      </c>
      <c r="S27" s="151">
        <v>30.54</v>
      </c>
      <c r="T27" s="551">
        <v>0.0</v>
      </c>
      <c r="U27" s="551" t="s">
        <v>354</v>
      </c>
      <c r="V27" s="551" t="s">
        <v>354</v>
      </c>
      <c r="W27" s="551" t="s">
        <v>354</v>
      </c>
      <c r="X27" s="551">
        <v>0.0</v>
      </c>
      <c r="Y27" s="551">
        <v>0.0</v>
      </c>
      <c r="Z27" s="551" t="s">
        <v>354</v>
      </c>
      <c r="AA27" s="551" t="s">
        <v>354</v>
      </c>
      <c r="AB27" s="56" t="s">
        <v>365</v>
      </c>
      <c r="AC27" s="87" t="s">
        <v>413</v>
      </c>
      <c r="AD27" s="548" t="s">
        <v>365</v>
      </c>
      <c r="AE27" s="102" t="s">
        <v>1646</v>
      </c>
      <c r="AF27" s="549" t="s">
        <v>365</v>
      </c>
      <c r="AG27" s="164" t="s">
        <v>413</v>
      </c>
      <c r="AH27" s="36" t="s">
        <v>365</v>
      </c>
      <c r="AI27" s="617" t="s">
        <v>358</v>
      </c>
      <c r="AJ27" s="357">
        <f t="shared" si="1"/>
        <v>4</v>
      </c>
      <c r="AK27" s="182">
        <f t="shared" si="2"/>
        <v>1</v>
      </c>
      <c r="AL27" s="265"/>
      <c r="AM27" s="265"/>
      <c r="AN27" s="265"/>
      <c r="AO27" s="80">
        <v>0.0</v>
      </c>
      <c r="AP27" s="80">
        <v>0.0</v>
      </c>
      <c r="AQ27" s="224">
        <v>1.0</v>
      </c>
      <c r="AR27" s="80">
        <v>0.0</v>
      </c>
      <c r="AS27" s="224">
        <v>1.0</v>
      </c>
      <c r="AT27" s="224">
        <v>1.0</v>
      </c>
      <c r="AU27" s="80">
        <v>0.0</v>
      </c>
      <c r="AV27" s="80">
        <v>0.0</v>
      </c>
      <c r="AW27" s="358">
        <f t="shared" si="3"/>
        <v>3</v>
      </c>
      <c r="AX27" s="358">
        <f t="shared" si="4"/>
        <v>3</v>
      </c>
    </row>
    <row r="28">
      <c r="A28" s="49">
        <v>27.0</v>
      </c>
      <c r="B28" s="46" t="s">
        <v>151</v>
      </c>
      <c r="C28" s="45" t="s">
        <v>152</v>
      </c>
      <c r="D28" s="46" t="s">
        <v>152</v>
      </c>
      <c r="E28" s="18" t="s">
        <v>629</v>
      </c>
      <c r="F28" s="593">
        <v>40319.0</v>
      </c>
      <c r="G28" s="623" t="s">
        <v>547</v>
      </c>
      <c r="H28" s="45" t="s">
        <v>8</v>
      </c>
      <c r="I28" s="85" t="s">
        <v>7</v>
      </c>
      <c r="J28" s="235" t="s">
        <v>354</v>
      </c>
      <c r="K28" s="235" t="s">
        <v>354</v>
      </c>
      <c r="L28" s="614">
        <v>0.0</v>
      </c>
      <c r="M28" s="235" t="s">
        <v>354</v>
      </c>
      <c r="N28" s="624">
        <v>230.0</v>
      </c>
      <c r="O28" s="235" t="s">
        <v>354</v>
      </c>
      <c r="P28" s="235" t="s">
        <v>354</v>
      </c>
      <c r="Q28" s="235" t="s">
        <v>354</v>
      </c>
      <c r="R28" s="235" t="s">
        <v>354</v>
      </c>
      <c r="S28" s="151">
        <v>36.5</v>
      </c>
      <c r="T28" s="551">
        <v>0.0</v>
      </c>
      <c r="U28" s="551" t="s">
        <v>354</v>
      </c>
      <c r="V28" s="551" t="s">
        <v>354</v>
      </c>
      <c r="W28" s="551" t="s">
        <v>354</v>
      </c>
      <c r="X28" s="551">
        <v>0.0</v>
      </c>
      <c r="Y28" s="551">
        <v>0.0</v>
      </c>
      <c r="Z28" s="551" t="s">
        <v>354</v>
      </c>
      <c r="AA28" s="551" t="s">
        <v>354</v>
      </c>
      <c r="AB28" s="56" t="s">
        <v>365</v>
      </c>
      <c r="AC28" s="35" t="s">
        <v>363</v>
      </c>
      <c r="AD28" s="548" t="s">
        <v>365</v>
      </c>
      <c r="AE28" s="155" t="s">
        <v>1651</v>
      </c>
      <c r="AF28" s="549" t="s">
        <v>365</v>
      </c>
      <c r="AG28" s="155" t="s">
        <v>363</v>
      </c>
      <c r="AH28" s="36" t="s">
        <v>365</v>
      </c>
      <c r="AI28" s="155" t="s">
        <v>363</v>
      </c>
      <c r="AJ28" s="357">
        <f t="shared" si="1"/>
        <v>4</v>
      </c>
      <c r="AK28" s="182">
        <f t="shared" si="2"/>
        <v>1</v>
      </c>
      <c r="AL28" s="265"/>
      <c r="AM28" s="265"/>
      <c r="AN28" s="265"/>
      <c r="AO28" s="80">
        <v>0.0</v>
      </c>
      <c r="AP28" s="80">
        <v>0.0</v>
      </c>
      <c r="AQ28" s="80">
        <v>0.0</v>
      </c>
      <c r="AR28" s="224">
        <v>3.0</v>
      </c>
      <c r="AS28" s="80">
        <v>0.0</v>
      </c>
      <c r="AT28" s="224">
        <v>0.0</v>
      </c>
      <c r="AU28" s="80">
        <v>0.0</v>
      </c>
      <c r="AV28" s="80">
        <v>0.0</v>
      </c>
      <c r="AW28" s="358">
        <f t="shared" si="3"/>
        <v>3</v>
      </c>
      <c r="AX28" s="358">
        <f t="shared" si="4"/>
        <v>1</v>
      </c>
    </row>
    <row r="29">
      <c r="A29" s="49">
        <v>28.0</v>
      </c>
      <c r="B29" s="46" t="s">
        <v>157</v>
      </c>
      <c r="C29" s="45" t="s">
        <v>158</v>
      </c>
      <c r="D29" s="46" t="s">
        <v>158</v>
      </c>
      <c r="E29" s="18" t="s">
        <v>640</v>
      </c>
      <c r="F29" s="593">
        <v>40319.0</v>
      </c>
      <c r="G29" s="623" t="s">
        <v>547</v>
      </c>
      <c r="H29" s="45" t="s">
        <v>8</v>
      </c>
      <c r="I29" s="45" t="s">
        <v>7</v>
      </c>
      <c r="J29" s="235" t="s">
        <v>354</v>
      </c>
      <c r="K29" s="235" t="s">
        <v>354</v>
      </c>
      <c r="L29" s="614">
        <v>0.0</v>
      </c>
      <c r="M29" s="235" t="s">
        <v>354</v>
      </c>
      <c r="N29" s="624">
        <v>185.0</v>
      </c>
      <c r="O29" s="235" t="s">
        <v>354</v>
      </c>
      <c r="P29" s="235" t="s">
        <v>354</v>
      </c>
      <c r="Q29" s="235" t="s">
        <v>354</v>
      </c>
      <c r="R29" s="625" t="s">
        <v>642</v>
      </c>
      <c r="S29" s="151">
        <v>35.16</v>
      </c>
      <c r="T29" s="551">
        <v>0.0</v>
      </c>
      <c r="U29" s="551" t="s">
        <v>354</v>
      </c>
      <c r="V29" s="551" t="s">
        <v>354</v>
      </c>
      <c r="W29" s="551" t="s">
        <v>354</v>
      </c>
      <c r="X29" s="551">
        <v>0.0</v>
      </c>
      <c r="Y29" s="551">
        <v>0.0</v>
      </c>
      <c r="Z29" s="551" t="s">
        <v>354</v>
      </c>
      <c r="AA29" s="551" t="s">
        <v>354</v>
      </c>
      <c r="AB29" s="56" t="s">
        <v>365</v>
      </c>
      <c r="AC29" s="26" t="s">
        <v>357</v>
      </c>
      <c r="AD29" s="548" t="s">
        <v>365</v>
      </c>
      <c r="AE29" s="102" t="s">
        <v>1646</v>
      </c>
      <c r="AF29" s="549" t="s">
        <v>365</v>
      </c>
      <c r="AG29" s="102" t="s">
        <v>357</v>
      </c>
      <c r="AH29" s="36" t="s">
        <v>365</v>
      </c>
      <c r="AI29" s="102" t="s">
        <v>357</v>
      </c>
      <c r="AJ29" s="357">
        <f t="shared" si="1"/>
        <v>4</v>
      </c>
      <c r="AK29" s="182">
        <f t="shared" si="2"/>
        <v>1</v>
      </c>
      <c r="AL29" s="265"/>
      <c r="AM29" s="265"/>
      <c r="AN29" s="265"/>
      <c r="AO29" s="80">
        <v>0.0</v>
      </c>
      <c r="AP29" s="80">
        <v>0.0</v>
      </c>
      <c r="AQ29" s="80">
        <v>0.0</v>
      </c>
      <c r="AR29" s="80">
        <v>0.0</v>
      </c>
      <c r="AS29" s="80">
        <v>0.0</v>
      </c>
      <c r="AT29" s="224">
        <v>3.0</v>
      </c>
      <c r="AU29" s="80">
        <v>0.0</v>
      </c>
      <c r="AV29" s="80">
        <v>0.0</v>
      </c>
      <c r="AW29" s="358">
        <f t="shared" si="3"/>
        <v>3</v>
      </c>
      <c r="AX29" s="358">
        <f t="shared" si="4"/>
        <v>1</v>
      </c>
    </row>
    <row r="30">
      <c r="A30" s="49">
        <v>29.0</v>
      </c>
      <c r="B30" s="46" t="s">
        <v>160</v>
      </c>
      <c r="C30" s="45" t="s">
        <v>163</v>
      </c>
      <c r="D30" s="46" t="s">
        <v>161</v>
      </c>
      <c r="E30" s="18" t="s">
        <v>645</v>
      </c>
      <c r="F30" s="593">
        <v>40319.0</v>
      </c>
      <c r="G30" s="623" t="s">
        <v>547</v>
      </c>
      <c r="H30" s="45" t="s">
        <v>67</v>
      </c>
      <c r="I30" s="85" t="s">
        <v>37</v>
      </c>
      <c r="J30" s="235" t="s">
        <v>354</v>
      </c>
      <c r="K30" s="614" t="s">
        <v>770</v>
      </c>
      <c r="L30" s="614">
        <v>0.0</v>
      </c>
      <c r="M30" s="235" t="s">
        <v>354</v>
      </c>
      <c r="N30" s="624">
        <v>205.0</v>
      </c>
      <c r="O30" s="235" t="s">
        <v>354</v>
      </c>
      <c r="P30" s="235" t="s">
        <v>354</v>
      </c>
      <c r="Q30" s="235" t="s">
        <v>354</v>
      </c>
      <c r="R30" s="625" t="s">
        <v>442</v>
      </c>
      <c r="S30" s="551">
        <v>0.0</v>
      </c>
      <c r="T30" s="551">
        <v>0.0</v>
      </c>
      <c r="U30" s="551" t="s">
        <v>354</v>
      </c>
      <c r="V30" s="551" t="s">
        <v>354</v>
      </c>
      <c r="W30" s="551" t="s">
        <v>354</v>
      </c>
      <c r="X30" s="551">
        <v>0.0</v>
      </c>
      <c r="Y30" s="551">
        <v>0.0</v>
      </c>
      <c r="Z30" s="551" t="s">
        <v>354</v>
      </c>
      <c r="AA30" s="551" t="s">
        <v>354</v>
      </c>
      <c r="AB30" s="63" t="s">
        <v>356</v>
      </c>
      <c r="AC30" s="63" t="s">
        <v>354</v>
      </c>
      <c r="AD30" s="615" t="s">
        <v>356</v>
      </c>
      <c r="AE30" s="616" t="s">
        <v>354</v>
      </c>
      <c r="AF30" s="558" t="s">
        <v>356</v>
      </c>
      <c r="AG30" s="558" t="s">
        <v>354</v>
      </c>
      <c r="AH30" s="33" t="s">
        <v>356</v>
      </c>
      <c r="AI30" s="33" t="s">
        <v>354</v>
      </c>
      <c r="AJ30" s="46">
        <f t="shared" si="1"/>
        <v>0</v>
      </c>
      <c r="AK30" s="182">
        <f t="shared" si="2"/>
        <v>0</v>
      </c>
      <c r="AL30" s="265"/>
      <c r="AM30" s="265"/>
      <c r="AN30" s="265"/>
      <c r="AO30" s="80">
        <v>0.0</v>
      </c>
      <c r="AP30" s="80">
        <v>0.0</v>
      </c>
      <c r="AQ30" s="80">
        <v>0.0</v>
      </c>
      <c r="AR30" s="80">
        <v>0.0</v>
      </c>
      <c r="AS30" s="80">
        <v>0.0</v>
      </c>
      <c r="AT30" s="224">
        <v>0.0</v>
      </c>
      <c r="AU30" s="80">
        <v>0.0</v>
      </c>
      <c r="AV30" s="80">
        <v>0.0</v>
      </c>
      <c r="AW30" s="182">
        <f t="shared" si="3"/>
        <v>0</v>
      </c>
      <c r="AX30" s="182">
        <f t="shared" si="4"/>
        <v>0</v>
      </c>
    </row>
    <row r="31">
      <c r="A31" s="49">
        <v>30.0</v>
      </c>
      <c r="B31" s="46" t="s">
        <v>164</v>
      </c>
      <c r="C31" s="45" t="s">
        <v>165</v>
      </c>
      <c r="D31" s="46" t="s">
        <v>165</v>
      </c>
      <c r="E31" s="18" t="s">
        <v>650</v>
      </c>
      <c r="F31" s="593">
        <v>40319.0</v>
      </c>
      <c r="G31" s="623" t="s">
        <v>547</v>
      </c>
      <c r="H31" s="45" t="s">
        <v>8</v>
      </c>
      <c r="I31" s="85" t="s">
        <v>37</v>
      </c>
      <c r="J31" s="235" t="s">
        <v>354</v>
      </c>
      <c r="K31" s="235" t="s">
        <v>354</v>
      </c>
      <c r="L31" s="614">
        <v>0.0</v>
      </c>
      <c r="M31" s="624">
        <v>114.0</v>
      </c>
      <c r="N31" s="235" t="s">
        <v>354</v>
      </c>
      <c r="O31" s="235" t="s">
        <v>354</v>
      </c>
      <c r="P31" s="235" t="s">
        <v>354</v>
      </c>
      <c r="Q31" s="235" t="s">
        <v>354</v>
      </c>
      <c r="R31" s="625" t="s">
        <v>442</v>
      </c>
      <c r="S31" s="551">
        <v>0.0</v>
      </c>
      <c r="T31" s="551">
        <v>0.0</v>
      </c>
      <c r="U31" s="551" t="s">
        <v>354</v>
      </c>
      <c r="V31" s="551" t="s">
        <v>354</v>
      </c>
      <c r="W31" s="551" t="s">
        <v>354</v>
      </c>
      <c r="X31" s="551">
        <v>0.0</v>
      </c>
      <c r="Y31" s="551">
        <v>0.0</v>
      </c>
      <c r="Z31" s="551" t="s">
        <v>354</v>
      </c>
      <c r="AA31" s="551" t="s">
        <v>354</v>
      </c>
      <c r="AB31" s="63" t="s">
        <v>356</v>
      </c>
      <c r="AC31" s="63" t="s">
        <v>354</v>
      </c>
      <c r="AD31" s="560" t="s">
        <v>361</v>
      </c>
      <c r="AE31" s="560" t="s">
        <v>361</v>
      </c>
      <c r="AF31" s="549" t="s">
        <v>365</v>
      </c>
      <c r="AG31" s="102" t="s">
        <v>357</v>
      </c>
      <c r="AH31" s="33" t="s">
        <v>356</v>
      </c>
      <c r="AI31" s="33" t="s">
        <v>354</v>
      </c>
      <c r="AJ31" s="357">
        <f t="shared" si="1"/>
        <v>1</v>
      </c>
      <c r="AK31" s="182">
        <f t="shared" si="2"/>
        <v>1</v>
      </c>
      <c r="AL31" s="265"/>
      <c r="AM31" s="265"/>
      <c r="AN31" s="265"/>
      <c r="AO31" s="80">
        <v>0.0</v>
      </c>
      <c r="AP31" s="80">
        <v>0.0</v>
      </c>
      <c r="AQ31" s="80">
        <v>0.0</v>
      </c>
      <c r="AR31" s="80">
        <v>0.0</v>
      </c>
      <c r="AS31" s="80">
        <v>0.0</v>
      </c>
      <c r="AT31" s="224">
        <v>1.0</v>
      </c>
      <c r="AU31" s="80">
        <v>0.0</v>
      </c>
      <c r="AV31" s="80">
        <v>0.0</v>
      </c>
      <c r="AW31" s="363">
        <f t="shared" si="3"/>
        <v>1</v>
      </c>
      <c r="AX31" s="363">
        <f t="shared" si="4"/>
        <v>1</v>
      </c>
    </row>
    <row r="32">
      <c r="A32" s="49">
        <v>31.0</v>
      </c>
      <c r="B32" s="46" t="s">
        <v>167</v>
      </c>
      <c r="C32" s="45" t="s">
        <v>168</v>
      </c>
      <c r="D32" s="46" t="s">
        <v>168</v>
      </c>
      <c r="E32" s="18" t="s">
        <v>656</v>
      </c>
      <c r="F32" s="593">
        <v>40319.0</v>
      </c>
      <c r="G32" s="623" t="s">
        <v>547</v>
      </c>
      <c r="H32" s="45" t="s">
        <v>8</v>
      </c>
      <c r="I32" s="45" t="s">
        <v>7</v>
      </c>
      <c r="J32" s="235" t="s">
        <v>354</v>
      </c>
      <c r="K32" s="235" t="s">
        <v>354</v>
      </c>
      <c r="L32" s="614">
        <v>1.0</v>
      </c>
      <c r="M32" s="235" t="s">
        <v>354</v>
      </c>
      <c r="N32" s="624">
        <v>160.0</v>
      </c>
      <c r="O32" s="235" t="s">
        <v>354</v>
      </c>
      <c r="P32" s="235" t="s">
        <v>354</v>
      </c>
      <c r="Q32" s="235" t="s">
        <v>354</v>
      </c>
      <c r="R32" s="235" t="s">
        <v>354</v>
      </c>
      <c r="S32" s="151">
        <v>35.81</v>
      </c>
      <c r="T32" s="551">
        <v>0.0</v>
      </c>
      <c r="U32" s="551" t="s">
        <v>354</v>
      </c>
      <c r="V32" s="551" t="s">
        <v>354</v>
      </c>
      <c r="W32" s="551" t="s">
        <v>354</v>
      </c>
      <c r="X32" s="551">
        <v>0.0</v>
      </c>
      <c r="Y32" s="551">
        <v>0.0</v>
      </c>
      <c r="Z32" s="551" t="s">
        <v>354</v>
      </c>
      <c r="AA32" s="551" t="s">
        <v>354</v>
      </c>
      <c r="AB32" s="63" t="s">
        <v>356</v>
      </c>
      <c r="AC32" s="63" t="s">
        <v>354</v>
      </c>
      <c r="AD32" s="548" t="s">
        <v>365</v>
      </c>
      <c r="AE32" s="617" t="s">
        <v>358</v>
      </c>
      <c r="AF32" s="558" t="s">
        <v>356</v>
      </c>
      <c r="AG32" s="558" t="s">
        <v>354</v>
      </c>
      <c r="AH32" s="36" t="s">
        <v>365</v>
      </c>
      <c r="AI32" s="617" t="s">
        <v>358</v>
      </c>
      <c r="AJ32" s="357">
        <f t="shared" si="1"/>
        <v>3</v>
      </c>
      <c r="AK32" s="182">
        <f t="shared" si="2"/>
        <v>1</v>
      </c>
      <c r="AL32" s="265"/>
      <c r="AM32" s="265"/>
      <c r="AN32" s="265"/>
      <c r="AO32" s="80">
        <v>0.0</v>
      </c>
      <c r="AP32" s="80">
        <v>0.0</v>
      </c>
      <c r="AQ32" s="224">
        <v>2.0</v>
      </c>
      <c r="AR32" s="80">
        <v>0.0</v>
      </c>
      <c r="AS32" s="80">
        <v>0.0</v>
      </c>
      <c r="AT32" s="224">
        <v>0.0</v>
      </c>
      <c r="AU32" s="80">
        <v>0.0</v>
      </c>
      <c r="AV32" s="80">
        <v>0.0</v>
      </c>
      <c r="AW32" s="358">
        <f t="shared" si="3"/>
        <v>2</v>
      </c>
      <c r="AX32" s="358">
        <f t="shared" si="4"/>
        <v>1</v>
      </c>
    </row>
    <row r="33">
      <c r="A33" s="49">
        <v>32.0</v>
      </c>
      <c r="B33" s="46" t="s">
        <v>170</v>
      </c>
      <c r="C33" s="45" t="s">
        <v>171</v>
      </c>
      <c r="D33" s="46" t="s">
        <v>171</v>
      </c>
      <c r="E33" s="18" t="s">
        <v>658</v>
      </c>
      <c r="F33" s="593">
        <v>40319.0</v>
      </c>
      <c r="G33" s="623" t="s">
        <v>547</v>
      </c>
      <c r="H33" s="45" t="s">
        <v>67</v>
      </c>
      <c r="I33" s="45" t="s">
        <v>7</v>
      </c>
      <c r="J33" s="235" t="s">
        <v>354</v>
      </c>
      <c r="K33" s="614" t="s">
        <v>1649</v>
      </c>
      <c r="L33" s="614">
        <v>0.0</v>
      </c>
      <c r="M33" s="235" t="s">
        <v>354</v>
      </c>
      <c r="N33" s="624">
        <v>295.0</v>
      </c>
      <c r="O33" s="235" t="s">
        <v>354</v>
      </c>
      <c r="P33" s="235" t="s">
        <v>354</v>
      </c>
      <c r="Q33" s="235" t="s">
        <v>354</v>
      </c>
      <c r="R33" s="625" t="s">
        <v>1653</v>
      </c>
      <c r="S33" s="551">
        <v>0.0</v>
      </c>
      <c r="T33" s="551">
        <v>0.0</v>
      </c>
      <c r="U33" s="551" t="s">
        <v>354</v>
      </c>
      <c r="V33" s="551" t="s">
        <v>354</v>
      </c>
      <c r="W33" s="551" t="s">
        <v>354</v>
      </c>
      <c r="X33" s="551">
        <v>0.0</v>
      </c>
      <c r="Y33" s="551">
        <v>0.0</v>
      </c>
      <c r="Z33" s="551" t="s">
        <v>354</v>
      </c>
      <c r="AA33" s="551" t="s">
        <v>354</v>
      </c>
      <c r="AB33" s="63" t="s">
        <v>356</v>
      </c>
      <c r="AC33" s="63" t="s">
        <v>354</v>
      </c>
      <c r="AD33" s="615" t="s">
        <v>356</v>
      </c>
      <c r="AE33" s="616" t="s">
        <v>354</v>
      </c>
      <c r="AF33" s="558" t="s">
        <v>356</v>
      </c>
      <c r="AG33" s="558" t="s">
        <v>354</v>
      </c>
      <c r="AH33" s="33" t="s">
        <v>356</v>
      </c>
      <c r="AI33" s="33" t="s">
        <v>354</v>
      </c>
      <c r="AJ33" s="46">
        <f t="shared" si="1"/>
        <v>0</v>
      </c>
      <c r="AK33" s="182">
        <f t="shared" si="2"/>
        <v>0</v>
      </c>
      <c r="AL33" s="265"/>
      <c r="AM33" s="265"/>
      <c r="AN33" s="265"/>
      <c r="AO33" s="80">
        <v>0.0</v>
      </c>
      <c r="AP33" s="80">
        <v>0.0</v>
      </c>
      <c r="AQ33" s="80">
        <v>0.0</v>
      </c>
      <c r="AR33" s="80">
        <v>0.0</v>
      </c>
      <c r="AS33" s="80">
        <v>0.0</v>
      </c>
      <c r="AT33" s="224">
        <v>0.0</v>
      </c>
      <c r="AU33" s="80">
        <v>0.0</v>
      </c>
      <c r="AV33" s="80">
        <v>0.0</v>
      </c>
      <c r="AW33" s="182">
        <f t="shared" si="3"/>
        <v>0</v>
      </c>
      <c r="AX33" s="182">
        <f t="shared" si="4"/>
        <v>0</v>
      </c>
    </row>
    <row r="34">
      <c r="A34" s="49">
        <v>33.0</v>
      </c>
      <c r="B34" s="46" t="s">
        <v>176</v>
      </c>
      <c r="C34" s="45" t="s">
        <v>177</v>
      </c>
      <c r="D34" s="49" t="s">
        <v>675</v>
      </c>
      <c r="E34" s="18" t="s">
        <v>676</v>
      </c>
      <c r="F34" s="593">
        <v>40319.0</v>
      </c>
      <c r="G34" s="623" t="s">
        <v>547</v>
      </c>
      <c r="H34" s="45" t="s">
        <v>8</v>
      </c>
      <c r="I34" s="85" t="s">
        <v>7</v>
      </c>
      <c r="J34" s="235" t="s">
        <v>354</v>
      </c>
      <c r="K34" s="235" t="s">
        <v>354</v>
      </c>
      <c r="L34" s="614">
        <v>0.0</v>
      </c>
      <c r="M34" s="235" t="s">
        <v>354</v>
      </c>
      <c r="N34" s="624">
        <v>205.0</v>
      </c>
      <c r="O34" s="235" t="s">
        <v>354</v>
      </c>
      <c r="P34" s="235" t="s">
        <v>354</v>
      </c>
      <c r="Q34" s="235" t="s">
        <v>354</v>
      </c>
      <c r="R34" s="235" t="s">
        <v>354</v>
      </c>
      <c r="S34" s="151">
        <v>35.72</v>
      </c>
      <c r="T34" s="551">
        <v>0.0</v>
      </c>
      <c r="U34" s="551" t="s">
        <v>354</v>
      </c>
      <c r="V34" s="551" t="s">
        <v>354</v>
      </c>
      <c r="W34" s="551" t="s">
        <v>354</v>
      </c>
      <c r="X34" s="551">
        <v>0.0</v>
      </c>
      <c r="Y34" s="551">
        <v>0.0</v>
      </c>
      <c r="Z34" s="551" t="s">
        <v>354</v>
      </c>
      <c r="AA34" s="551" t="s">
        <v>354</v>
      </c>
      <c r="AB34" s="56" t="s">
        <v>365</v>
      </c>
      <c r="AC34" s="26" t="s">
        <v>357</v>
      </c>
      <c r="AD34" s="560" t="s">
        <v>361</v>
      </c>
      <c r="AE34" s="560" t="s">
        <v>361</v>
      </c>
      <c r="AF34" s="549" t="s">
        <v>365</v>
      </c>
      <c r="AG34" s="102" t="s">
        <v>357</v>
      </c>
      <c r="AH34" s="36" t="s">
        <v>365</v>
      </c>
      <c r="AI34" s="102" t="s">
        <v>357</v>
      </c>
      <c r="AJ34" s="357">
        <f t="shared" si="1"/>
        <v>3</v>
      </c>
      <c r="AK34" s="182">
        <f t="shared" si="2"/>
        <v>1</v>
      </c>
      <c r="AL34" s="265"/>
      <c r="AM34" s="265"/>
      <c r="AN34" s="265"/>
      <c r="AO34" s="80">
        <v>0.0</v>
      </c>
      <c r="AP34" s="80">
        <v>0.0</v>
      </c>
      <c r="AQ34" s="80">
        <v>0.0</v>
      </c>
      <c r="AR34" s="80">
        <v>0.0</v>
      </c>
      <c r="AS34" s="80">
        <v>0.0</v>
      </c>
      <c r="AT34" s="224">
        <v>2.0</v>
      </c>
      <c r="AU34" s="80">
        <v>0.0</v>
      </c>
      <c r="AV34" s="80">
        <v>0.0</v>
      </c>
      <c r="AW34" s="358">
        <f t="shared" si="3"/>
        <v>2</v>
      </c>
      <c r="AX34" s="358">
        <f t="shared" si="4"/>
        <v>1</v>
      </c>
    </row>
    <row r="35">
      <c r="A35" s="49">
        <v>34.0</v>
      </c>
      <c r="B35" s="46" t="s">
        <v>179</v>
      </c>
      <c r="C35" s="45" t="s">
        <v>180</v>
      </c>
      <c r="D35" s="46" t="s">
        <v>180</v>
      </c>
      <c r="E35" s="18" t="s">
        <v>685</v>
      </c>
      <c r="F35" s="593">
        <v>40319.0</v>
      </c>
      <c r="G35" s="623" t="s">
        <v>547</v>
      </c>
      <c r="H35" s="45" t="s">
        <v>8</v>
      </c>
      <c r="I35" s="45" t="s">
        <v>7</v>
      </c>
      <c r="J35" s="235" t="s">
        <v>354</v>
      </c>
      <c r="K35" s="235" t="s">
        <v>354</v>
      </c>
      <c r="L35" s="614">
        <v>0.0</v>
      </c>
      <c r="M35" s="235" t="s">
        <v>354</v>
      </c>
      <c r="N35" s="624">
        <v>245.0</v>
      </c>
      <c r="O35" s="235" t="s">
        <v>354</v>
      </c>
      <c r="P35" s="235" t="s">
        <v>354</v>
      </c>
      <c r="Q35" s="235" t="s">
        <v>354</v>
      </c>
      <c r="R35" s="235" t="s">
        <v>354</v>
      </c>
      <c r="S35" s="151">
        <v>31.16</v>
      </c>
      <c r="T35" s="551">
        <v>0.0</v>
      </c>
      <c r="U35" s="551" t="s">
        <v>354</v>
      </c>
      <c r="V35" s="551" t="s">
        <v>354</v>
      </c>
      <c r="W35" s="551" t="s">
        <v>354</v>
      </c>
      <c r="X35" s="551">
        <v>0.0</v>
      </c>
      <c r="Y35" s="551">
        <v>0.0</v>
      </c>
      <c r="Z35" s="551" t="s">
        <v>354</v>
      </c>
      <c r="AA35" s="551" t="s">
        <v>354</v>
      </c>
      <c r="AB35" s="56" t="s">
        <v>365</v>
      </c>
      <c r="AC35" s="35" t="s">
        <v>363</v>
      </c>
      <c r="AD35" s="548" t="s">
        <v>365</v>
      </c>
      <c r="AE35" s="155" t="s">
        <v>1651</v>
      </c>
      <c r="AF35" s="549" t="s">
        <v>365</v>
      </c>
      <c r="AG35" s="102" t="s">
        <v>357</v>
      </c>
      <c r="AH35" s="36" t="s">
        <v>365</v>
      </c>
      <c r="AI35" s="155" t="s">
        <v>363</v>
      </c>
      <c r="AJ35" s="357">
        <f t="shared" si="1"/>
        <v>4</v>
      </c>
      <c r="AK35" s="182">
        <f t="shared" si="2"/>
        <v>1</v>
      </c>
      <c r="AL35" s="265"/>
      <c r="AM35" s="265"/>
      <c r="AN35" s="265"/>
      <c r="AO35" s="80">
        <v>0.0</v>
      </c>
      <c r="AP35" s="80">
        <v>0.0</v>
      </c>
      <c r="AQ35" s="80">
        <v>0.0</v>
      </c>
      <c r="AR35" s="224">
        <v>2.0</v>
      </c>
      <c r="AS35" s="80">
        <v>0.0</v>
      </c>
      <c r="AT35" s="224">
        <v>1.0</v>
      </c>
      <c r="AU35" s="80">
        <v>0.0</v>
      </c>
      <c r="AV35" s="80">
        <v>0.0</v>
      </c>
      <c r="AW35" s="358">
        <f t="shared" si="3"/>
        <v>3</v>
      </c>
      <c r="AX35" s="358">
        <f t="shared" si="4"/>
        <v>2</v>
      </c>
    </row>
    <row r="36">
      <c r="A36" s="49">
        <v>35.0</v>
      </c>
      <c r="B36" s="46" t="s">
        <v>182</v>
      </c>
      <c r="C36" s="45" t="s">
        <v>183</v>
      </c>
      <c r="D36" s="49" t="s">
        <v>694</v>
      </c>
      <c r="E36" s="18" t="s">
        <v>695</v>
      </c>
      <c r="F36" s="593">
        <v>40319.0</v>
      </c>
      <c r="G36" s="623" t="s">
        <v>547</v>
      </c>
      <c r="H36" s="45" t="s">
        <v>8</v>
      </c>
      <c r="I36" s="45" t="s">
        <v>7</v>
      </c>
      <c r="J36" s="235" t="s">
        <v>354</v>
      </c>
      <c r="K36" s="235" t="s">
        <v>354</v>
      </c>
      <c r="L36" s="614">
        <v>0.0</v>
      </c>
      <c r="M36" s="235" t="s">
        <v>354</v>
      </c>
      <c r="N36" s="624">
        <v>235.0</v>
      </c>
      <c r="O36" s="235" t="s">
        <v>354</v>
      </c>
      <c r="P36" s="235" t="s">
        <v>354</v>
      </c>
      <c r="Q36" s="235" t="s">
        <v>354</v>
      </c>
      <c r="R36" s="235" t="s">
        <v>354</v>
      </c>
      <c r="S36" s="151">
        <v>30.03</v>
      </c>
      <c r="T36" s="551">
        <v>0.0</v>
      </c>
      <c r="U36" s="551" t="s">
        <v>354</v>
      </c>
      <c r="V36" s="551" t="s">
        <v>354</v>
      </c>
      <c r="W36" s="551" t="s">
        <v>354</v>
      </c>
      <c r="X36" s="551">
        <v>0.0</v>
      </c>
      <c r="Y36" s="551">
        <v>0.0</v>
      </c>
      <c r="Z36" s="551" t="s">
        <v>354</v>
      </c>
      <c r="AA36" s="551" t="s">
        <v>354</v>
      </c>
      <c r="AB36" s="56" t="s">
        <v>365</v>
      </c>
      <c r="AC36" s="26" t="s">
        <v>357</v>
      </c>
      <c r="AD36" s="548" t="s">
        <v>365</v>
      </c>
      <c r="AE36" s="102" t="s">
        <v>1646</v>
      </c>
      <c r="AF36" s="549" t="s">
        <v>365</v>
      </c>
      <c r="AG36" s="102" t="s">
        <v>357</v>
      </c>
      <c r="AH36" s="36" t="s">
        <v>365</v>
      </c>
      <c r="AI36" s="102" t="s">
        <v>357</v>
      </c>
      <c r="AJ36" s="357">
        <f t="shared" si="1"/>
        <v>4</v>
      </c>
      <c r="AK36" s="182">
        <f t="shared" si="2"/>
        <v>1</v>
      </c>
      <c r="AL36" s="265"/>
      <c r="AM36" s="265"/>
      <c r="AN36" s="265"/>
      <c r="AO36" s="80">
        <v>0.0</v>
      </c>
      <c r="AP36" s="80">
        <v>0.0</v>
      </c>
      <c r="AQ36" s="80">
        <v>0.0</v>
      </c>
      <c r="AR36" s="80">
        <v>0.0</v>
      </c>
      <c r="AS36" s="80">
        <v>0.0</v>
      </c>
      <c r="AT36" s="224">
        <v>3.0</v>
      </c>
      <c r="AU36" s="80">
        <v>0.0</v>
      </c>
      <c r="AV36" s="80">
        <v>0.0</v>
      </c>
      <c r="AW36" s="358">
        <f t="shared" si="3"/>
        <v>3</v>
      </c>
      <c r="AX36" s="358">
        <f t="shared" si="4"/>
        <v>1</v>
      </c>
    </row>
    <row r="37">
      <c r="A37" s="49">
        <v>36.0</v>
      </c>
      <c r="B37" s="46" t="s">
        <v>194</v>
      </c>
      <c r="C37" s="45" t="s">
        <v>195</v>
      </c>
      <c r="D37" s="46" t="s">
        <v>195</v>
      </c>
      <c r="E37" s="18" t="s">
        <v>707</v>
      </c>
      <c r="F37" s="593">
        <v>40319.0</v>
      </c>
      <c r="G37" s="623" t="s">
        <v>547</v>
      </c>
      <c r="H37" s="45" t="s">
        <v>67</v>
      </c>
      <c r="I37" s="45" t="s">
        <v>7</v>
      </c>
      <c r="J37" s="235" t="s">
        <v>354</v>
      </c>
      <c r="K37" s="614" t="s">
        <v>770</v>
      </c>
      <c r="L37" s="614">
        <v>0.0</v>
      </c>
      <c r="M37" s="235" t="s">
        <v>354</v>
      </c>
      <c r="N37" s="624">
        <v>230.0</v>
      </c>
      <c r="O37" s="235" t="s">
        <v>354</v>
      </c>
      <c r="P37" s="235" t="s">
        <v>354</v>
      </c>
      <c r="Q37" s="235" t="s">
        <v>354</v>
      </c>
      <c r="R37" s="625" t="s">
        <v>708</v>
      </c>
      <c r="S37" s="551">
        <v>0.0</v>
      </c>
      <c r="T37" s="551">
        <v>0.0</v>
      </c>
      <c r="U37" s="551" t="s">
        <v>354</v>
      </c>
      <c r="V37" s="551" t="s">
        <v>354</v>
      </c>
      <c r="W37" s="551" t="s">
        <v>354</v>
      </c>
      <c r="X37" s="551">
        <v>0.0</v>
      </c>
      <c r="Y37" s="551">
        <v>0.0</v>
      </c>
      <c r="Z37" s="551" t="s">
        <v>354</v>
      </c>
      <c r="AA37" s="551" t="s">
        <v>354</v>
      </c>
      <c r="AB37" s="63" t="s">
        <v>356</v>
      </c>
      <c r="AC37" s="63" t="s">
        <v>354</v>
      </c>
      <c r="AD37" s="615" t="s">
        <v>356</v>
      </c>
      <c r="AE37" s="616" t="s">
        <v>354</v>
      </c>
      <c r="AF37" s="558" t="s">
        <v>356</v>
      </c>
      <c r="AG37" s="558" t="s">
        <v>354</v>
      </c>
      <c r="AH37" s="33" t="s">
        <v>356</v>
      </c>
      <c r="AI37" s="33" t="s">
        <v>354</v>
      </c>
      <c r="AJ37" s="46">
        <f t="shared" si="1"/>
        <v>0</v>
      </c>
      <c r="AK37" s="182">
        <f t="shared" si="2"/>
        <v>0</v>
      </c>
      <c r="AL37" s="265"/>
      <c r="AM37" s="265"/>
      <c r="AN37" s="265"/>
      <c r="AO37" s="80">
        <v>0.0</v>
      </c>
      <c r="AP37" s="80">
        <v>0.0</v>
      </c>
      <c r="AQ37" s="80">
        <v>0.0</v>
      </c>
      <c r="AR37" s="80">
        <v>0.0</v>
      </c>
      <c r="AS37" s="80">
        <v>0.0</v>
      </c>
      <c r="AT37" s="224">
        <v>0.0</v>
      </c>
      <c r="AU37" s="80">
        <v>0.0</v>
      </c>
      <c r="AV37" s="80">
        <v>0.0</v>
      </c>
      <c r="AW37" s="182">
        <f t="shared" si="3"/>
        <v>0</v>
      </c>
      <c r="AX37" s="182">
        <f t="shared" si="4"/>
        <v>0</v>
      </c>
    </row>
    <row r="38">
      <c r="A38" s="49">
        <v>37.0</v>
      </c>
      <c r="B38" s="46" t="s">
        <v>197</v>
      </c>
      <c r="C38" s="45" t="s">
        <v>198</v>
      </c>
      <c r="D38" s="49" t="s">
        <v>712</v>
      </c>
      <c r="E38" s="18" t="s">
        <v>1171</v>
      </c>
      <c r="F38" s="593">
        <v>40319.0</v>
      </c>
      <c r="G38" s="623" t="s">
        <v>547</v>
      </c>
      <c r="H38" s="45" t="s">
        <v>67</v>
      </c>
      <c r="I38" s="45" t="s">
        <v>7</v>
      </c>
      <c r="J38" s="235" t="s">
        <v>354</v>
      </c>
      <c r="K38" s="614" t="s">
        <v>770</v>
      </c>
      <c r="L38" s="614">
        <v>0.0</v>
      </c>
      <c r="M38" s="235" t="s">
        <v>354</v>
      </c>
      <c r="N38" s="235">
        <v>255.0</v>
      </c>
      <c r="O38" s="235" t="s">
        <v>354</v>
      </c>
      <c r="P38" s="235" t="s">
        <v>354</v>
      </c>
      <c r="Q38" s="235" t="s">
        <v>354</v>
      </c>
      <c r="R38" s="625" t="s">
        <v>714</v>
      </c>
      <c r="S38" s="151">
        <v>33.79</v>
      </c>
      <c r="T38" s="551">
        <v>0.0</v>
      </c>
      <c r="U38" s="551" t="s">
        <v>354</v>
      </c>
      <c r="V38" s="551" t="s">
        <v>354</v>
      </c>
      <c r="W38" s="551" t="s">
        <v>354</v>
      </c>
      <c r="X38" s="551">
        <v>0.0</v>
      </c>
      <c r="Y38" s="551">
        <v>0.0</v>
      </c>
      <c r="Z38" s="551" t="s">
        <v>354</v>
      </c>
      <c r="AA38" s="551" t="s">
        <v>354</v>
      </c>
      <c r="AB38" s="63" t="s">
        <v>356</v>
      </c>
      <c r="AC38" s="63" t="s">
        <v>354</v>
      </c>
      <c r="AD38" s="615" t="s">
        <v>356</v>
      </c>
      <c r="AE38" s="616" t="s">
        <v>354</v>
      </c>
      <c r="AF38" s="561" t="s">
        <v>361</v>
      </c>
      <c r="AG38" s="561" t="s">
        <v>361</v>
      </c>
      <c r="AH38" s="33" t="s">
        <v>356</v>
      </c>
      <c r="AI38" s="33" t="s">
        <v>354</v>
      </c>
      <c r="AJ38" s="46">
        <f t="shared" si="1"/>
        <v>1</v>
      </c>
      <c r="AK38" s="235">
        <v>0.0</v>
      </c>
      <c r="AL38" s="265"/>
      <c r="AM38" s="265"/>
      <c r="AN38" s="265"/>
      <c r="AO38" s="80">
        <v>0.0</v>
      </c>
      <c r="AP38" s="80">
        <v>0.0</v>
      </c>
      <c r="AQ38" s="80">
        <v>0.0</v>
      </c>
      <c r="AR38" s="80">
        <v>0.0</v>
      </c>
      <c r="AS38" s="80">
        <v>0.0</v>
      </c>
      <c r="AT38" s="224">
        <v>0.0</v>
      </c>
      <c r="AU38" s="80">
        <v>0.0</v>
      </c>
      <c r="AV38" s="80">
        <v>0.0</v>
      </c>
      <c r="AW38" s="182">
        <f t="shared" si="3"/>
        <v>0</v>
      </c>
      <c r="AX38" s="182">
        <f t="shared" si="4"/>
        <v>0</v>
      </c>
    </row>
    <row r="39">
      <c r="A39" s="49">
        <v>38.0</v>
      </c>
      <c r="B39" s="46" t="s">
        <v>200</v>
      </c>
      <c r="C39" s="45" t="s">
        <v>201</v>
      </c>
      <c r="D39" s="46" t="s">
        <v>201</v>
      </c>
      <c r="E39" s="18" t="s">
        <v>1622</v>
      </c>
      <c r="F39" s="593">
        <v>40319.0</v>
      </c>
      <c r="G39" s="623" t="s">
        <v>547</v>
      </c>
      <c r="H39" s="45" t="s">
        <v>67</v>
      </c>
      <c r="I39" s="45" t="s">
        <v>7</v>
      </c>
      <c r="J39" s="235" t="s">
        <v>354</v>
      </c>
      <c r="K39" s="614" t="s">
        <v>770</v>
      </c>
      <c r="L39" s="614">
        <v>0.0</v>
      </c>
      <c r="M39" s="235" t="s">
        <v>354</v>
      </c>
      <c r="N39" s="235">
        <v>205.0</v>
      </c>
      <c r="O39" s="235" t="s">
        <v>354</v>
      </c>
      <c r="P39" s="235" t="s">
        <v>354</v>
      </c>
      <c r="Q39" s="235" t="s">
        <v>354</v>
      </c>
      <c r="R39" s="625" t="s">
        <v>714</v>
      </c>
      <c r="S39" s="551">
        <v>0.0</v>
      </c>
      <c r="T39" s="551">
        <v>0.0</v>
      </c>
      <c r="U39" s="551" t="s">
        <v>354</v>
      </c>
      <c r="V39" s="551" t="s">
        <v>354</v>
      </c>
      <c r="W39" s="551" t="s">
        <v>354</v>
      </c>
      <c r="X39" s="551">
        <v>0.0</v>
      </c>
      <c r="Y39" s="551">
        <v>0.0</v>
      </c>
      <c r="Z39" s="551" t="s">
        <v>354</v>
      </c>
      <c r="AA39" s="551" t="s">
        <v>354</v>
      </c>
      <c r="AB39" s="63" t="s">
        <v>356</v>
      </c>
      <c r="AC39" s="63" t="s">
        <v>354</v>
      </c>
      <c r="AD39" s="615" t="s">
        <v>356</v>
      </c>
      <c r="AE39" s="616" t="s">
        <v>354</v>
      </c>
      <c r="AF39" s="558" t="s">
        <v>356</v>
      </c>
      <c r="AG39" s="558" t="s">
        <v>354</v>
      </c>
      <c r="AH39" s="33" t="s">
        <v>356</v>
      </c>
      <c r="AI39" s="33" t="s">
        <v>354</v>
      </c>
      <c r="AJ39" s="46">
        <f t="shared" si="1"/>
        <v>0</v>
      </c>
      <c r="AK39" s="182">
        <f t="shared" ref="AK39:AK46" si="5">if(AJ39&gt;0,1,0)</f>
        <v>0</v>
      </c>
      <c r="AL39" s="265"/>
      <c r="AM39" s="265"/>
      <c r="AN39" s="265"/>
      <c r="AO39" s="80">
        <v>0.0</v>
      </c>
      <c r="AP39" s="80">
        <v>0.0</v>
      </c>
      <c r="AQ39" s="80">
        <v>0.0</v>
      </c>
      <c r="AR39" s="80">
        <v>0.0</v>
      </c>
      <c r="AS39" s="80">
        <v>0.0</v>
      </c>
      <c r="AT39" s="224">
        <v>0.0</v>
      </c>
      <c r="AU39" s="80">
        <v>0.0</v>
      </c>
      <c r="AV39" s="80">
        <v>0.0</v>
      </c>
      <c r="AW39" s="182">
        <f t="shared" si="3"/>
        <v>0</v>
      </c>
      <c r="AX39" s="182">
        <f t="shared" si="4"/>
        <v>0</v>
      </c>
    </row>
    <row r="40">
      <c r="A40" s="49">
        <v>39.0</v>
      </c>
      <c r="B40" s="46" t="s">
        <v>203</v>
      </c>
      <c r="C40" s="45" t="s">
        <v>204</v>
      </c>
      <c r="D40" s="46" t="s">
        <v>204</v>
      </c>
      <c r="E40" s="18" t="s">
        <v>725</v>
      </c>
      <c r="F40" s="593">
        <v>40319.0</v>
      </c>
      <c r="G40" s="623" t="s">
        <v>547</v>
      </c>
      <c r="H40" s="45" t="s">
        <v>67</v>
      </c>
      <c r="I40" s="85" t="s">
        <v>7</v>
      </c>
      <c r="J40" s="235" t="s">
        <v>354</v>
      </c>
      <c r="K40" s="614" t="s">
        <v>770</v>
      </c>
      <c r="L40" s="614">
        <v>0.0</v>
      </c>
      <c r="M40" s="235" t="s">
        <v>354</v>
      </c>
      <c r="N40" s="624">
        <v>185.0</v>
      </c>
      <c r="O40" s="235" t="s">
        <v>354</v>
      </c>
      <c r="P40" s="235" t="s">
        <v>354</v>
      </c>
      <c r="Q40" s="235" t="s">
        <v>354</v>
      </c>
      <c r="R40" s="235" t="s">
        <v>354</v>
      </c>
      <c r="S40" s="151">
        <v>29.65</v>
      </c>
      <c r="T40" s="551">
        <v>0.0</v>
      </c>
      <c r="U40" s="551" t="s">
        <v>354</v>
      </c>
      <c r="V40" s="551" t="s">
        <v>354</v>
      </c>
      <c r="W40" s="551" t="s">
        <v>354</v>
      </c>
      <c r="X40" s="551">
        <v>0.0</v>
      </c>
      <c r="Y40" s="551">
        <v>0.0</v>
      </c>
      <c r="Z40" s="551" t="s">
        <v>354</v>
      </c>
      <c r="AA40" s="551" t="s">
        <v>354</v>
      </c>
      <c r="AB40" s="56" t="s">
        <v>365</v>
      </c>
      <c r="AC40" s="35" t="s">
        <v>363</v>
      </c>
      <c r="AD40" s="548" t="s">
        <v>365</v>
      </c>
      <c r="AE40" s="155" t="s">
        <v>1651</v>
      </c>
      <c r="AF40" s="549" t="s">
        <v>365</v>
      </c>
      <c r="AG40" s="155" t="s">
        <v>363</v>
      </c>
      <c r="AH40" s="36" t="s">
        <v>365</v>
      </c>
      <c r="AI40" s="155" t="s">
        <v>363</v>
      </c>
      <c r="AJ40" s="357">
        <f t="shared" si="1"/>
        <v>4</v>
      </c>
      <c r="AK40" s="182">
        <f t="shared" si="5"/>
        <v>1</v>
      </c>
      <c r="AL40" s="265"/>
      <c r="AM40" s="265"/>
      <c r="AN40" s="265"/>
      <c r="AO40" s="80">
        <v>0.0</v>
      </c>
      <c r="AP40" s="80">
        <v>0.0</v>
      </c>
      <c r="AQ40" s="80">
        <v>0.0</v>
      </c>
      <c r="AR40" s="224">
        <v>3.0</v>
      </c>
      <c r="AS40" s="80">
        <v>0.0</v>
      </c>
      <c r="AT40" s="224">
        <v>0.0</v>
      </c>
      <c r="AU40" s="80">
        <v>0.0</v>
      </c>
      <c r="AV40" s="80">
        <v>0.0</v>
      </c>
      <c r="AW40" s="358">
        <f t="shared" si="3"/>
        <v>3</v>
      </c>
      <c r="AX40" s="358">
        <f t="shared" si="4"/>
        <v>1</v>
      </c>
    </row>
    <row r="41">
      <c r="A41" s="49">
        <v>40.0</v>
      </c>
      <c r="B41" s="46" t="s">
        <v>206</v>
      </c>
      <c r="C41" s="46" t="s">
        <v>207</v>
      </c>
      <c r="D41" s="46" t="s">
        <v>207</v>
      </c>
      <c r="E41" s="98" t="s">
        <v>743</v>
      </c>
      <c r="F41" s="593">
        <v>40319.0</v>
      </c>
      <c r="G41" s="57" t="s">
        <v>547</v>
      </c>
      <c r="H41" s="46" t="s">
        <v>67</v>
      </c>
      <c r="I41" s="46" t="s">
        <v>7</v>
      </c>
      <c r="J41" s="235" t="s">
        <v>354</v>
      </c>
      <c r="K41" s="235" t="s">
        <v>1649</v>
      </c>
      <c r="L41" s="235" t="s">
        <v>354</v>
      </c>
      <c r="M41" s="235" t="s">
        <v>354</v>
      </c>
      <c r="N41" s="624">
        <v>270.0</v>
      </c>
      <c r="O41" s="235" t="s">
        <v>354</v>
      </c>
      <c r="P41" s="235" t="s">
        <v>354</v>
      </c>
      <c r="Q41" s="235" t="s">
        <v>354</v>
      </c>
      <c r="R41" s="625" t="s">
        <v>1654</v>
      </c>
      <c r="S41" s="551">
        <v>0.0</v>
      </c>
      <c r="T41" s="551">
        <v>0.0</v>
      </c>
      <c r="U41" s="551" t="s">
        <v>354</v>
      </c>
      <c r="V41" s="551" t="s">
        <v>354</v>
      </c>
      <c r="W41" s="551" t="s">
        <v>354</v>
      </c>
      <c r="X41" s="551">
        <v>0.0</v>
      </c>
      <c r="Y41" s="551">
        <v>0.0</v>
      </c>
      <c r="Z41" s="551" t="s">
        <v>354</v>
      </c>
      <c r="AA41" s="551" t="s">
        <v>354</v>
      </c>
      <c r="AB41" s="63" t="s">
        <v>356</v>
      </c>
      <c r="AC41" s="63" t="s">
        <v>354</v>
      </c>
      <c r="AD41" s="615" t="s">
        <v>356</v>
      </c>
      <c r="AE41" s="616" t="s">
        <v>354</v>
      </c>
      <c r="AF41" s="561" t="s">
        <v>361</v>
      </c>
      <c r="AG41" s="561" t="s">
        <v>361</v>
      </c>
      <c r="AH41" s="33" t="s">
        <v>356</v>
      </c>
      <c r="AI41" s="33" t="s">
        <v>354</v>
      </c>
      <c r="AJ41" s="46">
        <f t="shared" si="1"/>
        <v>0</v>
      </c>
      <c r="AK41" s="182">
        <f t="shared" si="5"/>
        <v>0</v>
      </c>
      <c r="AL41" s="265"/>
      <c r="AM41" s="265"/>
      <c r="AN41" s="265"/>
      <c r="AO41" s="80">
        <v>0.0</v>
      </c>
      <c r="AP41" s="80">
        <v>0.0</v>
      </c>
      <c r="AQ41" s="80">
        <v>0.0</v>
      </c>
      <c r="AR41" s="80">
        <v>0.0</v>
      </c>
      <c r="AS41" s="80">
        <v>0.0</v>
      </c>
      <c r="AT41" s="224">
        <v>0.0</v>
      </c>
      <c r="AU41" s="80">
        <v>0.0</v>
      </c>
      <c r="AV41" s="80">
        <v>0.0</v>
      </c>
      <c r="AW41" s="182">
        <f t="shared" si="3"/>
        <v>0</v>
      </c>
      <c r="AX41" s="182">
        <f t="shared" si="4"/>
        <v>0</v>
      </c>
    </row>
    <row r="42">
      <c r="A42" s="49">
        <v>41.0</v>
      </c>
      <c r="B42" s="46" t="s">
        <v>212</v>
      </c>
      <c r="C42" s="45" t="s">
        <v>213</v>
      </c>
      <c r="D42" s="46" t="s">
        <v>213</v>
      </c>
      <c r="E42" s="18" t="s">
        <v>753</v>
      </c>
      <c r="F42" s="593">
        <v>40319.0</v>
      </c>
      <c r="G42" s="623" t="s">
        <v>547</v>
      </c>
      <c r="H42" s="45" t="s">
        <v>67</v>
      </c>
      <c r="I42" s="45" t="s">
        <v>7</v>
      </c>
      <c r="J42" s="235" t="s">
        <v>354</v>
      </c>
      <c r="K42" s="614" t="s">
        <v>1649</v>
      </c>
      <c r="L42" s="614">
        <v>1.0</v>
      </c>
      <c r="M42" s="235" t="s">
        <v>354</v>
      </c>
      <c r="N42" s="235">
        <v>250.0</v>
      </c>
      <c r="O42" s="235" t="s">
        <v>354</v>
      </c>
      <c r="P42" s="235" t="s">
        <v>354</v>
      </c>
      <c r="Q42" s="235" t="s">
        <v>354</v>
      </c>
      <c r="R42" s="625" t="s">
        <v>1655</v>
      </c>
      <c r="S42" s="551">
        <v>0.0</v>
      </c>
      <c r="T42" s="551">
        <v>0.0</v>
      </c>
      <c r="U42" s="551" t="s">
        <v>354</v>
      </c>
      <c r="V42" s="551" t="s">
        <v>354</v>
      </c>
      <c r="W42" s="551" t="s">
        <v>354</v>
      </c>
      <c r="X42" s="551">
        <v>0.0</v>
      </c>
      <c r="Y42" s="551">
        <v>0.0</v>
      </c>
      <c r="Z42" s="551" t="s">
        <v>354</v>
      </c>
      <c r="AA42" s="551" t="s">
        <v>354</v>
      </c>
      <c r="AB42" s="63" t="s">
        <v>356</v>
      </c>
      <c r="AC42" s="63" t="s">
        <v>354</v>
      </c>
      <c r="AD42" s="615" t="s">
        <v>356</v>
      </c>
      <c r="AE42" s="616" t="s">
        <v>354</v>
      </c>
      <c r="AF42" s="558" t="s">
        <v>356</v>
      </c>
      <c r="AG42" s="558" t="s">
        <v>354</v>
      </c>
      <c r="AH42" s="33" t="s">
        <v>356</v>
      </c>
      <c r="AI42" s="33" t="s">
        <v>354</v>
      </c>
      <c r="AJ42" s="46">
        <f t="shared" si="1"/>
        <v>0</v>
      </c>
      <c r="AK42" s="182">
        <f t="shared" si="5"/>
        <v>0</v>
      </c>
      <c r="AL42" s="265"/>
      <c r="AM42" s="265"/>
      <c r="AN42" s="265"/>
      <c r="AO42" s="80">
        <v>0.0</v>
      </c>
      <c r="AP42" s="80">
        <v>0.0</v>
      </c>
      <c r="AQ42" s="80">
        <v>0.0</v>
      </c>
      <c r="AR42" s="80">
        <v>0.0</v>
      </c>
      <c r="AS42" s="80">
        <v>0.0</v>
      </c>
      <c r="AT42" s="224">
        <v>0.0</v>
      </c>
      <c r="AU42" s="80">
        <v>0.0</v>
      </c>
      <c r="AV42" s="80">
        <v>0.0</v>
      </c>
      <c r="AW42" s="182">
        <f t="shared" si="3"/>
        <v>0</v>
      </c>
      <c r="AX42" s="182">
        <f t="shared" si="4"/>
        <v>0</v>
      </c>
    </row>
    <row r="43">
      <c r="A43" s="49">
        <v>42.0</v>
      </c>
      <c r="B43" s="46" t="s">
        <v>215</v>
      </c>
      <c r="C43" s="45" t="s">
        <v>216</v>
      </c>
      <c r="D43" s="46" t="s">
        <v>216</v>
      </c>
      <c r="E43" s="18" t="s">
        <v>764</v>
      </c>
      <c r="F43" s="593">
        <v>40319.0</v>
      </c>
      <c r="G43" s="85" t="s">
        <v>547</v>
      </c>
      <c r="H43" s="45" t="s">
        <v>67</v>
      </c>
      <c r="I43" s="85" t="s">
        <v>7</v>
      </c>
      <c r="J43" s="235" t="s">
        <v>354</v>
      </c>
      <c r="K43" s="614" t="s">
        <v>770</v>
      </c>
      <c r="L43" s="614">
        <v>0.0</v>
      </c>
      <c r="M43" s="235" t="s">
        <v>354</v>
      </c>
      <c r="N43" s="624">
        <v>205.0</v>
      </c>
      <c r="O43" s="235" t="s">
        <v>354</v>
      </c>
      <c r="P43" s="235" t="s">
        <v>354</v>
      </c>
      <c r="Q43" s="235" t="s">
        <v>354</v>
      </c>
      <c r="R43" s="625" t="s">
        <v>714</v>
      </c>
      <c r="S43" s="151">
        <v>33.1</v>
      </c>
      <c r="T43" s="551">
        <v>0.0</v>
      </c>
      <c r="U43" s="551" t="s">
        <v>354</v>
      </c>
      <c r="V43" s="551" t="s">
        <v>354</v>
      </c>
      <c r="W43" s="551" t="s">
        <v>354</v>
      </c>
      <c r="X43" s="551">
        <v>0.0</v>
      </c>
      <c r="Y43" s="551">
        <v>0.0</v>
      </c>
      <c r="Z43" s="551" t="s">
        <v>354</v>
      </c>
      <c r="AA43" s="551" t="s">
        <v>354</v>
      </c>
      <c r="AB43" s="56" t="s">
        <v>365</v>
      </c>
      <c r="AC43" s="35" t="s">
        <v>363</v>
      </c>
      <c r="AD43" s="548" t="s">
        <v>365</v>
      </c>
      <c r="AE43" s="617" t="s">
        <v>358</v>
      </c>
      <c r="AF43" s="549" t="s">
        <v>365</v>
      </c>
      <c r="AG43" s="155" t="s">
        <v>363</v>
      </c>
      <c r="AH43" s="36" t="s">
        <v>365</v>
      </c>
      <c r="AI43" s="155" t="s">
        <v>363</v>
      </c>
      <c r="AJ43" s="357">
        <f t="shared" si="1"/>
        <v>4</v>
      </c>
      <c r="AK43" s="182">
        <f t="shared" si="5"/>
        <v>1</v>
      </c>
      <c r="AL43" s="265"/>
      <c r="AM43" s="265"/>
      <c r="AN43" s="265"/>
      <c r="AO43" s="80">
        <v>0.0</v>
      </c>
      <c r="AP43" s="80">
        <v>0.0</v>
      </c>
      <c r="AQ43" s="224">
        <v>1.0</v>
      </c>
      <c r="AR43" s="224">
        <v>2.0</v>
      </c>
      <c r="AS43" s="80">
        <v>0.0</v>
      </c>
      <c r="AT43" s="224">
        <v>0.0</v>
      </c>
      <c r="AU43" s="80">
        <v>0.0</v>
      </c>
      <c r="AV43" s="80">
        <v>0.0</v>
      </c>
      <c r="AW43" s="358">
        <f t="shared" si="3"/>
        <v>3</v>
      </c>
      <c r="AX43" s="358">
        <f t="shared" si="4"/>
        <v>2</v>
      </c>
    </row>
    <row r="44">
      <c r="A44" s="49">
        <v>43.0</v>
      </c>
      <c r="B44" s="46" t="s">
        <v>218</v>
      </c>
      <c r="C44" s="45" t="s">
        <v>219</v>
      </c>
      <c r="D44" s="46" t="s">
        <v>219</v>
      </c>
      <c r="E44" s="98" t="s">
        <v>769</v>
      </c>
      <c r="F44" s="593">
        <v>40319.0</v>
      </c>
      <c r="G44" s="623" t="s">
        <v>547</v>
      </c>
      <c r="H44" s="45" t="s">
        <v>67</v>
      </c>
      <c r="I44" s="45" t="s">
        <v>7</v>
      </c>
      <c r="J44" s="235" t="s">
        <v>354</v>
      </c>
      <c r="K44" s="614" t="s">
        <v>770</v>
      </c>
      <c r="L44" s="614">
        <v>0.0</v>
      </c>
      <c r="M44" s="235" t="s">
        <v>354</v>
      </c>
      <c r="N44" s="624">
        <v>205.0</v>
      </c>
      <c r="O44" s="235" t="s">
        <v>354</v>
      </c>
      <c r="P44" s="235" t="s">
        <v>354</v>
      </c>
      <c r="Q44" s="235" t="s">
        <v>354</v>
      </c>
      <c r="R44" s="625" t="s">
        <v>714</v>
      </c>
      <c r="S44" s="151">
        <v>25.34</v>
      </c>
      <c r="T44" s="221">
        <v>28.62</v>
      </c>
      <c r="U44" s="551" t="s">
        <v>356</v>
      </c>
      <c r="V44" s="551" t="s">
        <v>356</v>
      </c>
      <c r="W44" s="551" t="s">
        <v>356</v>
      </c>
      <c r="X44" s="551">
        <v>0.0</v>
      </c>
      <c r="Y44" s="551">
        <v>0.0</v>
      </c>
      <c r="Z44" s="551" t="s">
        <v>354</v>
      </c>
      <c r="AA44" s="551" t="s">
        <v>354</v>
      </c>
      <c r="AB44" s="56" t="s">
        <v>365</v>
      </c>
      <c r="AC44" s="165" t="s">
        <v>389</v>
      </c>
      <c r="AD44" s="615" t="s">
        <v>356</v>
      </c>
      <c r="AE44" s="616" t="s">
        <v>354</v>
      </c>
      <c r="AF44" s="558" t="s">
        <v>356</v>
      </c>
      <c r="AG44" s="558" t="s">
        <v>354</v>
      </c>
      <c r="AH44" s="36" t="s">
        <v>365</v>
      </c>
      <c r="AI44" s="102" t="s">
        <v>357</v>
      </c>
      <c r="AJ44" s="357">
        <f t="shared" si="1"/>
        <v>2</v>
      </c>
      <c r="AK44" s="182">
        <f t="shared" si="5"/>
        <v>1</v>
      </c>
      <c r="AL44" s="265"/>
      <c r="AM44" s="265"/>
      <c r="AN44" s="265"/>
      <c r="AO44" s="80">
        <v>0.0</v>
      </c>
      <c r="AP44" s="80">
        <v>0.0</v>
      </c>
      <c r="AQ44" s="80">
        <v>0.0</v>
      </c>
      <c r="AR44" s="80">
        <v>0.0</v>
      </c>
      <c r="AS44" s="80">
        <v>0.0</v>
      </c>
      <c r="AT44" s="224">
        <v>1.0</v>
      </c>
      <c r="AU44" s="80">
        <v>0.0</v>
      </c>
      <c r="AV44" s="80">
        <v>0.0</v>
      </c>
      <c r="AW44" s="358">
        <f t="shared" si="3"/>
        <v>1</v>
      </c>
      <c r="AX44" s="358">
        <f t="shared" si="4"/>
        <v>1</v>
      </c>
    </row>
    <row r="45">
      <c r="A45" s="49">
        <v>44.0</v>
      </c>
      <c r="B45" s="46" t="s">
        <v>221</v>
      </c>
      <c r="C45" s="45" t="s">
        <v>222</v>
      </c>
      <c r="D45" s="49" t="s">
        <v>1422</v>
      </c>
      <c r="E45" s="18" t="s">
        <v>775</v>
      </c>
      <c r="F45" s="593">
        <v>40319.0</v>
      </c>
      <c r="G45" s="623" t="s">
        <v>547</v>
      </c>
      <c r="H45" s="45" t="s">
        <v>67</v>
      </c>
      <c r="I45" s="45" t="s">
        <v>7</v>
      </c>
      <c r="J45" s="235" t="s">
        <v>354</v>
      </c>
      <c r="K45" s="614" t="s">
        <v>1649</v>
      </c>
      <c r="L45" s="614">
        <v>0.0</v>
      </c>
      <c r="M45" s="235" t="s">
        <v>354</v>
      </c>
      <c r="N45" s="624">
        <v>260.0</v>
      </c>
      <c r="O45" s="235" t="s">
        <v>354</v>
      </c>
      <c r="P45" s="235" t="s">
        <v>354</v>
      </c>
      <c r="Q45" s="235" t="s">
        <v>354</v>
      </c>
      <c r="R45" s="625" t="s">
        <v>1656</v>
      </c>
      <c r="S45" s="151">
        <v>32.39</v>
      </c>
      <c r="T45" s="551">
        <v>0.0</v>
      </c>
      <c r="U45" s="551" t="s">
        <v>354</v>
      </c>
      <c r="V45" s="551" t="s">
        <v>354</v>
      </c>
      <c r="W45" s="551" t="s">
        <v>354</v>
      </c>
      <c r="X45" s="551">
        <v>0.0</v>
      </c>
      <c r="Y45" s="551">
        <v>0.0</v>
      </c>
      <c r="Z45" s="551" t="s">
        <v>354</v>
      </c>
      <c r="AA45" s="551" t="s">
        <v>354</v>
      </c>
      <c r="AB45" s="56" t="s">
        <v>365</v>
      </c>
      <c r="AC45" s="35" t="s">
        <v>363</v>
      </c>
      <c r="AD45" s="548" t="s">
        <v>365</v>
      </c>
      <c r="AE45" s="155" t="s">
        <v>1651</v>
      </c>
      <c r="AF45" s="549" t="s">
        <v>365</v>
      </c>
      <c r="AG45" s="102" t="s">
        <v>357</v>
      </c>
      <c r="AH45" s="36" t="s">
        <v>365</v>
      </c>
      <c r="AI45" s="155" t="s">
        <v>363</v>
      </c>
      <c r="AJ45" s="357">
        <f t="shared" si="1"/>
        <v>4</v>
      </c>
      <c r="AK45" s="182">
        <f t="shared" si="5"/>
        <v>1</v>
      </c>
      <c r="AL45" s="265"/>
      <c r="AM45" s="265"/>
      <c r="AN45" s="265"/>
      <c r="AO45" s="80">
        <v>0.0</v>
      </c>
      <c r="AP45" s="80">
        <v>0.0</v>
      </c>
      <c r="AQ45" s="80">
        <v>0.0</v>
      </c>
      <c r="AR45" s="224">
        <v>2.0</v>
      </c>
      <c r="AS45" s="80">
        <v>0.0</v>
      </c>
      <c r="AT45" s="224">
        <v>1.0</v>
      </c>
      <c r="AU45" s="80">
        <v>0.0</v>
      </c>
      <c r="AV45" s="80">
        <v>0.0</v>
      </c>
      <c r="AW45" s="358">
        <f t="shared" si="3"/>
        <v>3</v>
      </c>
      <c r="AX45" s="358">
        <f t="shared" si="4"/>
        <v>2</v>
      </c>
    </row>
    <row r="46">
      <c r="A46" s="49">
        <v>45.0</v>
      </c>
      <c r="B46" s="46" t="s">
        <v>224</v>
      </c>
      <c r="C46" s="45" t="s">
        <v>225</v>
      </c>
      <c r="D46" s="46" t="s">
        <v>225</v>
      </c>
      <c r="E46" s="83" t="s">
        <v>789</v>
      </c>
      <c r="F46" s="593">
        <v>40319.0</v>
      </c>
      <c r="G46" s="85" t="s">
        <v>547</v>
      </c>
      <c r="H46" s="45" t="s">
        <v>67</v>
      </c>
      <c r="I46" s="45" t="s">
        <v>7</v>
      </c>
      <c r="J46" s="235" t="s">
        <v>354</v>
      </c>
      <c r="K46" s="614" t="s">
        <v>770</v>
      </c>
      <c r="L46" s="614">
        <v>1.0</v>
      </c>
      <c r="M46" s="235" t="s">
        <v>354</v>
      </c>
      <c r="N46" s="624">
        <v>210.0</v>
      </c>
      <c r="O46" s="235" t="s">
        <v>354</v>
      </c>
      <c r="P46" s="235" t="s">
        <v>354</v>
      </c>
      <c r="Q46" s="235" t="s">
        <v>354</v>
      </c>
      <c r="R46" s="235" t="s">
        <v>354</v>
      </c>
      <c r="S46" s="151">
        <v>38.77</v>
      </c>
      <c r="T46" s="551">
        <v>0.0</v>
      </c>
      <c r="U46" s="551" t="s">
        <v>354</v>
      </c>
      <c r="V46" s="551" t="s">
        <v>354</v>
      </c>
      <c r="W46" s="551" t="s">
        <v>354</v>
      </c>
      <c r="X46" s="551">
        <v>0.0</v>
      </c>
      <c r="Y46" s="551">
        <v>0.0</v>
      </c>
      <c r="Z46" s="551" t="s">
        <v>354</v>
      </c>
      <c r="AA46" s="551" t="s">
        <v>354</v>
      </c>
      <c r="AB46" s="56" t="s">
        <v>365</v>
      </c>
      <c r="AC46" s="58" t="s">
        <v>380</v>
      </c>
      <c r="AD46" s="548" t="s">
        <v>365</v>
      </c>
      <c r="AE46" s="102" t="s">
        <v>1646</v>
      </c>
      <c r="AF46" s="599" t="s">
        <v>365</v>
      </c>
      <c r="AG46" s="391" t="s">
        <v>380</v>
      </c>
      <c r="AH46" s="33" t="s">
        <v>356</v>
      </c>
      <c r="AI46" s="33" t="s">
        <v>354</v>
      </c>
      <c r="AJ46" s="357">
        <f t="shared" si="1"/>
        <v>3</v>
      </c>
      <c r="AK46" s="182">
        <f t="shared" si="5"/>
        <v>1</v>
      </c>
      <c r="AL46" s="265"/>
      <c r="AM46" s="265"/>
      <c r="AN46" s="265"/>
      <c r="AO46" s="80">
        <v>0.0</v>
      </c>
      <c r="AP46" s="80">
        <v>0.0</v>
      </c>
      <c r="AQ46" s="80">
        <v>0.0</v>
      </c>
      <c r="AR46" s="80">
        <v>0.0</v>
      </c>
      <c r="AS46" s="80">
        <v>0.0</v>
      </c>
      <c r="AT46" s="224">
        <v>1.0</v>
      </c>
      <c r="AU46" s="224">
        <v>1.0</v>
      </c>
      <c r="AV46" s="80">
        <v>0.0</v>
      </c>
      <c r="AW46" s="358">
        <f t="shared" si="3"/>
        <v>2</v>
      </c>
      <c r="AX46" s="358">
        <f t="shared" si="4"/>
        <v>2</v>
      </c>
    </row>
    <row r="47">
      <c r="A47" s="49">
        <v>46.0</v>
      </c>
      <c r="B47" s="46" t="s">
        <v>227</v>
      </c>
      <c r="C47" s="45" t="s">
        <v>228</v>
      </c>
      <c r="D47" s="46" t="s">
        <v>228</v>
      </c>
      <c r="E47" s="18" t="s">
        <v>1623</v>
      </c>
      <c r="F47" s="593">
        <v>40319.0</v>
      </c>
      <c r="G47" s="85" t="s">
        <v>547</v>
      </c>
      <c r="H47" s="45" t="s">
        <v>67</v>
      </c>
      <c r="I47" s="85" t="s">
        <v>37</v>
      </c>
      <c r="J47" s="235" t="s">
        <v>354</v>
      </c>
      <c r="K47" s="614" t="s">
        <v>770</v>
      </c>
      <c r="L47" s="614">
        <v>1.0</v>
      </c>
      <c r="M47" s="235" t="s">
        <v>354</v>
      </c>
      <c r="N47" s="72">
        <v>170.0</v>
      </c>
      <c r="O47" s="235" t="s">
        <v>354</v>
      </c>
      <c r="P47" s="235" t="s">
        <v>354</v>
      </c>
      <c r="Q47" s="235" t="s">
        <v>354</v>
      </c>
      <c r="R47" s="72" t="s">
        <v>803</v>
      </c>
      <c r="S47" s="151">
        <v>30.71</v>
      </c>
      <c r="T47" s="551">
        <v>0.0</v>
      </c>
      <c r="U47" s="551" t="s">
        <v>354</v>
      </c>
      <c r="V47" s="551" t="s">
        <v>354</v>
      </c>
      <c r="W47" s="551" t="s">
        <v>354</v>
      </c>
      <c r="X47" s="551">
        <v>0.0</v>
      </c>
      <c r="Y47" s="551">
        <v>0.0</v>
      </c>
      <c r="Z47" s="551" t="s">
        <v>354</v>
      </c>
      <c r="AA47" s="551" t="s">
        <v>354</v>
      </c>
      <c r="AB47" s="63" t="s">
        <v>356</v>
      </c>
      <c r="AC47" s="63" t="s">
        <v>354</v>
      </c>
      <c r="AD47" s="615" t="s">
        <v>356</v>
      </c>
      <c r="AE47" s="616" t="s">
        <v>354</v>
      </c>
      <c r="AF47" s="558" t="s">
        <v>356</v>
      </c>
      <c r="AG47" s="558" t="s">
        <v>354</v>
      </c>
      <c r="AH47" s="33" t="s">
        <v>356</v>
      </c>
      <c r="AI47" s="33" t="s">
        <v>354</v>
      </c>
      <c r="AJ47" s="46">
        <f t="shared" si="1"/>
        <v>1</v>
      </c>
      <c r="AK47" s="235">
        <v>0.0</v>
      </c>
      <c r="AL47" s="265"/>
      <c r="AM47" s="265"/>
      <c r="AN47" s="265"/>
      <c r="AO47" s="80">
        <v>0.0</v>
      </c>
      <c r="AP47" s="80">
        <v>0.0</v>
      </c>
      <c r="AQ47" s="80">
        <v>0.0</v>
      </c>
      <c r="AR47" s="80">
        <v>0.0</v>
      </c>
      <c r="AS47" s="80">
        <v>0.0</v>
      </c>
      <c r="AT47" s="224">
        <v>0.0</v>
      </c>
      <c r="AU47" s="80">
        <v>0.0</v>
      </c>
      <c r="AV47" s="80">
        <v>0.0</v>
      </c>
      <c r="AW47" s="182">
        <f t="shared" si="3"/>
        <v>0</v>
      </c>
      <c r="AX47" s="182">
        <f t="shared" si="4"/>
        <v>0</v>
      </c>
    </row>
    <row r="48">
      <c r="A48" s="49">
        <v>47.0</v>
      </c>
      <c r="B48" s="46" t="s">
        <v>230</v>
      </c>
      <c r="C48" s="45" t="s">
        <v>231</v>
      </c>
      <c r="D48" s="622" t="s">
        <v>231</v>
      </c>
      <c r="E48" s="602" t="s">
        <v>808</v>
      </c>
      <c r="F48" s="593">
        <v>40319.0</v>
      </c>
      <c r="G48" s="623" t="s">
        <v>547</v>
      </c>
      <c r="H48" s="45" t="s">
        <v>67</v>
      </c>
      <c r="I48" s="45" t="s">
        <v>7</v>
      </c>
      <c r="J48" s="235" t="s">
        <v>354</v>
      </c>
      <c r="K48" s="614" t="s">
        <v>1649</v>
      </c>
      <c r="L48" s="614">
        <v>0.0</v>
      </c>
      <c r="M48" s="235" t="s">
        <v>354</v>
      </c>
      <c r="N48" s="72">
        <v>250.0</v>
      </c>
      <c r="O48" s="235" t="s">
        <v>354</v>
      </c>
      <c r="P48" s="235" t="s">
        <v>354</v>
      </c>
      <c r="Q48" s="235" t="s">
        <v>354</v>
      </c>
      <c r="R48" s="72" t="s">
        <v>812</v>
      </c>
      <c r="S48" s="557">
        <v>42.21</v>
      </c>
      <c r="T48" s="551">
        <v>0.0</v>
      </c>
      <c r="U48" s="551" t="s">
        <v>354</v>
      </c>
      <c r="V48" s="551" t="s">
        <v>354</v>
      </c>
      <c r="W48" s="551" t="s">
        <v>354</v>
      </c>
      <c r="X48" s="551">
        <v>0.0</v>
      </c>
      <c r="Y48" s="221">
        <v>39.64</v>
      </c>
      <c r="Z48" s="551" t="s">
        <v>356</v>
      </c>
      <c r="AA48" s="551" t="s">
        <v>354</v>
      </c>
      <c r="AB48" s="56" t="s">
        <v>365</v>
      </c>
      <c r="AC48" s="65" t="s">
        <v>387</v>
      </c>
      <c r="AD48" s="548" t="s">
        <v>365</v>
      </c>
      <c r="AE48" s="102" t="s">
        <v>1646</v>
      </c>
      <c r="AF48" s="549" t="s">
        <v>365</v>
      </c>
      <c r="AG48" s="102" t="s">
        <v>357</v>
      </c>
      <c r="AH48" s="36" t="s">
        <v>365</v>
      </c>
      <c r="AI48" s="102" t="s">
        <v>357</v>
      </c>
      <c r="AJ48" s="357">
        <f t="shared" si="1"/>
        <v>4</v>
      </c>
      <c r="AK48" s="182">
        <f t="shared" ref="AK48:AK52" si="6">if(AJ48&gt;0,1,0)</f>
        <v>1</v>
      </c>
      <c r="AL48" s="265"/>
      <c r="AM48" s="265"/>
      <c r="AN48" s="265"/>
      <c r="AO48" s="80">
        <v>0.0</v>
      </c>
      <c r="AP48" s="80">
        <v>0.0</v>
      </c>
      <c r="AQ48" s="80">
        <v>0.0</v>
      </c>
      <c r="AR48" s="80">
        <v>0.0</v>
      </c>
      <c r="AS48" s="80">
        <v>0.0</v>
      </c>
      <c r="AT48" s="224">
        <v>3.0</v>
      </c>
      <c r="AU48" s="80">
        <v>0.0</v>
      </c>
      <c r="AV48" s="80">
        <v>0.0</v>
      </c>
      <c r="AW48" s="358">
        <f t="shared" si="3"/>
        <v>3</v>
      </c>
      <c r="AX48" s="358">
        <f t="shared" si="4"/>
        <v>1</v>
      </c>
    </row>
    <row r="49">
      <c r="A49" s="49">
        <v>48.0</v>
      </c>
      <c r="B49" s="46" t="s">
        <v>233</v>
      </c>
      <c r="C49" s="45" t="s">
        <v>236</v>
      </c>
      <c r="D49" s="46" t="s">
        <v>234</v>
      </c>
      <c r="E49" s="18" t="s">
        <v>1625</v>
      </c>
      <c r="F49" s="593">
        <v>40319.0</v>
      </c>
      <c r="G49" s="623" t="s">
        <v>547</v>
      </c>
      <c r="H49" s="45" t="s">
        <v>67</v>
      </c>
      <c r="I49" s="45" t="s">
        <v>7</v>
      </c>
      <c r="J49" s="235" t="s">
        <v>354</v>
      </c>
      <c r="K49" s="614" t="s">
        <v>1649</v>
      </c>
      <c r="L49" s="614">
        <v>0.0</v>
      </c>
      <c r="M49" s="235" t="s">
        <v>354</v>
      </c>
      <c r="N49" s="72">
        <v>275.0</v>
      </c>
      <c r="O49" s="235" t="s">
        <v>354</v>
      </c>
      <c r="P49" s="235" t="s">
        <v>354</v>
      </c>
      <c r="Q49" s="235" t="s">
        <v>354</v>
      </c>
      <c r="R49" s="72" t="s">
        <v>828</v>
      </c>
      <c r="S49" s="151">
        <v>27.99</v>
      </c>
      <c r="T49" s="551">
        <v>0.0</v>
      </c>
      <c r="U49" s="551" t="s">
        <v>354</v>
      </c>
      <c r="V49" s="551" t="s">
        <v>354</v>
      </c>
      <c r="W49" s="551" t="s">
        <v>354</v>
      </c>
      <c r="X49" s="551">
        <v>0.0</v>
      </c>
      <c r="Y49" s="551">
        <v>0.0</v>
      </c>
      <c r="Z49" s="551" t="s">
        <v>354</v>
      </c>
      <c r="AA49" s="551" t="s">
        <v>354</v>
      </c>
      <c r="AB49" s="56" t="s">
        <v>365</v>
      </c>
      <c r="AC49" s="58" t="s">
        <v>380</v>
      </c>
      <c r="AD49" s="560" t="s">
        <v>361</v>
      </c>
      <c r="AE49" s="560" t="s">
        <v>361</v>
      </c>
      <c r="AF49" s="599" t="s">
        <v>365</v>
      </c>
      <c r="AG49" s="391" t="s">
        <v>380</v>
      </c>
      <c r="AH49" s="33" t="s">
        <v>356</v>
      </c>
      <c r="AI49" s="33" t="s">
        <v>354</v>
      </c>
      <c r="AJ49" s="357">
        <f t="shared" si="1"/>
        <v>2</v>
      </c>
      <c r="AK49" s="182">
        <f t="shared" si="6"/>
        <v>1</v>
      </c>
      <c r="AL49" s="265"/>
      <c r="AM49" s="265"/>
      <c r="AN49" s="265"/>
      <c r="AO49" s="80">
        <v>0.0</v>
      </c>
      <c r="AP49" s="80">
        <v>0.0</v>
      </c>
      <c r="AQ49" s="80">
        <v>0.0</v>
      </c>
      <c r="AR49" s="80">
        <v>0.0</v>
      </c>
      <c r="AS49" s="80">
        <v>0.0</v>
      </c>
      <c r="AT49" s="224">
        <v>0.0</v>
      </c>
      <c r="AU49" s="224">
        <v>1.0</v>
      </c>
      <c r="AV49" s="80">
        <v>0.0</v>
      </c>
      <c r="AW49" s="358">
        <f t="shared" si="3"/>
        <v>1</v>
      </c>
      <c r="AX49" s="358">
        <f t="shared" si="4"/>
        <v>1</v>
      </c>
    </row>
    <row r="50">
      <c r="A50" s="49">
        <v>49.0</v>
      </c>
      <c r="B50" s="46" t="s">
        <v>237</v>
      </c>
      <c r="C50" s="45" t="s">
        <v>238</v>
      </c>
      <c r="D50" s="46" t="s">
        <v>238</v>
      </c>
      <c r="E50" s="18" t="s">
        <v>844</v>
      </c>
      <c r="F50" s="593">
        <v>40319.0</v>
      </c>
      <c r="G50" s="623" t="s">
        <v>547</v>
      </c>
      <c r="H50" s="45" t="s">
        <v>67</v>
      </c>
      <c r="I50" s="45" t="s">
        <v>7</v>
      </c>
      <c r="J50" s="235" t="s">
        <v>354</v>
      </c>
      <c r="K50" s="614" t="s">
        <v>770</v>
      </c>
      <c r="L50" s="614">
        <v>0.0</v>
      </c>
      <c r="M50" s="235" t="s">
        <v>354</v>
      </c>
      <c r="N50" s="235" t="s">
        <v>354</v>
      </c>
      <c r="O50" s="235" t="s">
        <v>354</v>
      </c>
      <c r="P50" s="235" t="s">
        <v>354</v>
      </c>
      <c r="Q50" s="235" t="s">
        <v>354</v>
      </c>
      <c r="R50" s="235" t="s">
        <v>1657</v>
      </c>
      <c r="S50" s="551">
        <v>0.0</v>
      </c>
      <c r="T50" s="551">
        <v>0.0</v>
      </c>
      <c r="U50" s="551" t="s">
        <v>354</v>
      </c>
      <c r="V50" s="551" t="s">
        <v>354</v>
      </c>
      <c r="W50" s="551" t="s">
        <v>354</v>
      </c>
      <c r="X50" s="551">
        <v>0.0</v>
      </c>
      <c r="Y50" s="551">
        <v>0.0</v>
      </c>
      <c r="Z50" s="551" t="s">
        <v>354</v>
      </c>
      <c r="AA50" s="551" t="s">
        <v>354</v>
      </c>
      <c r="AB50" s="56" t="s">
        <v>365</v>
      </c>
      <c r="AC50" s="58" t="s">
        <v>380</v>
      </c>
      <c r="AD50" s="560" t="s">
        <v>361</v>
      </c>
      <c r="AE50" s="560" t="s">
        <v>361</v>
      </c>
      <c r="AF50" s="599" t="s">
        <v>365</v>
      </c>
      <c r="AG50" s="391" t="s">
        <v>380</v>
      </c>
      <c r="AH50" s="33" t="s">
        <v>356</v>
      </c>
      <c r="AI50" s="33" t="s">
        <v>354</v>
      </c>
      <c r="AJ50" s="357">
        <f t="shared" si="1"/>
        <v>1</v>
      </c>
      <c r="AK50" s="182">
        <f t="shared" si="6"/>
        <v>1</v>
      </c>
      <c r="AL50" s="265"/>
      <c r="AM50" s="265"/>
      <c r="AN50" s="265"/>
      <c r="AO50" s="80">
        <v>0.0</v>
      </c>
      <c r="AP50" s="80">
        <v>0.0</v>
      </c>
      <c r="AQ50" s="80">
        <v>0.0</v>
      </c>
      <c r="AR50" s="80">
        <v>0.0</v>
      </c>
      <c r="AS50" s="80">
        <v>0.0</v>
      </c>
      <c r="AT50" s="224">
        <v>0.0</v>
      </c>
      <c r="AU50" s="224">
        <v>1.0</v>
      </c>
      <c r="AV50" s="80">
        <v>0.0</v>
      </c>
      <c r="AW50" s="363">
        <f t="shared" si="3"/>
        <v>1</v>
      </c>
      <c r="AX50" s="363">
        <f t="shared" si="4"/>
        <v>1</v>
      </c>
    </row>
    <row r="51">
      <c r="A51" s="49">
        <v>50.0</v>
      </c>
      <c r="B51" s="46" t="s">
        <v>240</v>
      </c>
      <c r="C51" s="45" t="s">
        <v>241</v>
      </c>
      <c r="D51" s="46" t="s">
        <v>241</v>
      </c>
      <c r="E51" s="98" t="s">
        <v>853</v>
      </c>
      <c r="F51" s="593">
        <v>40319.0</v>
      </c>
      <c r="G51" s="623" t="s">
        <v>547</v>
      </c>
      <c r="H51" s="45" t="s">
        <v>67</v>
      </c>
      <c r="I51" s="45" t="s">
        <v>7</v>
      </c>
      <c r="J51" s="235" t="s">
        <v>354</v>
      </c>
      <c r="K51" s="614" t="s">
        <v>770</v>
      </c>
      <c r="L51" s="614">
        <v>1.0</v>
      </c>
      <c r="M51" s="235" t="s">
        <v>354</v>
      </c>
      <c r="N51" s="72">
        <v>205.0</v>
      </c>
      <c r="O51" s="235" t="s">
        <v>354</v>
      </c>
      <c r="P51" s="235" t="s">
        <v>354</v>
      </c>
      <c r="Q51" s="235" t="s">
        <v>354</v>
      </c>
      <c r="R51" s="72" t="s">
        <v>714</v>
      </c>
      <c r="S51" s="151">
        <v>35.6</v>
      </c>
      <c r="T51" s="221">
        <v>28.14</v>
      </c>
      <c r="U51" s="551" t="s">
        <v>356</v>
      </c>
      <c r="V51" s="551" t="s">
        <v>356</v>
      </c>
      <c r="W51" s="551" t="s">
        <v>356</v>
      </c>
      <c r="X51" s="551">
        <v>0.0</v>
      </c>
      <c r="Y51" s="551">
        <v>0.0</v>
      </c>
      <c r="Z51" s="551" t="s">
        <v>354</v>
      </c>
      <c r="AA51" s="551" t="s">
        <v>354</v>
      </c>
      <c r="AB51" s="56" t="s">
        <v>365</v>
      </c>
      <c r="AC51" s="26" t="s">
        <v>357</v>
      </c>
      <c r="AD51" s="548" t="s">
        <v>365</v>
      </c>
      <c r="AE51" s="102" t="s">
        <v>1646</v>
      </c>
      <c r="AF51" s="549" t="s">
        <v>365</v>
      </c>
      <c r="AG51" s="102" t="s">
        <v>357</v>
      </c>
      <c r="AH51" s="36" t="s">
        <v>365</v>
      </c>
      <c r="AI51" s="102" t="s">
        <v>357</v>
      </c>
      <c r="AJ51" s="357">
        <f t="shared" si="1"/>
        <v>4</v>
      </c>
      <c r="AK51" s="182">
        <f t="shared" si="6"/>
        <v>1</v>
      </c>
      <c r="AL51" s="265"/>
      <c r="AM51" s="265"/>
      <c r="AN51" s="265"/>
      <c r="AO51" s="80">
        <v>0.0</v>
      </c>
      <c r="AP51" s="80">
        <v>0.0</v>
      </c>
      <c r="AQ51" s="80">
        <v>0.0</v>
      </c>
      <c r="AR51" s="80">
        <v>0.0</v>
      </c>
      <c r="AS51" s="80">
        <v>0.0</v>
      </c>
      <c r="AT51" s="224">
        <v>3.0</v>
      </c>
      <c r="AU51" s="80">
        <v>0.0</v>
      </c>
      <c r="AV51" s="80">
        <v>0.0</v>
      </c>
      <c r="AW51" s="358">
        <f t="shared" si="3"/>
        <v>3</v>
      </c>
      <c r="AX51" s="358">
        <f t="shared" si="4"/>
        <v>1</v>
      </c>
    </row>
    <row r="52">
      <c r="A52" s="49">
        <v>51.0</v>
      </c>
      <c r="B52" s="46" t="s">
        <v>243</v>
      </c>
      <c r="C52" s="45" t="s">
        <v>244</v>
      </c>
      <c r="D52" s="46" t="s">
        <v>244</v>
      </c>
      <c r="E52" s="18" t="s">
        <v>856</v>
      </c>
      <c r="F52" s="593">
        <v>40319.0</v>
      </c>
      <c r="G52" s="623" t="s">
        <v>547</v>
      </c>
      <c r="H52" s="45" t="s">
        <v>67</v>
      </c>
      <c r="I52" s="45" t="s">
        <v>7</v>
      </c>
      <c r="J52" s="235" t="s">
        <v>354</v>
      </c>
      <c r="K52" s="614" t="s">
        <v>1649</v>
      </c>
      <c r="L52" s="614">
        <v>1.0</v>
      </c>
      <c r="M52" s="235" t="s">
        <v>354</v>
      </c>
      <c r="N52" s="235">
        <v>260.0</v>
      </c>
      <c r="O52" s="235" t="s">
        <v>354</v>
      </c>
      <c r="P52" s="235" t="s">
        <v>354</v>
      </c>
      <c r="Q52" s="235" t="s">
        <v>354</v>
      </c>
      <c r="R52" s="72" t="s">
        <v>777</v>
      </c>
      <c r="S52" s="151">
        <v>29.77</v>
      </c>
      <c r="T52" s="551">
        <v>0.0</v>
      </c>
      <c r="U52" s="551" t="s">
        <v>354</v>
      </c>
      <c r="V52" s="551" t="s">
        <v>354</v>
      </c>
      <c r="W52" s="551" t="s">
        <v>354</v>
      </c>
      <c r="X52" s="551">
        <v>0.0</v>
      </c>
      <c r="Y52" s="551">
        <v>0.0</v>
      </c>
      <c r="Z52" s="551" t="s">
        <v>354</v>
      </c>
      <c r="AA52" s="551" t="s">
        <v>354</v>
      </c>
      <c r="AB52" s="56" t="s">
        <v>365</v>
      </c>
      <c r="AC52" s="26" t="s">
        <v>357</v>
      </c>
      <c r="AD52" s="615" t="s">
        <v>356</v>
      </c>
      <c r="AE52" s="616" t="s">
        <v>354</v>
      </c>
      <c r="AF52" s="558" t="s">
        <v>356</v>
      </c>
      <c r="AG52" s="558" t="s">
        <v>354</v>
      </c>
      <c r="AH52" s="36" t="s">
        <v>365</v>
      </c>
      <c r="AI52" s="102" t="s">
        <v>357</v>
      </c>
      <c r="AJ52" s="357">
        <f t="shared" si="1"/>
        <v>2</v>
      </c>
      <c r="AK52" s="182">
        <f t="shared" si="6"/>
        <v>1</v>
      </c>
      <c r="AL52" s="265"/>
      <c r="AM52" s="265"/>
      <c r="AN52" s="265"/>
      <c r="AO52" s="80">
        <v>0.0</v>
      </c>
      <c r="AP52" s="80">
        <v>0.0</v>
      </c>
      <c r="AQ52" s="80">
        <v>0.0</v>
      </c>
      <c r="AR52" s="80">
        <v>0.0</v>
      </c>
      <c r="AS52" s="80">
        <v>0.0</v>
      </c>
      <c r="AT52" s="224">
        <v>1.0</v>
      </c>
      <c r="AU52" s="80">
        <v>0.0</v>
      </c>
      <c r="AV52" s="80">
        <v>0.0</v>
      </c>
      <c r="AW52" s="358">
        <f t="shared" si="3"/>
        <v>1</v>
      </c>
      <c r="AX52" s="358">
        <f t="shared" si="4"/>
        <v>1</v>
      </c>
    </row>
    <row r="53">
      <c r="A53" s="49">
        <v>52.0</v>
      </c>
      <c r="B53" s="46" t="s">
        <v>246</v>
      </c>
      <c r="C53" s="45" t="s">
        <v>247</v>
      </c>
      <c r="D53" s="606" t="s">
        <v>869</v>
      </c>
      <c r="E53" s="604" t="s">
        <v>870</v>
      </c>
      <c r="F53" s="593">
        <v>40319.0</v>
      </c>
      <c r="G53" s="623" t="s">
        <v>547</v>
      </c>
      <c r="H53" s="45" t="s">
        <v>67</v>
      </c>
      <c r="I53" s="45" t="s">
        <v>7</v>
      </c>
      <c r="J53" s="235" t="s">
        <v>354</v>
      </c>
      <c r="K53" s="614" t="s">
        <v>770</v>
      </c>
      <c r="L53" s="614">
        <v>1.0</v>
      </c>
      <c r="M53" s="235" t="s">
        <v>354</v>
      </c>
      <c r="N53" s="72">
        <v>210.0</v>
      </c>
      <c r="O53" s="235" t="s">
        <v>354</v>
      </c>
      <c r="P53" s="235" t="s">
        <v>354</v>
      </c>
      <c r="Q53" s="235" t="s">
        <v>354</v>
      </c>
      <c r="R53" s="235" t="s">
        <v>354</v>
      </c>
      <c r="S53" s="151">
        <v>21.19</v>
      </c>
      <c r="T53" s="551">
        <v>0.0</v>
      </c>
      <c r="U53" s="551" t="s">
        <v>354</v>
      </c>
      <c r="V53" s="551" t="s">
        <v>354</v>
      </c>
      <c r="W53" s="551" t="s">
        <v>354</v>
      </c>
      <c r="X53" s="551">
        <v>0.0</v>
      </c>
      <c r="Y53" s="221">
        <v>39.83</v>
      </c>
      <c r="Z53" s="551" t="s">
        <v>356</v>
      </c>
      <c r="AA53" s="551" t="s">
        <v>354</v>
      </c>
      <c r="AB53" s="63" t="s">
        <v>356</v>
      </c>
      <c r="AC53" s="63" t="s">
        <v>354</v>
      </c>
      <c r="AD53" s="615" t="s">
        <v>356</v>
      </c>
      <c r="AE53" s="616" t="s">
        <v>354</v>
      </c>
      <c r="AF53" s="558" t="s">
        <v>356</v>
      </c>
      <c r="AG53" s="558" t="s">
        <v>354</v>
      </c>
      <c r="AH53" s="33" t="s">
        <v>356</v>
      </c>
      <c r="AI53" s="33" t="s">
        <v>354</v>
      </c>
      <c r="AJ53" s="46">
        <f t="shared" si="1"/>
        <v>1</v>
      </c>
      <c r="AK53" s="235">
        <v>0.0</v>
      </c>
      <c r="AL53" s="265"/>
      <c r="AM53" s="265"/>
      <c r="AN53" s="265"/>
      <c r="AO53" s="80">
        <v>0.0</v>
      </c>
      <c r="AP53" s="80">
        <v>0.0</v>
      </c>
      <c r="AQ53" s="80">
        <v>0.0</v>
      </c>
      <c r="AR53" s="80">
        <v>0.0</v>
      </c>
      <c r="AS53" s="80">
        <v>0.0</v>
      </c>
      <c r="AT53" s="224">
        <v>0.0</v>
      </c>
      <c r="AU53" s="80">
        <v>0.0</v>
      </c>
      <c r="AV53" s="80">
        <v>0.0</v>
      </c>
      <c r="AW53" s="182">
        <f t="shared" si="3"/>
        <v>0</v>
      </c>
      <c r="AX53" s="182">
        <f t="shared" si="4"/>
        <v>0</v>
      </c>
    </row>
    <row r="54">
      <c r="A54" s="49">
        <v>53.0</v>
      </c>
      <c r="B54" s="46" t="s">
        <v>249</v>
      </c>
      <c r="C54" s="46" t="s">
        <v>250</v>
      </c>
      <c r="D54" s="46" t="s">
        <v>250</v>
      </c>
      <c r="E54" s="18" t="s">
        <v>874</v>
      </c>
      <c r="F54" s="593">
        <v>40319.0</v>
      </c>
      <c r="G54" s="57" t="s">
        <v>547</v>
      </c>
      <c r="H54" s="46" t="s">
        <v>67</v>
      </c>
      <c r="I54" s="46" t="s">
        <v>7</v>
      </c>
      <c r="J54" s="235" t="s">
        <v>354</v>
      </c>
      <c r="K54" s="235" t="s">
        <v>770</v>
      </c>
      <c r="L54" s="235" t="s">
        <v>354</v>
      </c>
      <c r="M54" s="235" t="s">
        <v>354</v>
      </c>
      <c r="N54" s="72">
        <v>255.0</v>
      </c>
      <c r="O54" s="235" t="s">
        <v>354</v>
      </c>
      <c r="P54" s="235" t="s">
        <v>354</v>
      </c>
      <c r="Q54" s="235" t="s">
        <v>354</v>
      </c>
      <c r="R54" s="72" t="s">
        <v>1658</v>
      </c>
      <c r="S54" s="551">
        <v>0.0</v>
      </c>
      <c r="T54" s="551">
        <v>0.0</v>
      </c>
      <c r="U54" s="551" t="s">
        <v>354</v>
      </c>
      <c r="V54" s="551" t="s">
        <v>354</v>
      </c>
      <c r="W54" s="551" t="s">
        <v>354</v>
      </c>
      <c r="X54" s="551">
        <v>0.0</v>
      </c>
      <c r="Y54" s="551">
        <v>0.0</v>
      </c>
      <c r="Z54" s="551" t="s">
        <v>354</v>
      </c>
      <c r="AA54" s="551" t="s">
        <v>354</v>
      </c>
      <c r="AB54" s="63" t="s">
        <v>356</v>
      </c>
      <c r="AC54" s="63" t="s">
        <v>354</v>
      </c>
      <c r="AD54" s="615" t="s">
        <v>356</v>
      </c>
      <c r="AE54" s="616" t="s">
        <v>354</v>
      </c>
      <c r="AF54" s="558" t="s">
        <v>356</v>
      </c>
      <c r="AG54" s="558" t="s">
        <v>354</v>
      </c>
      <c r="AH54" s="33" t="s">
        <v>356</v>
      </c>
      <c r="AI54" s="33" t="s">
        <v>354</v>
      </c>
      <c r="AJ54" s="46">
        <f t="shared" si="1"/>
        <v>0</v>
      </c>
      <c r="AK54" s="182">
        <f>if(AJ54&gt;0,1,0)</f>
        <v>0</v>
      </c>
      <c r="AL54" s="265"/>
      <c r="AM54" s="265"/>
      <c r="AN54" s="265"/>
      <c r="AO54" s="80">
        <v>0.0</v>
      </c>
      <c r="AP54" s="80">
        <v>0.0</v>
      </c>
      <c r="AQ54" s="80">
        <v>0.0</v>
      </c>
      <c r="AR54" s="80">
        <v>0.0</v>
      </c>
      <c r="AS54" s="80">
        <v>0.0</v>
      </c>
      <c r="AT54" s="224">
        <v>0.0</v>
      </c>
      <c r="AU54" s="80">
        <v>0.0</v>
      </c>
      <c r="AV54" s="80">
        <v>0.0</v>
      </c>
      <c r="AW54" s="182">
        <f t="shared" si="3"/>
        <v>0</v>
      </c>
      <c r="AX54" s="182">
        <f t="shared" si="4"/>
        <v>0</v>
      </c>
    </row>
    <row r="55">
      <c r="A55" s="49">
        <v>54.0</v>
      </c>
      <c r="B55" s="46" t="s">
        <v>252</v>
      </c>
      <c r="C55" s="45" t="s">
        <v>253</v>
      </c>
      <c r="D55" s="49" t="s">
        <v>881</v>
      </c>
      <c r="E55" s="18" t="s">
        <v>882</v>
      </c>
      <c r="F55" s="593">
        <v>40319.0</v>
      </c>
      <c r="G55" s="623" t="s">
        <v>547</v>
      </c>
      <c r="H55" s="45" t="s">
        <v>67</v>
      </c>
      <c r="I55" s="45" t="s">
        <v>7</v>
      </c>
      <c r="J55" s="235" t="s">
        <v>354</v>
      </c>
      <c r="K55" s="614" t="s">
        <v>770</v>
      </c>
      <c r="L55" s="614">
        <v>0.0</v>
      </c>
      <c r="M55" s="235" t="s">
        <v>354</v>
      </c>
      <c r="N55" s="235" t="s">
        <v>354</v>
      </c>
      <c r="O55" s="235" t="s">
        <v>354</v>
      </c>
      <c r="P55" s="235" t="s">
        <v>354</v>
      </c>
      <c r="Q55" s="235" t="s">
        <v>354</v>
      </c>
      <c r="R55" s="72" t="s">
        <v>884</v>
      </c>
      <c r="S55" s="151">
        <v>32.83</v>
      </c>
      <c r="T55" s="551">
        <v>0.0</v>
      </c>
      <c r="U55" s="551" t="s">
        <v>354</v>
      </c>
      <c r="V55" s="551" t="s">
        <v>354</v>
      </c>
      <c r="W55" s="551" t="s">
        <v>354</v>
      </c>
      <c r="X55" s="551">
        <v>0.0</v>
      </c>
      <c r="Y55" s="551">
        <v>0.0</v>
      </c>
      <c r="Z55" s="551" t="s">
        <v>354</v>
      </c>
      <c r="AA55" s="551" t="s">
        <v>354</v>
      </c>
      <c r="AB55" s="63" t="s">
        <v>356</v>
      </c>
      <c r="AC55" s="63" t="s">
        <v>354</v>
      </c>
      <c r="AD55" s="615" t="s">
        <v>356</v>
      </c>
      <c r="AE55" s="616" t="s">
        <v>354</v>
      </c>
      <c r="AF55" s="558" t="s">
        <v>356</v>
      </c>
      <c r="AG55" s="558" t="s">
        <v>354</v>
      </c>
      <c r="AH55" s="33" t="s">
        <v>356</v>
      </c>
      <c r="AI55" s="33" t="s">
        <v>354</v>
      </c>
      <c r="AJ55" s="46">
        <f t="shared" si="1"/>
        <v>1</v>
      </c>
      <c r="AK55" s="235">
        <v>0.0</v>
      </c>
      <c r="AL55" s="265"/>
      <c r="AM55" s="265"/>
      <c r="AN55" s="265"/>
      <c r="AO55" s="80">
        <v>0.0</v>
      </c>
      <c r="AP55" s="80">
        <v>0.0</v>
      </c>
      <c r="AQ55" s="80">
        <v>0.0</v>
      </c>
      <c r="AR55" s="80">
        <v>0.0</v>
      </c>
      <c r="AS55" s="80">
        <v>0.0</v>
      </c>
      <c r="AT55" s="224">
        <v>0.0</v>
      </c>
      <c r="AU55" s="80">
        <v>0.0</v>
      </c>
      <c r="AV55" s="80">
        <v>0.0</v>
      </c>
      <c r="AW55" s="182">
        <f t="shared" si="3"/>
        <v>0</v>
      </c>
      <c r="AX55" s="182">
        <f t="shared" si="4"/>
        <v>0</v>
      </c>
    </row>
    <row r="56">
      <c r="A56" s="49">
        <v>55.0</v>
      </c>
      <c r="B56" s="46" t="s">
        <v>256</v>
      </c>
      <c r="C56" s="45" t="s">
        <v>260</v>
      </c>
      <c r="D56" s="49" t="s">
        <v>888</v>
      </c>
      <c r="E56" s="18" t="s">
        <v>889</v>
      </c>
      <c r="F56" s="593">
        <v>40319.0</v>
      </c>
      <c r="G56" s="623" t="s">
        <v>547</v>
      </c>
      <c r="H56" s="45" t="s">
        <v>67</v>
      </c>
      <c r="I56" s="85" t="s">
        <v>37</v>
      </c>
      <c r="J56" s="235" t="s">
        <v>354</v>
      </c>
      <c r="K56" s="614" t="s">
        <v>770</v>
      </c>
      <c r="L56" s="614">
        <v>0.0</v>
      </c>
      <c r="M56" s="235" t="s">
        <v>354</v>
      </c>
      <c r="N56" s="72">
        <v>190.0</v>
      </c>
      <c r="O56" s="235" t="s">
        <v>354</v>
      </c>
      <c r="P56" s="235" t="s">
        <v>354</v>
      </c>
      <c r="Q56" s="235" t="s">
        <v>354</v>
      </c>
      <c r="R56" s="72" t="s">
        <v>892</v>
      </c>
      <c r="S56" s="151">
        <v>30.04</v>
      </c>
      <c r="T56" s="551">
        <v>0.0</v>
      </c>
      <c r="U56" s="551" t="s">
        <v>354</v>
      </c>
      <c r="V56" s="551" t="s">
        <v>354</v>
      </c>
      <c r="W56" s="551" t="s">
        <v>354</v>
      </c>
      <c r="X56" s="551">
        <v>0.0</v>
      </c>
      <c r="Y56" s="551">
        <v>0.0</v>
      </c>
      <c r="Z56" s="551" t="s">
        <v>354</v>
      </c>
      <c r="AA56" s="551" t="s">
        <v>354</v>
      </c>
      <c r="AB56" s="56" t="s">
        <v>365</v>
      </c>
      <c r="AC56" s="65" t="s">
        <v>387</v>
      </c>
      <c r="AD56" s="548" t="s">
        <v>365</v>
      </c>
      <c r="AE56" s="102" t="s">
        <v>1646</v>
      </c>
      <c r="AF56" s="549" t="s">
        <v>365</v>
      </c>
      <c r="AG56" s="102" t="s">
        <v>357</v>
      </c>
      <c r="AH56" s="36" t="s">
        <v>365</v>
      </c>
      <c r="AI56" s="102" t="s">
        <v>357</v>
      </c>
      <c r="AJ56" s="357">
        <f t="shared" si="1"/>
        <v>4</v>
      </c>
      <c r="AK56" s="182">
        <f t="shared" ref="AK56:AK75" si="7">if(AJ56&gt;0,1,0)</f>
        <v>1</v>
      </c>
      <c r="AL56" s="265"/>
      <c r="AM56" s="265"/>
      <c r="AN56" s="265"/>
      <c r="AO56" s="80">
        <v>0.0</v>
      </c>
      <c r="AP56" s="80">
        <v>0.0</v>
      </c>
      <c r="AQ56" s="80">
        <v>0.0</v>
      </c>
      <c r="AR56" s="80">
        <v>0.0</v>
      </c>
      <c r="AS56" s="80">
        <v>0.0</v>
      </c>
      <c r="AT56" s="224">
        <v>3.0</v>
      </c>
      <c r="AU56" s="80">
        <v>0.0</v>
      </c>
      <c r="AV56" s="80">
        <v>0.0</v>
      </c>
      <c r="AW56" s="358">
        <f t="shared" si="3"/>
        <v>3</v>
      </c>
      <c r="AX56" s="358">
        <f t="shared" si="4"/>
        <v>1</v>
      </c>
    </row>
    <row r="57">
      <c r="A57" s="49">
        <v>56.0</v>
      </c>
      <c r="B57" s="46" t="s">
        <v>261</v>
      </c>
      <c r="C57" s="45" t="s">
        <v>262</v>
      </c>
      <c r="D57" s="49" t="s">
        <v>899</v>
      </c>
      <c r="E57" s="18" t="s">
        <v>900</v>
      </c>
      <c r="F57" s="593">
        <v>40319.0</v>
      </c>
      <c r="G57" s="623" t="s">
        <v>547</v>
      </c>
      <c r="H57" s="45" t="s">
        <v>67</v>
      </c>
      <c r="I57" s="45" t="s">
        <v>7</v>
      </c>
      <c r="J57" s="235" t="s">
        <v>354</v>
      </c>
      <c r="K57" s="614" t="s">
        <v>770</v>
      </c>
      <c r="L57" s="614">
        <v>1.0</v>
      </c>
      <c r="M57" s="235" t="s">
        <v>354</v>
      </c>
      <c r="N57" s="72">
        <v>185.0</v>
      </c>
      <c r="O57" s="235" t="s">
        <v>354</v>
      </c>
      <c r="P57" s="235" t="s">
        <v>354</v>
      </c>
      <c r="Q57" s="235" t="s">
        <v>354</v>
      </c>
      <c r="R57" s="72" t="s">
        <v>902</v>
      </c>
      <c r="S57" s="551">
        <v>0.0</v>
      </c>
      <c r="T57" s="551">
        <v>0.0</v>
      </c>
      <c r="U57" s="551" t="s">
        <v>354</v>
      </c>
      <c r="V57" s="551" t="s">
        <v>354</v>
      </c>
      <c r="W57" s="551" t="s">
        <v>354</v>
      </c>
      <c r="X57" s="551">
        <v>0.0</v>
      </c>
      <c r="Y57" s="551">
        <v>0.0</v>
      </c>
      <c r="Z57" s="551" t="s">
        <v>354</v>
      </c>
      <c r="AA57" s="551" t="s">
        <v>354</v>
      </c>
      <c r="AB57" s="63" t="s">
        <v>356</v>
      </c>
      <c r="AC57" s="63" t="s">
        <v>354</v>
      </c>
      <c r="AD57" s="615" t="s">
        <v>356</v>
      </c>
      <c r="AE57" s="616" t="s">
        <v>354</v>
      </c>
      <c r="AF57" s="558" t="s">
        <v>356</v>
      </c>
      <c r="AG57" s="558" t="s">
        <v>354</v>
      </c>
      <c r="AH57" s="33" t="s">
        <v>356</v>
      </c>
      <c r="AI57" s="33" t="s">
        <v>354</v>
      </c>
      <c r="AJ57" s="46">
        <f t="shared" si="1"/>
        <v>0</v>
      </c>
      <c r="AK57" s="182">
        <f t="shared" si="7"/>
        <v>0</v>
      </c>
      <c r="AL57" s="265"/>
      <c r="AM57" s="265"/>
      <c r="AN57" s="265"/>
      <c r="AO57" s="80">
        <v>0.0</v>
      </c>
      <c r="AP57" s="80">
        <v>0.0</v>
      </c>
      <c r="AQ57" s="80">
        <v>0.0</v>
      </c>
      <c r="AR57" s="80">
        <v>0.0</v>
      </c>
      <c r="AS57" s="80">
        <v>0.0</v>
      </c>
      <c r="AT57" s="224">
        <v>0.0</v>
      </c>
      <c r="AU57" s="80">
        <v>0.0</v>
      </c>
      <c r="AV57" s="80">
        <v>0.0</v>
      </c>
      <c r="AW57" s="182">
        <f t="shared" si="3"/>
        <v>0</v>
      </c>
      <c r="AX57" s="182">
        <f t="shared" si="4"/>
        <v>0</v>
      </c>
    </row>
    <row r="58">
      <c r="A58" s="49">
        <v>57.0</v>
      </c>
      <c r="B58" s="46" t="s">
        <v>264</v>
      </c>
      <c r="C58" s="45" t="s">
        <v>265</v>
      </c>
      <c r="D58" s="49" t="s">
        <v>906</v>
      </c>
      <c r="E58" s="18" t="s">
        <v>907</v>
      </c>
      <c r="F58" s="593">
        <v>40319.0</v>
      </c>
      <c r="G58" s="623" t="s">
        <v>547</v>
      </c>
      <c r="H58" s="45" t="s">
        <v>67</v>
      </c>
      <c r="I58" s="45" t="s">
        <v>7</v>
      </c>
      <c r="J58" s="235" t="s">
        <v>354</v>
      </c>
      <c r="K58" s="614" t="s">
        <v>770</v>
      </c>
      <c r="L58" s="614">
        <v>1.0</v>
      </c>
      <c r="M58" s="235" t="s">
        <v>354</v>
      </c>
      <c r="N58" s="72">
        <v>210.0</v>
      </c>
      <c r="O58" s="235" t="s">
        <v>354</v>
      </c>
      <c r="P58" s="235" t="s">
        <v>354</v>
      </c>
      <c r="Q58" s="235" t="s">
        <v>354</v>
      </c>
      <c r="R58" s="72" t="s">
        <v>909</v>
      </c>
      <c r="S58" s="551">
        <v>0.0</v>
      </c>
      <c r="T58" s="551">
        <v>0.0</v>
      </c>
      <c r="U58" s="551" t="s">
        <v>354</v>
      </c>
      <c r="V58" s="551" t="s">
        <v>354</v>
      </c>
      <c r="W58" s="551" t="s">
        <v>354</v>
      </c>
      <c r="X58" s="551">
        <v>0.0</v>
      </c>
      <c r="Y58" s="551">
        <v>0.0</v>
      </c>
      <c r="Z58" s="551" t="s">
        <v>354</v>
      </c>
      <c r="AA58" s="551" t="s">
        <v>354</v>
      </c>
      <c r="AB58" s="63" t="s">
        <v>356</v>
      </c>
      <c r="AC58" s="63" t="s">
        <v>354</v>
      </c>
      <c r="AD58" s="615" t="s">
        <v>356</v>
      </c>
      <c r="AE58" s="616" t="s">
        <v>354</v>
      </c>
      <c r="AF58" s="558" t="s">
        <v>356</v>
      </c>
      <c r="AG58" s="558" t="s">
        <v>354</v>
      </c>
      <c r="AH58" s="33" t="s">
        <v>356</v>
      </c>
      <c r="AI58" s="33" t="s">
        <v>354</v>
      </c>
      <c r="AJ58" s="46">
        <f t="shared" si="1"/>
        <v>0</v>
      </c>
      <c r="AK58" s="182">
        <f t="shared" si="7"/>
        <v>0</v>
      </c>
      <c r="AL58" s="265"/>
      <c r="AM58" s="265"/>
      <c r="AN58" s="265"/>
      <c r="AO58" s="80">
        <v>0.0</v>
      </c>
      <c r="AP58" s="80">
        <v>0.0</v>
      </c>
      <c r="AQ58" s="80">
        <v>0.0</v>
      </c>
      <c r="AR58" s="80">
        <v>0.0</v>
      </c>
      <c r="AS58" s="80">
        <v>0.0</v>
      </c>
      <c r="AT58" s="224">
        <v>0.0</v>
      </c>
      <c r="AU58" s="80">
        <v>0.0</v>
      </c>
      <c r="AV58" s="80">
        <v>0.0</v>
      </c>
      <c r="AW58" s="182">
        <f t="shared" si="3"/>
        <v>0</v>
      </c>
      <c r="AX58" s="182">
        <f t="shared" si="4"/>
        <v>0</v>
      </c>
    </row>
    <row r="59">
      <c r="A59" s="49">
        <v>58.0</v>
      </c>
      <c r="B59" s="46" t="s">
        <v>267</v>
      </c>
      <c r="C59" s="45" t="s">
        <v>268</v>
      </c>
      <c r="D59" s="46" t="s">
        <v>268</v>
      </c>
      <c r="E59" s="18" t="s">
        <v>1626</v>
      </c>
      <c r="F59" s="593">
        <v>40319.0</v>
      </c>
      <c r="G59" s="623" t="s">
        <v>547</v>
      </c>
      <c r="H59" s="45" t="s">
        <v>67</v>
      </c>
      <c r="I59" s="45" t="s">
        <v>7</v>
      </c>
      <c r="J59" s="235" t="s">
        <v>354</v>
      </c>
      <c r="K59" s="614" t="s">
        <v>770</v>
      </c>
      <c r="L59" s="614">
        <v>1.0</v>
      </c>
      <c r="M59" s="235" t="s">
        <v>354</v>
      </c>
      <c r="N59" s="72">
        <v>225.0</v>
      </c>
      <c r="O59" s="235" t="s">
        <v>354</v>
      </c>
      <c r="P59" s="235" t="s">
        <v>354</v>
      </c>
      <c r="Q59" s="235" t="s">
        <v>354</v>
      </c>
      <c r="R59" s="72" t="s">
        <v>909</v>
      </c>
      <c r="S59" s="151">
        <v>33.17</v>
      </c>
      <c r="T59" s="551">
        <v>0.0</v>
      </c>
      <c r="U59" s="551" t="s">
        <v>354</v>
      </c>
      <c r="V59" s="551" t="s">
        <v>354</v>
      </c>
      <c r="W59" s="551" t="s">
        <v>354</v>
      </c>
      <c r="X59" s="551">
        <v>0.0</v>
      </c>
      <c r="Y59" s="551">
        <v>0.0</v>
      </c>
      <c r="Z59" s="551" t="s">
        <v>354</v>
      </c>
      <c r="AA59" s="551" t="s">
        <v>354</v>
      </c>
      <c r="AB59" s="56" t="s">
        <v>365</v>
      </c>
      <c r="AC59" s="26" t="s">
        <v>357</v>
      </c>
      <c r="AD59" s="548" t="s">
        <v>365</v>
      </c>
      <c r="AE59" s="102" t="s">
        <v>1646</v>
      </c>
      <c r="AF59" s="549" t="s">
        <v>365</v>
      </c>
      <c r="AG59" s="102" t="s">
        <v>357</v>
      </c>
      <c r="AH59" s="36" t="s">
        <v>365</v>
      </c>
      <c r="AI59" s="102" t="s">
        <v>357</v>
      </c>
      <c r="AJ59" s="357">
        <f t="shared" si="1"/>
        <v>4</v>
      </c>
      <c r="AK59" s="182">
        <f t="shared" si="7"/>
        <v>1</v>
      </c>
      <c r="AL59" s="265"/>
      <c r="AM59" s="265"/>
      <c r="AN59" s="265"/>
      <c r="AO59" s="80">
        <v>0.0</v>
      </c>
      <c r="AP59" s="80">
        <v>0.0</v>
      </c>
      <c r="AQ59" s="80">
        <v>0.0</v>
      </c>
      <c r="AR59" s="80">
        <v>0.0</v>
      </c>
      <c r="AS59" s="80">
        <v>0.0</v>
      </c>
      <c r="AT59" s="224">
        <v>3.0</v>
      </c>
      <c r="AU59" s="80">
        <v>0.0</v>
      </c>
      <c r="AV59" s="80">
        <v>0.0</v>
      </c>
      <c r="AW59" s="358">
        <f t="shared" si="3"/>
        <v>3</v>
      </c>
      <c r="AX59" s="358">
        <f t="shared" si="4"/>
        <v>1</v>
      </c>
    </row>
    <row r="60">
      <c r="A60" s="49">
        <v>59.0</v>
      </c>
      <c r="B60" s="46" t="s">
        <v>270</v>
      </c>
      <c r="C60" s="46" t="s">
        <v>274</v>
      </c>
      <c r="D60" s="46" t="s">
        <v>271</v>
      </c>
      <c r="E60" s="18" t="s">
        <v>924</v>
      </c>
      <c r="F60" s="593">
        <v>40319.0</v>
      </c>
      <c r="G60" s="57" t="s">
        <v>547</v>
      </c>
      <c r="H60" s="46" t="s">
        <v>67</v>
      </c>
      <c r="I60" s="46" t="s">
        <v>37</v>
      </c>
      <c r="J60" s="235" t="s">
        <v>354</v>
      </c>
      <c r="K60" s="235" t="s">
        <v>770</v>
      </c>
      <c r="L60" s="235" t="s">
        <v>354</v>
      </c>
      <c r="M60" s="235" t="s">
        <v>354</v>
      </c>
      <c r="N60" s="72">
        <v>165.0</v>
      </c>
      <c r="O60" s="235" t="s">
        <v>354</v>
      </c>
      <c r="P60" s="235" t="s">
        <v>354</v>
      </c>
      <c r="Q60" s="235" t="s">
        <v>354</v>
      </c>
      <c r="R60" s="72" t="s">
        <v>926</v>
      </c>
      <c r="S60" s="151">
        <v>30.35</v>
      </c>
      <c r="T60" s="551">
        <v>0.0</v>
      </c>
      <c r="U60" s="551" t="s">
        <v>354</v>
      </c>
      <c r="V60" s="551" t="s">
        <v>354</v>
      </c>
      <c r="W60" s="551" t="s">
        <v>354</v>
      </c>
      <c r="X60" s="551">
        <v>0.0</v>
      </c>
      <c r="Y60" s="551">
        <v>0.0</v>
      </c>
      <c r="Z60" s="551" t="s">
        <v>354</v>
      </c>
      <c r="AA60" s="551" t="s">
        <v>354</v>
      </c>
      <c r="AB60" s="56" t="s">
        <v>365</v>
      </c>
      <c r="AC60" s="26" t="s">
        <v>357</v>
      </c>
      <c r="AD60" s="548" t="s">
        <v>365</v>
      </c>
      <c r="AE60" s="102" t="s">
        <v>1646</v>
      </c>
      <c r="AF60" s="549" t="s">
        <v>365</v>
      </c>
      <c r="AG60" s="102" t="s">
        <v>357</v>
      </c>
      <c r="AH60" s="36" t="s">
        <v>365</v>
      </c>
      <c r="AI60" s="102" t="s">
        <v>357</v>
      </c>
      <c r="AJ60" s="357">
        <f t="shared" si="1"/>
        <v>4</v>
      </c>
      <c r="AK60" s="182">
        <f t="shared" si="7"/>
        <v>1</v>
      </c>
      <c r="AL60" s="265"/>
      <c r="AM60" s="265"/>
      <c r="AN60" s="265"/>
      <c r="AO60" s="80">
        <v>0.0</v>
      </c>
      <c r="AP60" s="80">
        <v>0.0</v>
      </c>
      <c r="AQ60" s="80">
        <v>0.0</v>
      </c>
      <c r="AR60" s="80">
        <v>0.0</v>
      </c>
      <c r="AS60" s="80">
        <v>0.0</v>
      </c>
      <c r="AT60" s="224">
        <v>3.0</v>
      </c>
      <c r="AU60" s="80">
        <v>0.0</v>
      </c>
      <c r="AV60" s="80">
        <v>0.0</v>
      </c>
      <c r="AW60" s="358">
        <f t="shared" si="3"/>
        <v>3</v>
      </c>
      <c r="AX60" s="358">
        <f t="shared" si="4"/>
        <v>1</v>
      </c>
    </row>
    <row r="61">
      <c r="A61" s="49">
        <v>60.0</v>
      </c>
      <c r="B61" s="46" t="s">
        <v>275</v>
      </c>
      <c r="C61" s="45" t="s">
        <v>278</v>
      </c>
      <c r="D61" s="46" t="s">
        <v>276</v>
      </c>
      <c r="E61" s="98" t="s">
        <v>932</v>
      </c>
      <c r="F61" s="593">
        <v>40319.0</v>
      </c>
      <c r="G61" s="623" t="s">
        <v>547</v>
      </c>
      <c r="H61" s="45" t="s">
        <v>67</v>
      </c>
      <c r="I61" s="85" t="s">
        <v>37</v>
      </c>
      <c r="J61" s="235" t="s">
        <v>354</v>
      </c>
      <c r="K61" s="614" t="s">
        <v>770</v>
      </c>
      <c r="L61" s="614">
        <v>1.0</v>
      </c>
      <c r="M61" s="235" t="s">
        <v>354</v>
      </c>
      <c r="N61" s="72">
        <v>185.0</v>
      </c>
      <c r="O61" s="235" t="s">
        <v>354</v>
      </c>
      <c r="P61" s="235" t="s">
        <v>354</v>
      </c>
      <c r="Q61" s="235" t="s">
        <v>354</v>
      </c>
      <c r="R61" s="235" t="s">
        <v>354</v>
      </c>
      <c r="S61" s="551">
        <v>0.0</v>
      </c>
      <c r="T61" s="551">
        <v>0.0</v>
      </c>
      <c r="U61" s="551" t="s">
        <v>354</v>
      </c>
      <c r="V61" s="551" t="s">
        <v>354</v>
      </c>
      <c r="W61" s="551" t="s">
        <v>354</v>
      </c>
      <c r="X61" s="551">
        <v>0.0</v>
      </c>
      <c r="Y61" s="551">
        <v>0.0</v>
      </c>
      <c r="Z61" s="551" t="s">
        <v>354</v>
      </c>
      <c r="AA61" s="551" t="s">
        <v>354</v>
      </c>
      <c r="AB61" s="56" t="s">
        <v>365</v>
      </c>
      <c r="AC61" s="58" t="s">
        <v>380</v>
      </c>
      <c r="AD61" s="615" t="s">
        <v>356</v>
      </c>
      <c r="AE61" s="615" t="s">
        <v>354</v>
      </c>
      <c r="AF61" s="599" t="s">
        <v>365</v>
      </c>
      <c r="AG61" s="391" t="s">
        <v>380</v>
      </c>
      <c r="AH61" s="33" t="s">
        <v>356</v>
      </c>
      <c r="AI61" s="33" t="s">
        <v>354</v>
      </c>
      <c r="AJ61" s="357">
        <f t="shared" si="1"/>
        <v>1</v>
      </c>
      <c r="AK61" s="182">
        <f t="shared" si="7"/>
        <v>1</v>
      </c>
      <c r="AL61" s="265"/>
      <c r="AM61" s="265"/>
      <c r="AN61" s="265"/>
      <c r="AO61" s="80">
        <v>0.0</v>
      </c>
      <c r="AP61" s="80">
        <v>0.0</v>
      </c>
      <c r="AQ61" s="80">
        <v>0.0</v>
      </c>
      <c r="AR61" s="80">
        <v>0.0</v>
      </c>
      <c r="AS61" s="80">
        <v>0.0</v>
      </c>
      <c r="AT61" s="224">
        <v>0.0</v>
      </c>
      <c r="AU61" s="224">
        <v>1.0</v>
      </c>
      <c r="AV61" s="80">
        <v>0.0</v>
      </c>
      <c r="AW61" s="363">
        <f t="shared" si="3"/>
        <v>1</v>
      </c>
      <c r="AX61" s="363">
        <f t="shared" si="4"/>
        <v>1</v>
      </c>
    </row>
    <row r="62">
      <c r="A62" s="49">
        <v>61.0</v>
      </c>
      <c r="B62" s="46" t="s">
        <v>281</v>
      </c>
      <c r="C62" s="45" t="s">
        <v>282</v>
      </c>
      <c r="D62" s="46" t="s">
        <v>282</v>
      </c>
      <c r="E62" s="98" t="s">
        <v>937</v>
      </c>
      <c r="F62" s="593">
        <v>40319.0</v>
      </c>
      <c r="G62" s="623" t="s">
        <v>547</v>
      </c>
      <c r="H62" s="45" t="s">
        <v>67</v>
      </c>
      <c r="I62" s="45" t="s">
        <v>7</v>
      </c>
      <c r="J62" s="235" t="s">
        <v>354</v>
      </c>
      <c r="K62" s="614" t="s">
        <v>770</v>
      </c>
      <c r="L62" s="614">
        <v>1.0</v>
      </c>
      <c r="M62" s="235" t="s">
        <v>354</v>
      </c>
      <c r="N62" s="72">
        <v>210.0</v>
      </c>
      <c r="O62" s="235" t="s">
        <v>354</v>
      </c>
      <c r="P62" s="235" t="s">
        <v>354</v>
      </c>
      <c r="Q62" s="235" t="s">
        <v>354</v>
      </c>
      <c r="R62" s="72" t="s">
        <v>909</v>
      </c>
      <c r="S62" s="551">
        <v>0.0</v>
      </c>
      <c r="T62" s="551">
        <v>0.0</v>
      </c>
      <c r="U62" s="551" t="s">
        <v>354</v>
      </c>
      <c r="V62" s="551" t="s">
        <v>354</v>
      </c>
      <c r="W62" s="551" t="s">
        <v>354</v>
      </c>
      <c r="X62" s="551">
        <v>0.0</v>
      </c>
      <c r="Y62" s="551">
        <v>0.0</v>
      </c>
      <c r="Z62" s="551" t="s">
        <v>354</v>
      </c>
      <c r="AA62" s="551" t="s">
        <v>354</v>
      </c>
      <c r="AB62" s="63" t="s">
        <v>356</v>
      </c>
      <c r="AC62" s="63" t="s">
        <v>354</v>
      </c>
      <c r="AD62" s="615" t="s">
        <v>356</v>
      </c>
      <c r="AE62" s="616" t="s">
        <v>354</v>
      </c>
      <c r="AF62" s="558" t="s">
        <v>356</v>
      </c>
      <c r="AG62" s="558" t="s">
        <v>354</v>
      </c>
      <c r="AH62" s="33" t="s">
        <v>356</v>
      </c>
      <c r="AI62" s="33" t="s">
        <v>354</v>
      </c>
      <c r="AJ62" s="46">
        <f t="shared" si="1"/>
        <v>0</v>
      </c>
      <c r="AK62" s="182">
        <f t="shared" si="7"/>
        <v>0</v>
      </c>
      <c r="AL62" s="265"/>
      <c r="AM62" s="265"/>
      <c r="AN62" s="265"/>
      <c r="AO62" s="80">
        <v>0.0</v>
      </c>
      <c r="AP62" s="80">
        <v>0.0</v>
      </c>
      <c r="AQ62" s="80">
        <v>0.0</v>
      </c>
      <c r="AR62" s="80">
        <v>0.0</v>
      </c>
      <c r="AS62" s="80">
        <v>0.0</v>
      </c>
      <c r="AT62" s="224">
        <v>0.0</v>
      </c>
      <c r="AU62" s="80">
        <v>0.0</v>
      </c>
      <c r="AV62" s="80">
        <v>0.0</v>
      </c>
      <c r="AW62" s="182">
        <f t="shared" si="3"/>
        <v>0</v>
      </c>
      <c r="AX62" s="182">
        <f t="shared" si="4"/>
        <v>0</v>
      </c>
    </row>
    <row r="63">
      <c r="A63" s="49">
        <v>62.0</v>
      </c>
      <c r="B63" s="46" t="s">
        <v>284</v>
      </c>
      <c r="C63" s="45" t="s">
        <v>287</v>
      </c>
      <c r="D63" s="49" t="s">
        <v>939</v>
      </c>
      <c r="E63" s="18" t="s">
        <v>940</v>
      </c>
      <c r="F63" s="593">
        <v>40319.0</v>
      </c>
      <c r="G63" s="623" t="s">
        <v>547</v>
      </c>
      <c r="H63" s="45" t="s">
        <v>67</v>
      </c>
      <c r="I63" s="45" t="s">
        <v>7</v>
      </c>
      <c r="J63" s="235" t="s">
        <v>354</v>
      </c>
      <c r="K63" s="614" t="s">
        <v>770</v>
      </c>
      <c r="L63" s="614">
        <v>1.0</v>
      </c>
      <c r="M63" s="235" t="s">
        <v>354</v>
      </c>
      <c r="N63" s="72">
        <v>185.0</v>
      </c>
      <c r="O63" s="235" t="s">
        <v>354</v>
      </c>
      <c r="P63" s="235" t="s">
        <v>354</v>
      </c>
      <c r="Q63" s="235" t="s">
        <v>354</v>
      </c>
      <c r="R63" s="72" t="s">
        <v>941</v>
      </c>
      <c r="S63" s="551">
        <v>0.0</v>
      </c>
      <c r="T63" s="551">
        <v>0.0</v>
      </c>
      <c r="U63" s="551" t="s">
        <v>354</v>
      </c>
      <c r="V63" s="551" t="s">
        <v>354</v>
      </c>
      <c r="W63" s="551" t="s">
        <v>354</v>
      </c>
      <c r="X63" s="551">
        <v>0.0</v>
      </c>
      <c r="Y63" s="551">
        <v>0.0</v>
      </c>
      <c r="Z63" s="551" t="s">
        <v>354</v>
      </c>
      <c r="AA63" s="551" t="s">
        <v>354</v>
      </c>
      <c r="AB63" s="63" t="s">
        <v>356</v>
      </c>
      <c r="AC63" s="63" t="s">
        <v>354</v>
      </c>
      <c r="AD63" s="615" t="s">
        <v>356</v>
      </c>
      <c r="AE63" s="616" t="s">
        <v>354</v>
      </c>
      <c r="AF63" s="558" t="s">
        <v>356</v>
      </c>
      <c r="AG63" s="558" t="s">
        <v>354</v>
      </c>
      <c r="AH63" s="33" t="s">
        <v>356</v>
      </c>
      <c r="AI63" s="33" t="s">
        <v>354</v>
      </c>
      <c r="AJ63" s="46">
        <f t="shared" si="1"/>
        <v>0</v>
      </c>
      <c r="AK63" s="182">
        <f t="shared" si="7"/>
        <v>0</v>
      </c>
      <c r="AL63" s="265"/>
      <c r="AM63" s="265"/>
      <c r="AN63" s="265"/>
      <c r="AO63" s="80">
        <v>0.0</v>
      </c>
      <c r="AP63" s="80">
        <v>0.0</v>
      </c>
      <c r="AQ63" s="80">
        <v>0.0</v>
      </c>
      <c r="AR63" s="80">
        <v>0.0</v>
      </c>
      <c r="AS63" s="80">
        <v>0.0</v>
      </c>
      <c r="AT63" s="224">
        <v>0.0</v>
      </c>
      <c r="AU63" s="80">
        <v>0.0</v>
      </c>
      <c r="AV63" s="80">
        <v>0.0</v>
      </c>
      <c r="AW63" s="182">
        <f t="shared" si="3"/>
        <v>0</v>
      </c>
      <c r="AX63" s="182">
        <f t="shared" si="4"/>
        <v>0</v>
      </c>
    </row>
    <row r="64">
      <c r="A64" s="49">
        <v>63.0</v>
      </c>
      <c r="B64" s="46" t="s">
        <v>289</v>
      </c>
      <c r="C64" s="46" t="s">
        <v>290</v>
      </c>
      <c r="D64" s="49" t="s">
        <v>816</v>
      </c>
      <c r="E64" s="18" t="s">
        <v>817</v>
      </c>
      <c r="F64" s="593">
        <v>40319.0</v>
      </c>
      <c r="G64" s="628">
        <v>43169.0</v>
      </c>
      <c r="H64" s="46" t="s">
        <v>67</v>
      </c>
      <c r="I64" s="49" t="s">
        <v>491</v>
      </c>
      <c r="J64" s="214" t="s">
        <v>231</v>
      </c>
      <c r="K64" s="235" t="s">
        <v>770</v>
      </c>
      <c r="L64" s="235" t="s">
        <v>354</v>
      </c>
      <c r="M64" s="235" t="s">
        <v>354</v>
      </c>
      <c r="N64" s="72">
        <v>50.0</v>
      </c>
      <c r="O64" s="235" t="s">
        <v>354</v>
      </c>
      <c r="P64" s="235" t="s">
        <v>354</v>
      </c>
      <c r="Q64" s="235" t="s">
        <v>354</v>
      </c>
      <c r="R64" s="235" t="s">
        <v>354</v>
      </c>
      <c r="S64" s="551">
        <v>0.0</v>
      </c>
      <c r="T64" s="551">
        <v>0.0</v>
      </c>
      <c r="U64" s="551" t="s">
        <v>354</v>
      </c>
      <c r="V64" s="551" t="s">
        <v>354</v>
      </c>
      <c r="W64" s="551" t="s">
        <v>354</v>
      </c>
      <c r="X64" s="551">
        <v>0.0</v>
      </c>
      <c r="Y64" s="551">
        <v>0.0</v>
      </c>
      <c r="Z64" s="551" t="s">
        <v>354</v>
      </c>
      <c r="AA64" s="551" t="s">
        <v>354</v>
      </c>
      <c r="AB64" s="63" t="s">
        <v>356</v>
      </c>
      <c r="AC64" s="63" t="s">
        <v>354</v>
      </c>
      <c r="AD64" s="615" t="s">
        <v>356</v>
      </c>
      <c r="AE64" s="616" t="s">
        <v>354</v>
      </c>
      <c r="AF64" s="558" t="s">
        <v>356</v>
      </c>
      <c r="AG64" s="558" t="s">
        <v>354</v>
      </c>
      <c r="AH64" s="33" t="s">
        <v>356</v>
      </c>
      <c r="AI64" s="33" t="s">
        <v>354</v>
      </c>
      <c r="AJ64" s="46">
        <f t="shared" si="1"/>
        <v>0</v>
      </c>
      <c r="AK64" s="182">
        <f t="shared" si="7"/>
        <v>0</v>
      </c>
      <c r="AL64" s="265"/>
      <c r="AM64" s="265"/>
      <c r="AN64" s="265"/>
      <c r="AO64" s="80">
        <v>0.0</v>
      </c>
      <c r="AP64" s="80">
        <v>0.0</v>
      </c>
      <c r="AQ64" s="80">
        <v>0.0</v>
      </c>
      <c r="AR64" s="80">
        <v>0.0</v>
      </c>
      <c r="AS64" s="80">
        <v>0.0</v>
      </c>
      <c r="AT64" s="224">
        <v>0.0</v>
      </c>
      <c r="AU64" s="80">
        <v>0.0</v>
      </c>
      <c r="AV64" s="80">
        <v>0.0</v>
      </c>
      <c r="AW64" s="182">
        <f t="shared" si="3"/>
        <v>0</v>
      </c>
      <c r="AX64" s="182">
        <f t="shared" si="4"/>
        <v>0</v>
      </c>
    </row>
    <row r="65">
      <c r="A65" s="49">
        <v>64.0</v>
      </c>
      <c r="B65" s="46" t="s">
        <v>294</v>
      </c>
      <c r="C65" s="46" t="s">
        <v>295</v>
      </c>
      <c r="D65" s="49" t="s">
        <v>488</v>
      </c>
      <c r="E65" s="18" t="s">
        <v>489</v>
      </c>
      <c r="F65" s="593">
        <v>40319.0</v>
      </c>
      <c r="G65" s="628">
        <v>43169.0</v>
      </c>
      <c r="H65" s="46" t="s">
        <v>67</v>
      </c>
      <c r="I65" s="57" t="s">
        <v>491</v>
      </c>
      <c r="J65" s="214" t="s">
        <v>84</v>
      </c>
      <c r="K65" s="235" t="s">
        <v>770</v>
      </c>
      <c r="L65" s="235" t="s">
        <v>354</v>
      </c>
      <c r="M65" s="72">
        <v>84.0</v>
      </c>
      <c r="N65" s="235" t="s">
        <v>354</v>
      </c>
      <c r="O65" s="235" t="s">
        <v>354</v>
      </c>
      <c r="P65" s="235" t="s">
        <v>354</v>
      </c>
      <c r="Q65" s="235" t="s">
        <v>354</v>
      </c>
      <c r="R65" s="72" t="s">
        <v>1659</v>
      </c>
      <c r="S65" s="551">
        <v>0.0</v>
      </c>
      <c r="T65" s="551">
        <v>0.0</v>
      </c>
      <c r="U65" s="551" t="s">
        <v>354</v>
      </c>
      <c r="V65" s="551" t="s">
        <v>354</v>
      </c>
      <c r="W65" s="551" t="s">
        <v>354</v>
      </c>
      <c r="X65" s="551">
        <v>0.0</v>
      </c>
      <c r="Y65" s="551">
        <v>0.0</v>
      </c>
      <c r="Z65" s="551" t="s">
        <v>354</v>
      </c>
      <c r="AA65" s="551" t="s">
        <v>354</v>
      </c>
      <c r="AB65" s="63" t="s">
        <v>356</v>
      </c>
      <c r="AC65" s="63" t="s">
        <v>354</v>
      </c>
      <c r="AD65" s="560" t="s">
        <v>361</v>
      </c>
      <c r="AE65" s="560" t="s">
        <v>361</v>
      </c>
      <c r="AF65" s="558" t="s">
        <v>356</v>
      </c>
      <c r="AG65" s="558" t="s">
        <v>354</v>
      </c>
      <c r="AH65" s="33" t="s">
        <v>356</v>
      </c>
      <c r="AI65" s="33" t="s">
        <v>354</v>
      </c>
      <c r="AJ65" s="46">
        <f t="shared" si="1"/>
        <v>0</v>
      </c>
      <c r="AK65" s="182">
        <f t="shared" si="7"/>
        <v>0</v>
      </c>
      <c r="AL65" s="265"/>
      <c r="AM65" s="265"/>
      <c r="AN65" s="265"/>
      <c r="AO65" s="80">
        <v>0.0</v>
      </c>
      <c r="AP65" s="80">
        <v>0.0</v>
      </c>
      <c r="AQ65" s="80">
        <v>0.0</v>
      </c>
      <c r="AR65" s="80">
        <v>0.0</v>
      </c>
      <c r="AS65" s="80">
        <v>0.0</v>
      </c>
      <c r="AT65" s="224">
        <v>0.0</v>
      </c>
      <c r="AU65" s="80">
        <v>0.0</v>
      </c>
      <c r="AV65" s="80">
        <v>0.0</v>
      </c>
      <c r="AW65" s="182">
        <f t="shared" si="3"/>
        <v>0</v>
      </c>
      <c r="AX65" s="182">
        <f t="shared" si="4"/>
        <v>0</v>
      </c>
    </row>
    <row r="66">
      <c r="A66" s="49">
        <v>65.0</v>
      </c>
      <c r="B66" s="46" t="s">
        <v>298</v>
      </c>
      <c r="C66" s="46" t="s">
        <v>299</v>
      </c>
      <c r="D66" s="49" t="s">
        <v>761</v>
      </c>
      <c r="E66" s="191" t="s">
        <v>762</v>
      </c>
      <c r="F66" s="593">
        <v>40319.0</v>
      </c>
      <c r="G66" s="628">
        <v>43169.0</v>
      </c>
      <c r="H66" s="46" t="s">
        <v>67</v>
      </c>
      <c r="I66" s="57" t="s">
        <v>491</v>
      </c>
      <c r="J66" s="214" t="s">
        <v>213</v>
      </c>
      <c r="K66" s="235" t="s">
        <v>770</v>
      </c>
      <c r="L66" s="235" t="s">
        <v>354</v>
      </c>
      <c r="M66" s="235" t="s">
        <v>354</v>
      </c>
      <c r="N66" s="235" t="s">
        <v>354</v>
      </c>
      <c r="O66" s="235" t="s">
        <v>354</v>
      </c>
      <c r="P66" s="235" t="s">
        <v>354</v>
      </c>
      <c r="Q66" s="235" t="s">
        <v>354</v>
      </c>
      <c r="R66" s="235" t="s">
        <v>354</v>
      </c>
      <c r="S66" s="551">
        <v>0.0</v>
      </c>
      <c r="T66" s="551">
        <v>0.0</v>
      </c>
      <c r="U66" s="551" t="s">
        <v>354</v>
      </c>
      <c r="V66" s="551" t="s">
        <v>354</v>
      </c>
      <c r="W66" s="551" t="s">
        <v>354</v>
      </c>
      <c r="X66" s="551">
        <v>0.0</v>
      </c>
      <c r="Y66" s="551">
        <v>0.0</v>
      </c>
      <c r="Z66" s="551" t="s">
        <v>354</v>
      </c>
      <c r="AA66" s="551" t="s">
        <v>354</v>
      </c>
      <c r="AB66" s="63" t="s">
        <v>356</v>
      </c>
      <c r="AC66" s="63" t="s">
        <v>354</v>
      </c>
      <c r="AD66" s="615" t="s">
        <v>356</v>
      </c>
      <c r="AE66" s="616" t="s">
        <v>354</v>
      </c>
      <c r="AF66" s="558" t="s">
        <v>356</v>
      </c>
      <c r="AG66" s="558" t="s">
        <v>354</v>
      </c>
      <c r="AH66" s="33" t="s">
        <v>356</v>
      </c>
      <c r="AI66" s="33" t="s">
        <v>354</v>
      </c>
      <c r="AJ66" s="46">
        <f t="shared" si="1"/>
        <v>0</v>
      </c>
      <c r="AK66" s="182">
        <f t="shared" si="7"/>
        <v>0</v>
      </c>
      <c r="AL66" s="265"/>
      <c r="AM66" s="265"/>
      <c r="AN66" s="265"/>
      <c r="AO66" s="80">
        <v>0.0</v>
      </c>
      <c r="AP66" s="80">
        <v>0.0</v>
      </c>
      <c r="AQ66" s="80">
        <v>0.0</v>
      </c>
      <c r="AR66" s="80">
        <v>0.0</v>
      </c>
      <c r="AS66" s="80">
        <v>0.0</v>
      </c>
      <c r="AT66" s="224">
        <v>0.0</v>
      </c>
      <c r="AU66" s="80">
        <v>0.0</v>
      </c>
      <c r="AV66" s="80">
        <v>0.0</v>
      </c>
      <c r="AW66" s="182">
        <f t="shared" si="3"/>
        <v>0</v>
      </c>
      <c r="AX66" s="182">
        <f t="shared" si="4"/>
        <v>0</v>
      </c>
    </row>
    <row r="67">
      <c r="A67" s="49">
        <v>66.0</v>
      </c>
      <c r="B67" s="46" t="s">
        <v>301</v>
      </c>
      <c r="C67" s="46" t="s">
        <v>302</v>
      </c>
      <c r="D67" s="49" t="s">
        <v>666</v>
      </c>
      <c r="E67" s="18" t="s">
        <v>667</v>
      </c>
      <c r="F67" s="593">
        <v>40319.0</v>
      </c>
      <c r="G67" s="628">
        <v>43169.0</v>
      </c>
      <c r="H67" s="46" t="s">
        <v>8</v>
      </c>
      <c r="I67" s="57" t="s">
        <v>491</v>
      </c>
      <c r="J67" s="214" t="s">
        <v>171</v>
      </c>
      <c r="K67" s="235" t="s">
        <v>354</v>
      </c>
      <c r="L67" s="235" t="s">
        <v>354</v>
      </c>
      <c r="M67" s="72">
        <v>86.0</v>
      </c>
      <c r="N67" s="235" t="s">
        <v>354</v>
      </c>
      <c r="O67" s="235" t="s">
        <v>354</v>
      </c>
      <c r="P67" s="235" t="s">
        <v>354</v>
      </c>
      <c r="Q67" s="235" t="s">
        <v>354</v>
      </c>
      <c r="R67" s="235" t="s">
        <v>354</v>
      </c>
      <c r="S67" s="551">
        <v>0.0</v>
      </c>
      <c r="T67" s="551">
        <v>0.0</v>
      </c>
      <c r="U67" s="551" t="s">
        <v>354</v>
      </c>
      <c r="V67" s="551" t="s">
        <v>354</v>
      </c>
      <c r="W67" s="551" t="s">
        <v>354</v>
      </c>
      <c r="X67" s="551">
        <v>0.0</v>
      </c>
      <c r="Y67" s="551">
        <v>0.0</v>
      </c>
      <c r="Z67" s="551" t="s">
        <v>354</v>
      </c>
      <c r="AA67" s="551" t="s">
        <v>354</v>
      </c>
      <c r="AB67" s="63" t="s">
        <v>356</v>
      </c>
      <c r="AC67" s="63" t="s">
        <v>354</v>
      </c>
      <c r="AD67" s="615" t="s">
        <v>356</v>
      </c>
      <c r="AE67" s="616" t="s">
        <v>354</v>
      </c>
      <c r="AF67" s="558" t="s">
        <v>356</v>
      </c>
      <c r="AG67" s="558" t="s">
        <v>354</v>
      </c>
      <c r="AH67" s="33" t="s">
        <v>356</v>
      </c>
      <c r="AI67" s="33" t="s">
        <v>354</v>
      </c>
      <c r="AJ67" s="46">
        <f t="shared" si="1"/>
        <v>0</v>
      </c>
      <c r="AK67" s="182">
        <f t="shared" si="7"/>
        <v>0</v>
      </c>
      <c r="AL67" s="265"/>
      <c r="AM67" s="265"/>
      <c r="AN67" s="265"/>
      <c r="AO67" s="80">
        <v>0.0</v>
      </c>
      <c r="AP67" s="80">
        <v>0.0</v>
      </c>
      <c r="AQ67" s="80">
        <v>0.0</v>
      </c>
      <c r="AR67" s="80">
        <v>0.0</v>
      </c>
      <c r="AS67" s="80">
        <v>0.0</v>
      </c>
      <c r="AT67" s="224">
        <v>0.0</v>
      </c>
      <c r="AU67" s="80">
        <v>0.0</v>
      </c>
      <c r="AV67" s="80">
        <v>0.0</v>
      </c>
      <c r="AW67" s="182">
        <f t="shared" si="3"/>
        <v>0</v>
      </c>
      <c r="AX67" s="182">
        <f t="shared" si="4"/>
        <v>0</v>
      </c>
    </row>
    <row r="68">
      <c r="A68" s="49">
        <v>67.0</v>
      </c>
      <c r="B68" s="46" t="s">
        <v>305</v>
      </c>
      <c r="C68" s="46" t="s">
        <v>306</v>
      </c>
      <c r="D68" s="49" t="s">
        <v>587</v>
      </c>
      <c r="E68" s="18" t="s">
        <v>588</v>
      </c>
      <c r="F68" s="593">
        <v>40319.0</v>
      </c>
      <c r="G68" s="628">
        <v>43169.0</v>
      </c>
      <c r="H68" s="46" t="s">
        <v>67</v>
      </c>
      <c r="I68" s="57" t="s">
        <v>491</v>
      </c>
      <c r="J68" s="214" t="s">
        <v>132</v>
      </c>
      <c r="K68" s="235" t="s">
        <v>770</v>
      </c>
      <c r="L68" s="235" t="s">
        <v>354</v>
      </c>
      <c r="M68" s="235" t="s">
        <v>354</v>
      </c>
      <c r="N68" s="235" t="s">
        <v>354</v>
      </c>
      <c r="O68" s="235" t="s">
        <v>354</v>
      </c>
      <c r="P68" s="235" t="s">
        <v>354</v>
      </c>
      <c r="Q68" s="235" t="s">
        <v>354</v>
      </c>
      <c r="R68" s="72" t="s">
        <v>589</v>
      </c>
      <c r="S68" s="551">
        <v>0.0</v>
      </c>
      <c r="T68" s="551">
        <v>0.0</v>
      </c>
      <c r="U68" s="551" t="s">
        <v>354</v>
      </c>
      <c r="V68" s="551" t="s">
        <v>354</v>
      </c>
      <c r="W68" s="551" t="s">
        <v>354</v>
      </c>
      <c r="X68" s="551">
        <v>0.0</v>
      </c>
      <c r="Y68" s="551">
        <v>0.0</v>
      </c>
      <c r="Z68" s="551" t="s">
        <v>354</v>
      </c>
      <c r="AA68" s="551" t="s">
        <v>354</v>
      </c>
      <c r="AB68" s="63" t="s">
        <v>356</v>
      </c>
      <c r="AC68" s="63" t="s">
        <v>354</v>
      </c>
      <c r="AD68" s="615" t="s">
        <v>356</v>
      </c>
      <c r="AE68" s="616" t="s">
        <v>354</v>
      </c>
      <c r="AF68" s="558" t="s">
        <v>356</v>
      </c>
      <c r="AG68" s="558" t="s">
        <v>354</v>
      </c>
      <c r="AH68" s="33" t="s">
        <v>356</v>
      </c>
      <c r="AI68" s="33" t="s">
        <v>354</v>
      </c>
      <c r="AJ68" s="46">
        <f t="shared" si="1"/>
        <v>0</v>
      </c>
      <c r="AK68" s="182">
        <f t="shared" si="7"/>
        <v>0</v>
      </c>
      <c r="AL68" s="265"/>
      <c r="AM68" s="265"/>
      <c r="AN68" s="265"/>
      <c r="AO68" s="80">
        <v>0.0</v>
      </c>
      <c r="AP68" s="80">
        <v>0.0</v>
      </c>
      <c r="AQ68" s="80">
        <v>0.0</v>
      </c>
      <c r="AR68" s="80">
        <v>0.0</v>
      </c>
      <c r="AS68" s="80">
        <v>0.0</v>
      </c>
      <c r="AT68" s="224">
        <v>0.0</v>
      </c>
      <c r="AU68" s="80">
        <v>0.0</v>
      </c>
      <c r="AV68" s="80">
        <v>0.0</v>
      </c>
      <c r="AW68" s="182">
        <f t="shared" si="3"/>
        <v>0</v>
      </c>
      <c r="AX68" s="182">
        <f t="shared" si="4"/>
        <v>0</v>
      </c>
    </row>
    <row r="69">
      <c r="A69" s="49">
        <v>68.0</v>
      </c>
      <c r="B69" s="46" t="s">
        <v>309</v>
      </c>
      <c r="C69" s="46" t="s">
        <v>310</v>
      </c>
      <c r="D69" s="46" t="s">
        <v>310</v>
      </c>
      <c r="E69" s="146" t="s">
        <v>532</v>
      </c>
      <c r="F69" s="593">
        <v>40319.0</v>
      </c>
      <c r="G69" s="628">
        <v>43169.0</v>
      </c>
      <c r="H69" s="46" t="s">
        <v>8</v>
      </c>
      <c r="I69" s="57" t="s">
        <v>491</v>
      </c>
      <c r="J69" s="214" t="s">
        <v>105</v>
      </c>
      <c r="K69" s="235" t="s">
        <v>354</v>
      </c>
      <c r="L69" s="235" t="s">
        <v>354</v>
      </c>
      <c r="M69" s="72">
        <v>81.0</v>
      </c>
      <c r="N69" s="72">
        <v>60.0</v>
      </c>
      <c r="O69" s="235" t="s">
        <v>354</v>
      </c>
      <c r="P69" s="235" t="s">
        <v>354</v>
      </c>
      <c r="Q69" s="235" t="s">
        <v>354</v>
      </c>
      <c r="R69" s="72" t="s">
        <v>533</v>
      </c>
      <c r="S69" s="551">
        <v>0.0</v>
      </c>
      <c r="T69" s="551">
        <v>0.0</v>
      </c>
      <c r="U69" s="551" t="s">
        <v>354</v>
      </c>
      <c r="V69" s="551" t="s">
        <v>354</v>
      </c>
      <c r="W69" s="551" t="s">
        <v>354</v>
      </c>
      <c r="X69" s="551">
        <v>0.0</v>
      </c>
      <c r="Y69" s="551">
        <v>0.0</v>
      </c>
      <c r="Z69" s="551" t="s">
        <v>354</v>
      </c>
      <c r="AA69" s="551" t="s">
        <v>354</v>
      </c>
      <c r="AB69" s="63" t="s">
        <v>356</v>
      </c>
      <c r="AC69" s="63" t="s">
        <v>354</v>
      </c>
      <c r="AD69" s="615" t="s">
        <v>356</v>
      </c>
      <c r="AE69" s="616" t="s">
        <v>354</v>
      </c>
      <c r="AF69" s="558" t="s">
        <v>356</v>
      </c>
      <c r="AG69" s="558" t="s">
        <v>354</v>
      </c>
      <c r="AH69" s="33" t="s">
        <v>356</v>
      </c>
      <c r="AI69" s="33" t="s">
        <v>354</v>
      </c>
      <c r="AJ69" s="46">
        <f t="shared" si="1"/>
        <v>0</v>
      </c>
      <c r="AK69" s="182">
        <f t="shared" si="7"/>
        <v>0</v>
      </c>
      <c r="AL69" s="265"/>
      <c r="AM69" s="265"/>
      <c r="AN69" s="265"/>
      <c r="AO69" s="80">
        <v>0.0</v>
      </c>
      <c r="AP69" s="80">
        <v>0.0</v>
      </c>
      <c r="AQ69" s="80">
        <v>0.0</v>
      </c>
      <c r="AR69" s="80">
        <v>0.0</v>
      </c>
      <c r="AS69" s="80">
        <v>0.0</v>
      </c>
      <c r="AT69" s="224">
        <v>0.0</v>
      </c>
      <c r="AU69" s="80">
        <v>0.0</v>
      </c>
      <c r="AV69" s="80">
        <v>0.0</v>
      </c>
      <c r="AW69" s="182">
        <f t="shared" si="3"/>
        <v>0</v>
      </c>
      <c r="AX69" s="182">
        <f t="shared" si="4"/>
        <v>0</v>
      </c>
    </row>
    <row r="70">
      <c r="A70" s="49">
        <v>69.0</v>
      </c>
      <c r="B70" s="46" t="s">
        <v>315</v>
      </c>
      <c r="C70" s="46" t="s">
        <v>316</v>
      </c>
      <c r="D70" s="49" t="s">
        <v>863</v>
      </c>
      <c r="E70" s="18" t="s">
        <v>864</v>
      </c>
      <c r="F70" s="593">
        <v>40319.0</v>
      </c>
      <c r="G70" s="628">
        <v>43169.0</v>
      </c>
      <c r="H70" s="46" t="s">
        <v>8</v>
      </c>
      <c r="I70" s="57" t="s">
        <v>491</v>
      </c>
      <c r="J70" s="214" t="s">
        <v>244</v>
      </c>
      <c r="K70" s="235" t="s">
        <v>354</v>
      </c>
      <c r="L70" s="235" t="s">
        <v>354</v>
      </c>
      <c r="M70" s="235" t="s">
        <v>354</v>
      </c>
      <c r="N70" s="235" t="s">
        <v>354</v>
      </c>
      <c r="O70" s="235" t="s">
        <v>354</v>
      </c>
      <c r="P70" s="235" t="s">
        <v>354</v>
      </c>
      <c r="Q70" s="235" t="s">
        <v>354</v>
      </c>
      <c r="R70" s="72" t="s">
        <v>865</v>
      </c>
      <c r="S70" s="551">
        <v>0.0</v>
      </c>
      <c r="T70" s="551">
        <v>0.0</v>
      </c>
      <c r="U70" s="551" t="s">
        <v>354</v>
      </c>
      <c r="V70" s="551" t="s">
        <v>354</v>
      </c>
      <c r="W70" s="551" t="s">
        <v>354</v>
      </c>
      <c r="X70" s="551">
        <v>0.0</v>
      </c>
      <c r="Y70" s="551">
        <v>0.0</v>
      </c>
      <c r="Z70" s="551" t="s">
        <v>354</v>
      </c>
      <c r="AA70" s="551" t="s">
        <v>354</v>
      </c>
      <c r="AB70" s="63" t="s">
        <v>356</v>
      </c>
      <c r="AC70" s="63" t="s">
        <v>354</v>
      </c>
      <c r="AD70" s="615" t="s">
        <v>356</v>
      </c>
      <c r="AE70" s="616" t="s">
        <v>354</v>
      </c>
      <c r="AF70" s="558" t="s">
        <v>356</v>
      </c>
      <c r="AG70" s="558" t="s">
        <v>354</v>
      </c>
      <c r="AH70" s="33" t="s">
        <v>356</v>
      </c>
      <c r="AI70" s="33" t="s">
        <v>354</v>
      </c>
      <c r="AJ70" s="46">
        <f t="shared" si="1"/>
        <v>0</v>
      </c>
      <c r="AK70" s="182">
        <f t="shared" si="7"/>
        <v>0</v>
      </c>
      <c r="AL70" s="265"/>
      <c r="AM70" s="265"/>
      <c r="AN70" s="265"/>
      <c r="AO70" s="80">
        <v>0.0</v>
      </c>
      <c r="AP70" s="80">
        <v>0.0</v>
      </c>
      <c r="AQ70" s="80">
        <v>0.0</v>
      </c>
      <c r="AR70" s="80">
        <v>0.0</v>
      </c>
      <c r="AS70" s="80">
        <v>0.0</v>
      </c>
      <c r="AT70" s="224">
        <v>0.0</v>
      </c>
      <c r="AU70" s="80">
        <v>0.0</v>
      </c>
      <c r="AV70" s="80">
        <v>0.0</v>
      </c>
      <c r="AW70" s="182">
        <f t="shared" si="3"/>
        <v>0</v>
      </c>
      <c r="AX70" s="182">
        <f t="shared" si="4"/>
        <v>0</v>
      </c>
    </row>
    <row r="71">
      <c r="A71" s="49">
        <v>70.0</v>
      </c>
      <c r="B71" s="46" t="s">
        <v>319</v>
      </c>
      <c r="C71" s="46" t="s">
        <v>320</v>
      </c>
      <c r="D71" s="46" t="s">
        <v>320</v>
      </c>
      <c r="E71" s="191" t="s">
        <v>783</v>
      </c>
      <c r="F71" s="593">
        <v>40319.0</v>
      </c>
      <c r="G71" s="628">
        <v>43169.0</v>
      </c>
      <c r="H71" s="46" t="s">
        <v>67</v>
      </c>
      <c r="I71" s="57" t="s">
        <v>491</v>
      </c>
      <c r="J71" s="214" t="s">
        <v>222</v>
      </c>
      <c r="K71" s="235" t="s">
        <v>770</v>
      </c>
      <c r="L71" s="235" t="s">
        <v>354</v>
      </c>
      <c r="M71" s="235" t="s">
        <v>354</v>
      </c>
      <c r="N71" s="235" t="s">
        <v>354</v>
      </c>
      <c r="O71" s="235" t="s">
        <v>354</v>
      </c>
      <c r="P71" s="235" t="s">
        <v>354</v>
      </c>
      <c r="Q71" s="235" t="s">
        <v>354</v>
      </c>
      <c r="R71" s="235" t="s">
        <v>354</v>
      </c>
      <c r="S71" s="551">
        <v>0.0</v>
      </c>
      <c r="T71" s="551">
        <v>0.0</v>
      </c>
      <c r="U71" s="551" t="s">
        <v>354</v>
      </c>
      <c r="V71" s="551" t="s">
        <v>354</v>
      </c>
      <c r="W71" s="551" t="s">
        <v>354</v>
      </c>
      <c r="X71" s="551">
        <v>0.0</v>
      </c>
      <c r="Y71" s="551">
        <v>0.0</v>
      </c>
      <c r="Z71" s="551" t="s">
        <v>354</v>
      </c>
      <c r="AA71" s="551" t="s">
        <v>354</v>
      </c>
      <c r="AB71" s="63" t="s">
        <v>356</v>
      </c>
      <c r="AC71" s="63" t="s">
        <v>354</v>
      </c>
      <c r="AD71" s="615" t="s">
        <v>356</v>
      </c>
      <c r="AE71" s="616" t="s">
        <v>354</v>
      </c>
      <c r="AF71" s="558" t="s">
        <v>356</v>
      </c>
      <c r="AG71" s="558" t="s">
        <v>354</v>
      </c>
      <c r="AH71" s="33" t="s">
        <v>356</v>
      </c>
      <c r="AI71" s="33" t="s">
        <v>354</v>
      </c>
      <c r="AJ71" s="46">
        <f t="shared" si="1"/>
        <v>0</v>
      </c>
      <c r="AK71" s="182">
        <f t="shared" si="7"/>
        <v>0</v>
      </c>
      <c r="AL71" s="265"/>
      <c r="AM71" s="265"/>
      <c r="AN71" s="265"/>
      <c r="AO71" s="80">
        <v>0.0</v>
      </c>
      <c r="AP71" s="80">
        <v>0.0</v>
      </c>
      <c r="AQ71" s="80">
        <v>0.0</v>
      </c>
      <c r="AR71" s="80">
        <v>0.0</v>
      </c>
      <c r="AS71" s="80">
        <v>0.0</v>
      </c>
      <c r="AT71" s="224">
        <v>0.0</v>
      </c>
      <c r="AU71" s="80">
        <v>0.0</v>
      </c>
      <c r="AV71" s="80">
        <v>0.0</v>
      </c>
      <c r="AW71" s="182">
        <f t="shared" si="3"/>
        <v>0</v>
      </c>
      <c r="AX71" s="182">
        <f t="shared" si="4"/>
        <v>0</v>
      </c>
    </row>
    <row r="72">
      <c r="A72" s="49">
        <v>71.0</v>
      </c>
      <c r="B72" s="235" t="s">
        <v>354</v>
      </c>
      <c r="C72" s="49" t="s">
        <v>297</v>
      </c>
      <c r="D72" s="235" t="s">
        <v>297</v>
      </c>
      <c r="E72" s="98" t="s">
        <v>746</v>
      </c>
      <c r="F72" s="593">
        <v>40319.0</v>
      </c>
      <c r="G72" s="628">
        <v>43169.0</v>
      </c>
      <c r="H72" s="235" t="s">
        <v>8</v>
      </c>
      <c r="I72" s="235" t="s">
        <v>491</v>
      </c>
      <c r="J72" s="214" t="s">
        <v>207</v>
      </c>
      <c r="K72" s="235" t="s">
        <v>770</v>
      </c>
      <c r="L72" s="235" t="s">
        <v>354</v>
      </c>
      <c r="M72" s="72">
        <v>69.0</v>
      </c>
      <c r="N72" s="235" t="s">
        <v>354</v>
      </c>
      <c r="O72" s="235" t="s">
        <v>354</v>
      </c>
      <c r="P72" s="235" t="s">
        <v>354</v>
      </c>
      <c r="Q72" s="235" t="s">
        <v>354</v>
      </c>
      <c r="R72" s="72" t="s">
        <v>1660</v>
      </c>
      <c r="S72" s="551">
        <v>0.0</v>
      </c>
      <c r="T72" s="551">
        <v>0.0</v>
      </c>
      <c r="U72" s="551" t="s">
        <v>354</v>
      </c>
      <c r="V72" s="551" t="s">
        <v>354</v>
      </c>
      <c r="W72" s="551" t="s">
        <v>354</v>
      </c>
      <c r="X72" s="551">
        <v>0.0</v>
      </c>
      <c r="Y72" s="551">
        <v>0.0</v>
      </c>
      <c r="Z72" s="551" t="s">
        <v>354</v>
      </c>
      <c r="AA72" s="551" t="s">
        <v>354</v>
      </c>
      <c r="AB72" s="63" t="s">
        <v>356</v>
      </c>
      <c r="AC72" s="63" t="s">
        <v>354</v>
      </c>
      <c r="AD72" s="560" t="s">
        <v>361</v>
      </c>
      <c r="AE72" s="560" t="s">
        <v>361</v>
      </c>
      <c r="AF72" s="558" t="s">
        <v>356</v>
      </c>
      <c r="AG72" s="558" t="s">
        <v>354</v>
      </c>
      <c r="AH72" s="33" t="s">
        <v>356</v>
      </c>
      <c r="AI72" s="33" t="s">
        <v>354</v>
      </c>
      <c r="AJ72" s="46">
        <f t="shared" si="1"/>
        <v>0</v>
      </c>
      <c r="AK72" s="182">
        <f t="shared" si="7"/>
        <v>0</v>
      </c>
      <c r="AL72" s="265"/>
      <c r="AM72" s="265"/>
      <c r="AN72" s="265"/>
      <c r="AO72" s="80">
        <v>0.0</v>
      </c>
      <c r="AP72" s="80">
        <v>0.0</v>
      </c>
      <c r="AQ72" s="80">
        <v>0.0</v>
      </c>
      <c r="AR72" s="80">
        <v>0.0</v>
      </c>
      <c r="AS72" s="80">
        <v>0.0</v>
      </c>
      <c r="AT72" s="224">
        <v>0.0</v>
      </c>
      <c r="AU72" s="80">
        <v>0.0</v>
      </c>
      <c r="AV72" s="80">
        <v>0.0</v>
      </c>
      <c r="AW72" s="182">
        <f t="shared" si="3"/>
        <v>0</v>
      </c>
      <c r="AX72" s="182">
        <f t="shared" si="4"/>
        <v>0</v>
      </c>
    </row>
    <row r="73">
      <c r="A73" s="49">
        <v>72.0</v>
      </c>
      <c r="B73" s="235" t="s">
        <v>354</v>
      </c>
      <c r="C73" s="629" t="s">
        <v>312</v>
      </c>
      <c r="D73" s="629" t="s">
        <v>312</v>
      </c>
      <c r="E73" s="604" t="s">
        <v>1661</v>
      </c>
      <c r="F73" s="593">
        <v>40319.0</v>
      </c>
      <c r="G73" s="628">
        <v>43169.0</v>
      </c>
      <c r="H73" s="235" t="s">
        <v>67</v>
      </c>
      <c r="I73" s="235" t="s">
        <v>491</v>
      </c>
      <c r="J73" s="214" t="s">
        <v>236</v>
      </c>
      <c r="K73" s="235" t="s">
        <v>354</v>
      </c>
      <c r="L73" s="235" t="s">
        <v>354</v>
      </c>
      <c r="M73" s="235" t="s">
        <v>354</v>
      </c>
      <c r="N73" s="235" t="s">
        <v>354</v>
      </c>
      <c r="O73" s="235" t="s">
        <v>354</v>
      </c>
      <c r="P73" s="235" t="s">
        <v>354</v>
      </c>
      <c r="Q73" s="235" t="s">
        <v>354</v>
      </c>
      <c r="R73" s="235" t="s">
        <v>354</v>
      </c>
      <c r="S73" s="551">
        <v>0.0</v>
      </c>
      <c r="T73" s="551">
        <v>0.0</v>
      </c>
      <c r="U73" s="551" t="s">
        <v>354</v>
      </c>
      <c r="V73" s="551" t="s">
        <v>354</v>
      </c>
      <c r="W73" s="551" t="s">
        <v>354</v>
      </c>
      <c r="X73" s="551">
        <v>0.0</v>
      </c>
      <c r="Y73" s="221">
        <v>13.94</v>
      </c>
      <c r="Z73" s="551" t="s">
        <v>356</v>
      </c>
      <c r="AA73" s="551" t="s">
        <v>354</v>
      </c>
      <c r="AB73" s="63" t="s">
        <v>356</v>
      </c>
      <c r="AC73" s="63" t="s">
        <v>354</v>
      </c>
      <c r="AD73" s="615" t="s">
        <v>356</v>
      </c>
      <c r="AE73" s="616" t="s">
        <v>354</v>
      </c>
      <c r="AF73" s="558" t="s">
        <v>356</v>
      </c>
      <c r="AG73" s="558" t="s">
        <v>354</v>
      </c>
      <c r="AH73" s="33" t="s">
        <v>356</v>
      </c>
      <c r="AI73" s="33" t="s">
        <v>354</v>
      </c>
      <c r="AJ73" s="46">
        <f t="shared" si="1"/>
        <v>0</v>
      </c>
      <c r="AK73" s="182">
        <f t="shared" si="7"/>
        <v>0</v>
      </c>
      <c r="AL73" s="265"/>
      <c r="AM73" s="265"/>
      <c r="AN73" s="265"/>
      <c r="AO73" s="80">
        <v>0.0</v>
      </c>
      <c r="AP73" s="80">
        <v>0.0</v>
      </c>
      <c r="AQ73" s="80">
        <v>0.0</v>
      </c>
      <c r="AR73" s="80">
        <v>0.0</v>
      </c>
      <c r="AS73" s="80">
        <v>0.0</v>
      </c>
      <c r="AT73" s="224">
        <v>0.0</v>
      </c>
      <c r="AU73" s="80">
        <v>0.0</v>
      </c>
      <c r="AV73" s="80">
        <v>0.0</v>
      </c>
      <c r="AW73" s="182">
        <f t="shared" si="3"/>
        <v>0</v>
      </c>
      <c r="AX73" s="182">
        <f t="shared" si="4"/>
        <v>0</v>
      </c>
    </row>
    <row r="74">
      <c r="A74" s="49" t="s">
        <v>1606</v>
      </c>
      <c r="B74" s="46" t="s">
        <v>354</v>
      </c>
      <c r="C74" s="46" t="s">
        <v>354</v>
      </c>
      <c r="D74" s="46" t="s">
        <v>354</v>
      </c>
      <c r="E74" s="46" t="s">
        <v>354</v>
      </c>
      <c r="F74" s="46" t="s">
        <v>354</v>
      </c>
      <c r="G74" s="46" t="s">
        <v>354</v>
      </c>
      <c r="H74" s="49" t="s">
        <v>354</v>
      </c>
      <c r="I74" s="46" t="s">
        <v>354</v>
      </c>
      <c r="J74" s="235" t="s">
        <v>354</v>
      </c>
      <c r="K74" s="235" t="s">
        <v>354</v>
      </c>
      <c r="L74" s="235" t="s">
        <v>354</v>
      </c>
      <c r="M74" s="235" t="s">
        <v>354</v>
      </c>
      <c r="N74" s="235" t="s">
        <v>354</v>
      </c>
      <c r="O74" s="235" t="s">
        <v>354</v>
      </c>
      <c r="P74" s="235" t="s">
        <v>354</v>
      </c>
      <c r="Q74" s="235" t="s">
        <v>354</v>
      </c>
      <c r="R74" s="235" t="s">
        <v>354</v>
      </c>
      <c r="S74" s="221">
        <v>23.37</v>
      </c>
      <c r="T74" s="151">
        <v>27.11</v>
      </c>
      <c r="U74" s="551" t="s">
        <v>354</v>
      </c>
      <c r="V74" s="551" t="s">
        <v>354</v>
      </c>
      <c r="W74" s="551" t="s">
        <v>354</v>
      </c>
      <c r="X74" s="151">
        <v>24.8</v>
      </c>
      <c r="Y74" s="151">
        <v>35.77</v>
      </c>
      <c r="Z74" s="140" t="s">
        <v>365</v>
      </c>
      <c r="AA74" s="551" t="s">
        <v>354</v>
      </c>
      <c r="AB74" s="63" t="s">
        <v>354</v>
      </c>
      <c r="AC74" s="63" t="s">
        <v>354</v>
      </c>
      <c r="AD74" s="548" t="s">
        <v>365</v>
      </c>
      <c r="AE74" s="553" t="s">
        <v>1607</v>
      </c>
      <c r="AF74" s="549" t="s">
        <v>365</v>
      </c>
      <c r="AG74" s="558" t="s">
        <v>1607</v>
      </c>
      <c r="AH74" s="36" t="s">
        <v>365</v>
      </c>
      <c r="AI74" s="23" t="s">
        <v>1607</v>
      </c>
      <c r="AJ74" s="46">
        <f t="shared" si="1"/>
        <v>4</v>
      </c>
      <c r="AK74" s="182">
        <f t="shared" si="7"/>
        <v>1</v>
      </c>
      <c r="AL74" s="265"/>
      <c r="AM74" s="265"/>
      <c r="AN74" s="235" t="s">
        <v>1507</v>
      </c>
      <c r="AO74" s="265">
        <f t="shared" ref="AO74:AV74" si="8">sum(AO2:AO73)</f>
        <v>0</v>
      </c>
      <c r="AP74" s="265">
        <f t="shared" si="8"/>
        <v>0</v>
      </c>
      <c r="AQ74" s="265">
        <f t="shared" si="8"/>
        <v>4</v>
      </c>
      <c r="AR74" s="265">
        <f t="shared" si="8"/>
        <v>19</v>
      </c>
      <c r="AS74" s="265">
        <f t="shared" si="8"/>
        <v>1</v>
      </c>
      <c r="AT74" s="265">
        <f t="shared" si="8"/>
        <v>47</v>
      </c>
      <c r="AU74" s="265">
        <f t="shared" si="8"/>
        <v>7</v>
      </c>
      <c r="AV74" s="265">
        <f t="shared" si="8"/>
        <v>1</v>
      </c>
      <c r="AW74" s="182">
        <f t="shared" si="3"/>
        <v>79</v>
      </c>
      <c r="AX74" s="182"/>
    </row>
    <row r="75">
      <c r="A75" s="49" t="s">
        <v>1608</v>
      </c>
      <c r="B75" s="46" t="s">
        <v>354</v>
      </c>
      <c r="C75" s="46" t="s">
        <v>354</v>
      </c>
      <c r="D75" s="46" t="s">
        <v>354</v>
      </c>
      <c r="E75" s="46" t="s">
        <v>354</v>
      </c>
      <c r="F75" s="46" t="s">
        <v>354</v>
      </c>
      <c r="G75" s="46" t="s">
        <v>354</v>
      </c>
      <c r="H75" s="49" t="s">
        <v>354</v>
      </c>
      <c r="I75" s="46" t="s">
        <v>354</v>
      </c>
      <c r="J75" s="235" t="s">
        <v>354</v>
      </c>
      <c r="K75" s="235" t="s">
        <v>354</v>
      </c>
      <c r="L75" s="235" t="s">
        <v>354</v>
      </c>
      <c r="M75" s="235" t="s">
        <v>354</v>
      </c>
      <c r="N75" s="235" t="s">
        <v>354</v>
      </c>
      <c r="O75" s="235" t="s">
        <v>354</v>
      </c>
      <c r="P75" s="235" t="s">
        <v>354</v>
      </c>
      <c r="Q75" s="235" t="s">
        <v>354</v>
      </c>
      <c r="R75" s="235" t="s">
        <v>354</v>
      </c>
      <c r="S75" s="551">
        <v>0.0</v>
      </c>
      <c r="T75" s="551">
        <v>0.0</v>
      </c>
      <c r="U75" s="551" t="s">
        <v>354</v>
      </c>
      <c r="V75" s="551" t="s">
        <v>354</v>
      </c>
      <c r="W75" s="551" t="s">
        <v>354</v>
      </c>
      <c r="X75" s="551">
        <v>0.0</v>
      </c>
      <c r="Y75" s="551">
        <v>0.0</v>
      </c>
      <c r="Z75" s="551" t="s">
        <v>354</v>
      </c>
      <c r="AA75" s="551" t="s">
        <v>354</v>
      </c>
      <c r="AB75" s="63" t="s">
        <v>354</v>
      </c>
      <c r="AC75" s="63" t="s">
        <v>354</v>
      </c>
      <c r="AD75" s="615" t="s">
        <v>356</v>
      </c>
      <c r="AE75" s="616" t="s">
        <v>354</v>
      </c>
      <c r="AF75" s="558" t="s">
        <v>356</v>
      </c>
      <c r="AG75" s="558" t="s">
        <v>354</v>
      </c>
      <c r="AH75" s="33" t="s">
        <v>356</v>
      </c>
      <c r="AI75" s="33" t="s">
        <v>354</v>
      </c>
      <c r="AJ75" s="46">
        <f t="shared" si="1"/>
        <v>0</v>
      </c>
      <c r="AK75" s="182">
        <f t="shared" si="7"/>
        <v>0</v>
      </c>
      <c r="AL75" s="265"/>
      <c r="AM75" s="265"/>
      <c r="AN75" s="235" t="s">
        <v>1406</v>
      </c>
      <c r="AO75" s="381">
        <f t="shared" ref="AO75:AV75" si="9">AO74/$AW$74</f>
        <v>0</v>
      </c>
      <c r="AP75" s="381">
        <f t="shared" si="9"/>
        <v>0</v>
      </c>
      <c r="AQ75" s="381">
        <f t="shared" si="9"/>
        <v>0.05063291139</v>
      </c>
      <c r="AR75" s="381">
        <f t="shared" si="9"/>
        <v>0.2405063291</v>
      </c>
      <c r="AS75" s="381">
        <f t="shared" si="9"/>
        <v>0.01265822785</v>
      </c>
      <c r="AT75" s="381">
        <f t="shared" si="9"/>
        <v>0.5949367089</v>
      </c>
      <c r="AU75" s="381">
        <f t="shared" si="9"/>
        <v>0.08860759494</v>
      </c>
      <c r="AV75" s="381">
        <f t="shared" si="9"/>
        <v>0.01265822785</v>
      </c>
      <c r="AW75" s="380">
        <f t="shared" si="3"/>
        <v>1</v>
      </c>
      <c r="AX75" s="182"/>
    </row>
    <row r="76">
      <c r="A76" s="182"/>
      <c r="B76" s="182"/>
      <c r="C76" s="182"/>
      <c r="D76" s="182"/>
      <c r="E76" s="182"/>
      <c r="F76" s="182"/>
      <c r="G76" s="182"/>
      <c r="H76" s="182"/>
      <c r="I76" s="182"/>
      <c r="J76" s="182"/>
      <c r="K76" s="182"/>
      <c r="L76" s="182"/>
      <c r="M76" s="182"/>
      <c r="N76" s="182"/>
      <c r="O76" s="182"/>
      <c r="P76" s="182"/>
      <c r="Q76" s="182"/>
      <c r="R76" s="182"/>
      <c r="S76" s="265"/>
      <c r="T76" s="265"/>
      <c r="U76" s="265"/>
      <c r="V76" s="265"/>
      <c r="W76" s="265"/>
      <c r="X76" s="265"/>
      <c r="Y76" s="265"/>
      <c r="Z76" s="265"/>
      <c r="AA76" s="265"/>
      <c r="AB76" s="265"/>
      <c r="AC76" s="265"/>
      <c r="AD76" s="265"/>
      <c r="AE76" s="265"/>
      <c r="AF76" s="265"/>
      <c r="AG76" s="265"/>
      <c r="AH76" s="265"/>
      <c r="AI76" s="265"/>
      <c r="AJ76" s="265"/>
      <c r="AK76" s="265"/>
      <c r="AL76" s="265"/>
      <c r="AM76" s="265"/>
      <c r="AN76" s="265"/>
      <c r="AO76" s="265"/>
      <c r="AP76" s="265"/>
      <c r="AQ76" s="265"/>
      <c r="AR76" s="265"/>
      <c r="AS76" s="265"/>
      <c r="AT76" s="265"/>
      <c r="AU76" s="265"/>
      <c r="AV76" s="265"/>
      <c r="AW76" s="265"/>
      <c r="AX76" s="265"/>
    </row>
    <row r="77">
      <c r="A77" s="265"/>
      <c r="B77" s="265"/>
      <c r="C77" s="265"/>
      <c r="D77" s="265"/>
      <c r="E77" s="265"/>
      <c r="F77" s="265"/>
      <c r="G77" s="265"/>
      <c r="H77" s="265"/>
      <c r="I77" s="265"/>
      <c r="S77" s="46">
        <f>COUNTIF(S2:S73,"&gt;0")</f>
        <v>29</v>
      </c>
      <c r="T77" s="265"/>
      <c r="U77" s="265"/>
      <c r="V77" s="265"/>
      <c r="W77" s="265"/>
      <c r="X77" s="265"/>
      <c r="Y77" s="265"/>
      <c r="Z77" s="265"/>
      <c r="AA77" s="265"/>
      <c r="AB77" s="265"/>
      <c r="AC77" s="265"/>
      <c r="AD77" s="46">
        <f>COUNTIF(AD2:AD73,"POS")</f>
        <v>24</v>
      </c>
      <c r="AE77" s="46"/>
      <c r="AF77" s="46">
        <f>COUNTIF(AF2:AF73,"POS")</f>
        <v>26</v>
      </c>
      <c r="AG77" s="46"/>
      <c r="AH77" s="46">
        <f>COUNTIF(AH2:AH73,"POS")</f>
        <v>29</v>
      </c>
      <c r="AI77" s="46"/>
      <c r="AJ77" s="372">
        <f>COUNTIF($AJ$2:$AJ$73,"&gt;0")-4</f>
        <v>37</v>
      </c>
      <c r="AK77" s="372">
        <f>COUNTIF($AJ$2:$AJ$73,"&gt;1")</f>
        <v>27</v>
      </c>
      <c r="AL77" s="372">
        <f>COUNTIF($AJ$2:$AJ$73,"&gt;2")</f>
        <v>23</v>
      </c>
      <c r="AM77" s="372">
        <f>COUNTIF($AJ$2:$AJ$73,"&gt;3")</f>
        <v>17</v>
      </c>
      <c r="AN77" s="372">
        <f>countif(AX2:AX73,"&gt;1")</f>
        <v>7</v>
      </c>
      <c r="AO77" s="157">
        <v>0.0</v>
      </c>
      <c r="AP77" s="157">
        <v>0.0</v>
      </c>
      <c r="AQ77" s="157">
        <v>1.0</v>
      </c>
      <c r="AR77" s="157">
        <v>5.0</v>
      </c>
      <c r="AS77" s="157">
        <v>0.0</v>
      </c>
      <c r="AT77" s="157">
        <v>19.0</v>
      </c>
      <c r="AU77" s="157">
        <v>5.0</v>
      </c>
      <c r="AV77" s="157">
        <v>0.0</v>
      </c>
      <c r="AW77" s="265"/>
      <c r="AX77" s="265"/>
    </row>
    <row r="78">
      <c r="A78" s="265"/>
      <c r="B78" s="265"/>
      <c r="C78" s="265"/>
      <c r="D78" s="265"/>
      <c r="E78" s="265"/>
      <c r="F78" s="265"/>
      <c r="G78" s="265"/>
      <c r="H78" s="265"/>
      <c r="I78" s="265"/>
      <c r="S78" s="46">
        <f>COUNT($A$2:$A$73)</f>
        <v>72</v>
      </c>
      <c r="T78" s="265"/>
      <c r="U78" s="265"/>
      <c r="V78" s="265"/>
      <c r="W78" s="265"/>
      <c r="X78" s="265"/>
      <c r="Y78" s="265"/>
      <c r="Z78" s="265"/>
      <c r="AA78" s="265"/>
      <c r="AB78" s="265"/>
      <c r="AC78" s="265"/>
      <c r="AD78" s="46">
        <f>COUNT($A$2:$A$73)</f>
        <v>72</v>
      </c>
      <c r="AE78" s="46"/>
      <c r="AF78" s="46">
        <f>COUNT($A$2:$A$73)</f>
        <v>72</v>
      </c>
      <c r="AG78" s="46"/>
      <c r="AH78" s="46">
        <f>COUNT($A$2:$A$73)</f>
        <v>72</v>
      </c>
      <c r="AI78" s="46"/>
      <c r="AJ78" s="372">
        <f t="shared" ref="AJ78:AL78" si="10">COUNT($A$2:$A$73)</f>
        <v>72</v>
      </c>
      <c r="AK78" s="372">
        <f t="shared" si="10"/>
        <v>72</v>
      </c>
      <c r="AL78" s="372">
        <f t="shared" si="10"/>
        <v>72</v>
      </c>
      <c r="AM78" s="340">
        <v>72.0</v>
      </c>
      <c r="AN78" s="340">
        <v>72.0</v>
      </c>
      <c r="AO78" s="265"/>
      <c r="AP78" s="265"/>
      <c r="AQ78" s="265"/>
      <c r="AR78" s="265"/>
      <c r="AS78" s="265"/>
      <c r="AT78" s="265"/>
      <c r="AU78" s="265"/>
      <c r="AV78" s="265"/>
      <c r="AW78" s="265"/>
      <c r="AX78" s="265"/>
    </row>
    <row r="79">
      <c r="A79" s="265"/>
      <c r="B79" s="265"/>
      <c r="C79" s="265"/>
      <c r="D79" s="265"/>
      <c r="E79" s="265"/>
      <c r="F79" s="265"/>
      <c r="G79" s="265"/>
      <c r="H79" s="265"/>
      <c r="I79" s="265"/>
      <c r="S79" s="374">
        <f>S77/S78</f>
        <v>0.4027777778</v>
      </c>
      <c r="T79" s="265"/>
      <c r="U79" s="265"/>
      <c r="V79" s="265"/>
      <c r="W79" s="265"/>
      <c r="X79" s="265"/>
      <c r="Y79" s="265"/>
      <c r="Z79" s="265"/>
      <c r="AA79" s="265"/>
      <c r="AB79" s="265"/>
      <c r="AC79" s="265"/>
      <c r="AD79" s="374">
        <f>AD77/AD78</f>
        <v>0.3333333333</v>
      </c>
      <c r="AE79" s="46"/>
      <c r="AF79" s="374">
        <f>AF77/AF78</f>
        <v>0.3611111111</v>
      </c>
      <c r="AG79" s="46"/>
      <c r="AH79" s="374">
        <f>AH77/AH78</f>
        <v>0.4027777778</v>
      </c>
      <c r="AI79" s="46"/>
      <c r="AJ79" s="630">
        <f t="shared" ref="AJ79:AN79" si="11">AJ77/AJ78</f>
        <v>0.5138888889</v>
      </c>
      <c r="AK79" s="630">
        <f t="shared" si="11"/>
        <v>0.375</v>
      </c>
      <c r="AL79" s="630">
        <f t="shared" si="11"/>
        <v>0.3194444444</v>
      </c>
      <c r="AM79" s="630">
        <f t="shared" si="11"/>
        <v>0.2361111111</v>
      </c>
      <c r="AN79" s="630">
        <f t="shared" si="11"/>
        <v>0.09722222222</v>
      </c>
      <c r="AO79" s="265"/>
      <c r="AP79" s="265"/>
      <c r="AQ79" s="265"/>
      <c r="AR79" s="265"/>
      <c r="AS79" s="265"/>
      <c r="AT79" s="265"/>
      <c r="AU79" s="265"/>
      <c r="AV79" s="265"/>
      <c r="AW79" s="265"/>
      <c r="AX79" s="265"/>
    </row>
    <row r="80">
      <c r="A80" s="265"/>
      <c r="B80" s="265"/>
      <c r="C80" s="265"/>
      <c r="D80" s="265"/>
      <c r="E80" s="265"/>
      <c r="F80" s="265"/>
      <c r="G80" s="265"/>
      <c r="H80" s="265"/>
      <c r="I80" s="265"/>
      <c r="S80" s="264"/>
      <c r="T80" s="265"/>
      <c r="U80" s="265"/>
      <c r="V80" s="265"/>
      <c r="W80" s="265"/>
      <c r="X80" s="265"/>
      <c r="Y80" s="265"/>
      <c r="Z80" s="265"/>
      <c r="AA80" s="265"/>
      <c r="AB80" s="265"/>
      <c r="AC80" s="265"/>
      <c r="AD80" s="46"/>
      <c r="AE80" s="46"/>
      <c r="AF80" s="46"/>
      <c r="AG80" s="46"/>
      <c r="AH80" s="46"/>
      <c r="AI80" s="46"/>
      <c r="AJ80" s="372" t="s">
        <v>1401</v>
      </c>
      <c r="AK80" s="372" t="s">
        <v>1402</v>
      </c>
      <c r="AL80" s="372" t="s">
        <v>1403</v>
      </c>
      <c r="AM80" s="378" t="s">
        <v>1404</v>
      </c>
      <c r="AN80" s="609" t="s">
        <v>1376</v>
      </c>
      <c r="AO80" s="265"/>
      <c r="AP80" s="265"/>
      <c r="AQ80" s="265"/>
      <c r="AR80" s="265"/>
      <c r="AS80" s="265"/>
      <c r="AT80" s="265"/>
      <c r="AU80" s="265"/>
      <c r="AV80" s="265"/>
      <c r="AW80" s="265"/>
      <c r="AX80" s="265"/>
    </row>
    <row r="81">
      <c r="A81" s="265"/>
      <c r="B81" s="265"/>
      <c r="C81" s="265"/>
      <c r="D81" s="265"/>
      <c r="E81" s="265"/>
      <c r="F81" s="265"/>
      <c r="G81" s="265"/>
      <c r="H81" s="265"/>
      <c r="I81" s="265"/>
      <c r="S81" s="264"/>
      <c r="T81" s="265"/>
      <c r="U81" s="265"/>
      <c r="V81" s="265"/>
      <c r="W81" s="265"/>
      <c r="X81" s="265"/>
      <c r="Y81" s="265"/>
      <c r="Z81" s="265"/>
      <c r="AA81" s="265"/>
      <c r="AB81" s="265"/>
      <c r="AC81" s="265"/>
      <c r="AD81" s="265"/>
      <c r="AE81" s="265"/>
      <c r="AF81" s="265"/>
      <c r="AG81" s="265"/>
      <c r="AH81" s="265"/>
      <c r="AI81" s="265"/>
      <c r="AJ81" s="265"/>
      <c r="AK81" s="265"/>
      <c r="AL81" s="265"/>
      <c r="AM81" s="265"/>
      <c r="AN81" s="265"/>
      <c r="AO81" s="265"/>
      <c r="AP81" s="265"/>
      <c r="AQ81" s="265"/>
      <c r="AR81" s="265"/>
      <c r="AS81" s="265"/>
      <c r="AT81" s="265"/>
      <c r="AU81" s="265"/>
      <c r="AV81" s="265"/>
      <c r="AW81" s="265"/>
      <c r="AX81" s="265"/>
    </row>
    <row r="82">
      <c r="A82" s="265"/>
      <c r="B82" s="265"/>
      <c r="C82" s="265"/>
      <c r="N82" s="331" t="s">
        <v>1497</v>
      </c>
      <c r="O82" s="345" t="s">
        <v>389</v>
      </c>
      <c r="P82" s="346" t="s">
        <v>420</v>
      </c>
      <c r="Q82" s="347" t="s">
        <v>358</v>
      </c>
      <c r="R82" s="348" t="s">
        <v>363</v>
      </c>
      <c r="S82" s="349" t="s">
        <v>413</v>
      </c>
      <c r="T82" s="350" t="s">
        <v>357</v>
      </c>
      <c r="U82" s="351" t="s">
        <v>380</v>
      </c>
      <c r="V82" s="352" t="s">
        <v>387</v>
      </c>
      <c r="W82" s="566" t="s">
        <v>1427</v>
      </c>
      <c r="X82" s="408" t="s">
        <v>1190</v>
      </c>
      <c r="Y82" s="567" t="s">
        <v>1214</v>
      </c>
      <c r="Z82" s="568" t="s">
        <v>1120</v>
      </c>
      <c r="AA82" s="569" t="s">
        <v>1188</v>
      </c>
      <c r="AB82" s="570" t="s">
        <v>1428</v>
      </c>
      <c r="AC82" s="571" t="s">
        <v>1429</v>
      </c>
      <c r="AD82" s="572" t="s">
        <v>1178</v>
      </c>
      <c r="AE82" s="573" t="s">
        <v>1145</v>
      </c>
      <c r="AF82" s="417" t="s">
        <v>1301</v>
      </c>
      <c r="AG82" s="574" t="s">
        <v>1130</v>
      </c>
      <c r="AH82" s="575" t="s">
        <v>1314</v>
      </c>
      <c r="AI82" s="576" t="s">
        <v>1431</v>
      </c>
      <c r="AJ82" s="577" t="s">
        <v>1095</v>
      </c>
      <c r="AK82" s="578" t="s">
        <v>1103</v>
      </c>
      <c r="AL82" s="579" t="s">
        <v>1090</v>
      </c>
      <c r="AM82" s="580" t="s">
        <v>1296</v>
      </c>
      <c r="AN82" s="581" t="s">
        <v>1270</v>
      </c>
      <c r="AO82" s="582" t="s">
        <v>1115</v>
      </c>
      <c r="AP82" s="583" t="s">
        <v>1089</v>
      </c>
      <c r="AQ82" s="584" t="s">
        <v>1182</v>
      </c>
      <c r="AR82" s="585" t="s">
        <v>1298</v>
      </c>
      <c r="AS82" s="586" t="s">
        <v>1163</v>
      </c>
      <c r="AT82" s="587" t="s">
        <v>1223</v>
      </c>
      <c r="AU82" s="588" t="s">
        <v>1441</v>
      </c>
      <c r="AV82" s="589" t="s">
        <v>1129</v>
      </c>
      <c r="AW82" s="590" t="s">
        <v>1447</v>
      </c>
      <c r="AX82" s="591" t="s">
        <v>1454</v>
      </c>
    </row>
    <row r="83">
      <c r="A83" s="265"/>
      <c r="B83" s="265"/>
      <c r="C83" s="265"/>
      <c r="N83" s="468">
        <f>correl(O83:V83,AO74:AV74)</f>
        <v>0.9952341976</v>
      </c>
      <c r="O83" s="76">
        <f t="shared" ref="O83:V83" si="12">countif(AO2:AO73,"&gt;0")</f>
        <v>0</v>
      </c>
      <c r="P83" s="76">
        <f t="shared" si="12"/>
        <v>0</v>
      </c>
      <c r="Q83" s="76">
        <f t="shared" si="12"/>
        <v>3</v>
      </c>
      <c r="R83" s="76">
        <f t="shared" si="12"/>
        <v>10</v>
      </c>
      <c r="S83" s="76">
        <f t="shared" si="12"/>
        <v>1</v>
      </c>
      <c r="T83" s="76">
        <f t="shared" si="12"/>
        <v>24</v>
      </c>
      <c r="U83" s="76">
        <f t="shared" si="12"/>
        <v>6</v>
      </c>
      <c r="V83" s="76">
        <f t="shared" si="12"/>
        <v>1</v>
      </c>
      <c r="W83" s="265">
        <f t="shared" ref="W83:AC83" si="13">countifs($AO$2:$AO$73,"&gt;0",AP2:AP73,"&gt;0")</f>
        <v>0</v>
      </c>
      <c r="X83" s="265">
        <f t="shared" si="13"/>
        <v>0</v>
      </c>
      <c r="Y83" s="265">
        <f t="shared" si="13"/>
        <v>0</v>
      </c>
      <c r="Z83" s="265">
        <f t="shared" si="13"/>
        <v>0</v>
      </c>
      <c r="AA83" s="265">
        <f t="shared" si="13"/>
        <v>0</v>
      </c>
      <c r="AB83" s="265">
        <f t="shared" si="13"/>
        <v>0</v>
      </c>
      <c r="AC83" s="265">
        <f t="shared" si="13"/>
        <v>0</v>
      </c>
      <c r="AD83" s="265">
        <f t="shared" ref="AD83:AI83" si="14">countifs($AP$2:$AP$73,"&gt;0",AQ2:AQ73,"&gt;0")</f>
        <v>0</v>
      </c>
      <c r="AE83" s="265">
        <f t="shared" si="14"/>
        <v>0</v>
      </c>
      <c r="AF83" s="265">
        <f t="shared" si="14"/>
        <v>0</v>
      </c>
      <c r="AG83" s="265">
        <f t="shared" si="14"/>
        <v>0</v>
      </c>
      <c r="AH83" s="265">
        <f t="shared" si="14"/>
        <v>0</v>
      </c>
      <c r="AI83" s="265">
        <f t="shared" si="14"/>
        <v>0</v>
      </c>
      <c r="AJ83" s="592">
        <f t="shared" ref="AJ83:AN83" si="15">countifs($AQ$2:$AQ$73,"&gt;0",AR2:AR73,"&gt;0")</f>
        <v>1</v>
      </c>
      <c r="AK83" s="592">
        <f t="shared" si="15"/>
        <v>1</v>
      </c>
      <c r="AL83" s="592">
        <f t="shared" si="15"/>
        <v>1</v>
      </c>
      <c r="AM83" s="265">
        <f t="shared" si="15"/>
        <v>0</v>
      </c>
      <c r="AN83" s="265">
        <f t="shared" si="15"/>
        <v>0</v>
      </c>
      <c r="AO83" s="265">
        <f t="shared" ref="AO83:AR83" si="16">countifs($AR$2:$AR$73,"&gt;0",AS2:AS73,"&gt;0")</f>
        <v>0</v>
      </c>
      <c r="AP83" s="592">
        <f t="shared" si="16"/>
        <v>3</v>
      </c>
      <c r="AQ83" s="265">
        <f t="shared" si="16"/>
        <v>0</v>
      </c>
      <c r="AR83" s="592">
        <f t="shared" si="16"/>
        <v>1</v>
      </c>
      <c r="AS83" s="592">
        <f t="shared" ref="AS83:AU83" si="17">countifs($AS$2:$AS$73,"&gt;0",AT2:AT73,"&gt;0")</f>
        <v>1</v>
      </c>
      <c r="AT83" s="265">
        <f t="shared" si="17"/>
        <v>0</v>
      </c>
      <c r="AU83" s="265">
        <f t="shared" si="17"/>
        <v>0</v>
      </c>
      <c r="AV83" s="592">
        <f t="shared" ref="AV83:AW83" si="18">countifs($AT$2:$AT$73,"&gt;0",AU2:AU73,"&gt;0")</f>
        <v>1</v>
      </c>
      <c r="AW83" s="265">
        <f t="shared" si="18"/>
        <v>0</v>
      </c>
      <c r="AX83" s="265">
        <f>countifs($AU$2:$AU$73,"&gt;0",AV2:AV73,"&gt;0")</f>
        <v>0</v>
      </c>
    </row>
    <row r="84">
      <c r="A84" s="265"/>
      <c r="B84" s="265"/>
      <c r="C84" s="265"/>
      <c r="O84" s="76">
        <f t="shared" ref="O84:V84" si="19">O83/sum($O$83:$V$83)</f>
        <v>0</v>
      </c>
      <c r="P84" s="76">
        <f t="shared" si="19"/>
        <v>0</v>
      </c>
      <c r="Q84" s="76">
        <f t="shared" si="19"/>
        <v>0.06666666667</v>
      </c>
      <c r="R84" s="76">
        <f t="shared" si="19"/>
        <v>0.2222222222</v>
      </c>
      <c r="S84" s="76">
        <f t="shared" si="19"/>
        <v>0.02222222222</v>
      </c>
      <c r="T84" s="76">
        <f t="shared" si="19"/>
        <v>0.5333333333</v>
      </c>
      <c r="U84" s="76">
        <f t="shared" si="19"/>
        <v>0.1333333333</v>
      </c>
      <c r="V84" s="76">
        <f t="shared" si="19"/>
        <v>0.02222222222</v>
      </c>
      <c r="W84" s="265"/>
      <c r="X84" s="265"/>
      <c r="Y84" s="265"/>
      <c r="Z84" s="265"/>
      <c r="AA84" s="265"/>
      <c r="AB84" s="265"/>
      <c r="AC84" s="265"/>
      <c r="AD84" s="265"/>
      <c r="AE84" s="265"/>
      <c r="AF84" s="265"/>
      <c r="AG84" s="265"/>
      <c r="AH84" s="265"/>
      <c r="AI84" s="265"/>
      <c r="AJ84" s="265"/>
      <c r="AK84" s="265"/>
      <c r="AL84" s="265"/>
      <c r="AM84" s="265"/>
      <c r="AN84" s="265"/>
      <c r="AO84" s="265"/>
      <c r="AP84" s="265"/>
      <c r="AQ84" s="265"/>
      <c r="AR84" s="265"/>
      <c r="AS84" s="265"/>
      <c r="AT84" s="265"/>
      <c r="AU84" s="265"/>
      <c r="AV84" s="265"/>
      <c r="AW84" s="265"/>
      <c r="AX84" s="26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7.29" defaultRowHeight="15.0"/>
  <cols>
    <col customWidth="1" min="3" max="3" width="26.14"/>
    <col customWidth="1" min="9" max="9" width="5.14"/>
    <col customWidth="1" min="10" max="10" width="10.0"/>
    <col customWidth="1" min="11" max="11" width="4.86"/>
    <col customWidth="1" min="12" max="12" width="8.29"/>
    <col customWidth="1" min="13" max="13" width="6.71"/>
    <col customWidth="1" min="14" max="14" width="8.43"/>
    <col customWidth="1" min="15" max="15" width="7.86"/>
    <col customWidth="1" min="16" max="16" width="9.57"/>
    <col customWidth="1" min="17" max="17" width="10.57"/>
    <col customWidth="1" min="18" max="18" width="19.43"/>
    <col customWidth="1" min="19" max="19" width="16.0"/>
    <col customWidth="1" min="20" max="20" width="14.14"/>
    <col customWidth="1" min="21" max="21" width="20.57"/>
    <col customWidth="1" min="22" max="22" width="23.43"/>
    <col customWidth="1" min="23" max="23" width="18.43"/>
    <col customWidth="1" min="24" max="24" width="14.57"/>
    <col customWidth="1" min="25" max="25" width="9.71"/>
    <col customWidth="1" min="26" max="26" width="14.86"/>
    <col customWidth="1" min="27" max="27" width="27.43"/>
    <col customWidth="1" min="28" max="28" width="12.0"/>
    <col customWidth="1" min="29" max="29" width="18.43"/>
    <col customWidth="1" min="30" max="30" width="8.71"/>
    <col customWidth="1" min="31" max="33" width="9.43"/>
    <col customWidth="1" min="34" max="34" width="8.71"/>
    <col customWidth="1" min="35" max="35" width="6.14"/>
    <col customWidth="1" min="36" max="36" width="6.57"/>
    <col customWidth="1" min="37" max="38" width="8.71"/>
    <col customWidth="1" min="39" max="39" width="6.57"/>
    <col customWidth="1" min="40" max="41" width="8.71"/>
    <col customWidth="1" min="42" max="43" width="9.14"/>
    <col customWidth="1" min="44" max="44" width="11.29"/>
  </cols>
  <sheetData>
    <row r="1">
      <c r="A1" s="340" t="s">
        <v>1355</v>
      </c>
      <c r="B1" s="309" t="s">
        <v>1356</v>
      </c>
      <c r="C1" s="309" t="s">
        <v>1246</v>
      </c>
      <c r="D1" s="310" t="s">
        <v>331</v>
      </c>
      <c r="E1" s="543" t="s">
        <v>1357</v>
      </c>
      <c r="F1" s="372" t="s">
        <v>1</v>
      </c>
      <c r="G1" s="372" t="s">
        <v>4</v>
      </c>
      <c r="H1" s="340" t="s">
        <v>1358</v>
      </c>
      <c r="I1" s="310" t="s">
        <v>1359</v>
      </c>
      <c r="J1" s="310" t="s">
        <v>336</v>
      </c>
      <c r="K1" s="310" t="s">
        <v>337</v>
      </c>
      <c r="L1" s="311" t="s">
        <v>332</v>
      </c>
      <c r="M1" s="311" t="s">
        <v>1360</v>
      </c>
      <c r="N1" s="311" t="s">
        <v>1593</v>
      </c>
      <c r="O1" s="311" t="s">
        <v>1594</v>
      </c>
      <c r="P1" s="311" t="s">
        <v>1595</v>
      </c>
      <c r="Q1" s="543" t="s">
        <v>339</v>
      </c>
      <c r="R1" s="339" t="s">
        <v>1361</v>
      </c>
      <c r="S1" s="339" t="s">
        <v>1362</v>
      </c>
      <c r="T1" s="339" t="s">
        <v>1364</v>
      </c>
      <c r="U1" s="340" t="s">
        <v>1407</v>
      </c>
      <c r="V1" s="340" t="s">
        <v>1366</v>
      </c>
      <c r="W1" s="340" t="s">
        <v>1367</v>
      </c>
      <c r="X1" s="341" t="s">
        <v>1368</v>
      </c>
      <c r="Y1" s="341" t="s">
        <v>1369</v>
      </c>
      <c r="Z1" s="342" t="s">
        <v>1370</v>
      </c>
      <c r="AA1" s="342" t="s">
        <v>1371</v>
      </c>
      <c r="AB1" s="343" t="s">
        <v>1372</v>
      </c>
      <c r="AC1" s="344" t="s">
        <v>1373</v>
      </c>
      <c r="AD1" s="310" t="s">
        <v>1374</v>
      </c>
      <c r="AE1" s="182"/>
      <c r="AF1" s="265"/>
      <c r="AG1" s="265"/>
      <c r="AH1" s="265"/>
      <c r="AI1" s="345" t="s">
        <v>389</v>
      </c>
      <c r="AJ1" s="346" t="s">
        <v>420</v>
      </c>
      <c r="AK1" s="347" t="s">
        <v>358</v>
      </c>
      <c r="AL1" s="348" t="s">
        <v>363</v>
      </c>
      <c r="AM1" s="349" t="s">
        <v>413</v>
      </c>
      <c r="AN1" s="350" t="s">
        <v>357</v>
      </c>
      <c r="AO1" s="351" t="s">
        <v>380</v>
      </c>
      <c r="AP1" s="352" t="s">
        <v>387</v>
      </c>
      <c r="AQ1" s="353" t="s">
        <v>1375</v>
      </c>
      <c r="AR1" s="353" t="s">
        <v>1376</v>
      </c>
    </row>
    <row r="2">
      <c r="A2" s="157">
        <v>1.0</v>
      </c>
      <c r="B2" s="157" t="s">
        <v>279</v>
      </c>
      <c r="C2" s="46" t="s">
        <v>276</v>
      </c>
      <c r="D2" s="98" t="s">
        <v>932</v>
      </c>
      <c r="E2" s="631">
        <v>40373.0</v>
      </c>
      <c r="F2" s="265"/>
      <c r="G2" s="265"/>
      <c r="H2" s="265"/>
      <c r="I2" s="265"/>
      <c r="J2" s="265"/>
      <c r="K2" s="265"/>
      <c r="L2" s="265"/>
      <c r="M2" s="265"/>
      <c r="N2" s="265"/>
      <c r="O2" s="265"/>
      <c r="P2" s="265"/>
      <c r="Q2" s="265"/>
      <c r="R2" s="157">
        <v>0.0</v>
      </c>
      <c r="S2" s="157">
        <v>0.0</v>
      </c>
      <c r="T2" s="157">
        <v>0.0</v>
      </c>
      <c r="U2" s="157">
        <v>0.0</v>
      </c>
      <c r="V2" s="157" t="s">
        <v>354</v>
      </c>
      <c r="W2" s="157" t="s">
        <v>354</v>
      </c>
      <c r="X2" s="355" t="s">
        <v>365</v>
      </c>
      <c r="Y2" s="90" t="s">
        <v>413</v>
      </c>
      <c r="Z2" s="356" t="s">
        <v>365</v>
      </c>
      <c r="AA2" s="90" t="s">
        <v>413</v>
      </c>
      <c r="AB2" s="144" t="s">
        <v>365</v>
      </c>
      <c r="AC2" s="90" t="s">
        <v>413</v>
      </c>
      <c r="AD2" s="357">
        <f t="shared" ref="AD2:AD67" si="1">sum(COUNTIF(X2:AC2,"POS"),countif(R2,"&gt;0"))</f>
        <v>3</v>
      </c>
      <c r="AE2" s="265"/>
      <c r="AF2" s="265"/>
      <c r="AG2" s="265"/>
      <c r="AH2" s="265"/>
      <c r="AI2" s="157">
        <v>0.0</v>
      </c>
      <c r="AJ2" s="157">
        <v>0.0</v>
      </c>
      <c r="AK2" s="157">
        <v>0.0</v>
      </c>
      <c r="AL2" s="157">
        <v>0.0</v>
      </c>
      <c r="AM2" s="157">
        <v>3.0</v>
      </c>
      <c r="AN2" s="157">
        <v>0.0</v>
      </c>
      <c r="AO2" s="157">
        <v>0.0</v>
      </c>
      <c r="AP2" s="157">
        <v>0.0</v>
      </c>
      <c r="AQ2" s="358">
        <f t="shared" ref="AQ2:AQ67" si="2">sum(AI2:AP2)</f>
        <v>3</v>
      </c>
      <c r="AR2" s="358">
        <f t="shared" ref="AR2:AR65" si="3">countif(AI2:AP2,"&gt;0")</f>
        <v>1</v>
      </c>
    </row>
    <row r="3">
      <c r="A3" s="157">
        <v>2.0</v>
      </c>
      <c r="B3" s="157" t="s">
        <v>288</v>
      </c>
      <c r="C3" s="63" t="s">
        <v>939</v>
      </c>
      <c r="D3" s="482" t="s">
        <v>940</v>
      </c>
      <c r="E3" s="631">
        <v>40373.0</v>
      </c>
      <c r="F3" s="265"/>
      <c r="G3" s="265"/>
      <c r="H3" s="265"/>
      <c r="I3" s="265"/>
      <c r="J3" s="265"/>
      <c r="K3" s="265"/>
      <c r="L3" s="265"/>
      <c r="M3" s="265"/>
      <c r="N3" s="265"/>
      <c r="O3" s="265"/>
      <c r="P3" s="265"/>
      <c r="Q3" s="265"/>
      <c r="R3" s="157">
        <v>0.0</v>
      </c>
      <c r="S3" s="157">
        <v>0.0</v>
      </c>
      <c r="T3" s="157">
        <v>0.0</v>
      </c>
      <c r="U3" s="157">
        <v>0.0</v>
      </c>
      <c r="V3" s="157" t="s">
        <v>354</v>
      </c>
      <c r="W3" s="157" t="s">
        <v>354</v>
      </c>
      <c r="X3" s="384" t="s">
        <v>356</v>
      </c>
      <c r="Y3" s="384" t="s">
        <v>354</v>
      </c>
      <c r="Z3" s="632" t="s">
        <v>356</v>
      </c>
      <c r="AA3" s="632" t="s">
        <v>354</v>
      </c>
      <c r="AB3" s="139" t="s">
        <v>356</v>
      </c>
      <c r="AC3" s="139" t="s">
        <v>354</v>
      </c>
      <c r="AD3" s="46">
        <f t="shared" si="1"/>
        <v>0</v>
      </c>
      <c r="AE3" s="265"/>
      <c r="AF3" s="265"/>
      <c r="AG3" s="265"/>
      <c r="AH3" s="265"/>
      <c r="AI3" s="157">
        <v>0.0</v>
      </c>
      <c r="AJ3" s="157">
        <v>0.0</v>
      </c>
      <c r="AK3" s="157">
        <v>0.0</v>
      </c>
      <c r="AL3" s="157">
        <v>0.0</v>
      </c>
      <c r="AM3" s="157">
        <v>0.0</v>
      </c>
      <c r="AN3" s="157">
        <v>0.0</v>
      </c>
      <c r="AO3" s="157">
        <v>0.0</v>
      </c>
      <c r="AP3" s="157">
        <v>0.0</v>
      </c>
      <c r="AQ3" s="182">
        <f t="shared" si="2"/>
        <v>0</v>
      </c>
      <c r="AR3" s="182">
        <f t="shared" si="3"/>
        <v>0</v>
      </c>
    </row>
    <row r="4">
      <c r="A4" s="157">
        <v>3.0</v>
      </c>
      <c r="B4" s="157" t="s">
        <v>150</v>
      </c>
      <c r="C4" s="46" t="s">
        <v>147</v>
      </c>
      <c r="D4" s="98" t="s">
        <v>626</v>
      </c>
      <c r="E4" s="631">
        <v>40373.0</v>
      </c>
      <c r="F4" s="265"/>
      <c r="G4" s="265"/>
      <c r="H4" s="265"/>
      <c r="I4" s="265"/>
      <c r="J4" s="265"/>
      <c r="K4" s="265"/>
      <c r="L4" s="265"/>
      <c r="M4" s="265"/>
      <c r="N4" s="265"/>
      <c r="O4" s="265"/>
      <c r="P4" s="265"/>
      <c r="Q4" s="265"/>
      <c r="R4" s="157">
        <v>0.0</v>
      </c>
      <c r="S4" s="157">
        <v>0.0</v>
      </c>
      <c r="T4" s="157">
        <v>0.0</v>
      </c>
      <c r="U4" s="157">
        <v>0.0</v>
      </c>
      <c r="V4" s="157" t="s">
        <v>354</v>
      </c>
      <c r="W4" s="157" t="s">
        <v>354</v>
      </c>
      <c r="X4" s="355" t="s">
        <v>365</v>
      </c>
      <c r="Y4" s="40" t="s">
        <v>357</v>
      </c>
      <c r="Z4" s="365" t="s">
        <v>365</v>
      </c>
      <c r="AA4" s="391" t="s">
        <v>380</v>
      </c>
      <c r="AB4" s="144" t="s">
        <v>365</v>
      </c>
      <c r="AC4" s="143" t="s">
        <v>358</v>
      </c>
      <c r="AD4" s="357">
        <f t="shared" si="1"/>
        <v>3</v>
      </c>
      <c r="AE4" s="265"/>
      <c r="AF4" s="265"/>
      <c r="AG4" s="265"/>
      <c r="AH4" s="265"/>
      <c r="AI4" s="157">
        <v>0.0</v>
      </c>
      <c r="AJ4" s="157">
        <v>0.0</v>
      </c>
      <c r="AK4" s="157">
        <v>1.0</v>
      </c>
      <c r="AL4" s="157">
        <v>0.0</v>
      </c>
      <c r="AM4" s="157">
        <v>0.0</v>
      </c>
      <c r="AN4" s="157">
        <v>1.0</v>
      </c>
      <c r="AO4" s="157">
        <v>1.0</v>
      </c>
      <c r="AP4" s="157">
        <v>0.0</v>
      </c>
      <c r="AQ4" s="358">
        <f t="shared" si="2"/>
        <v>3</v>
      </c>
      <c r="AR4" s="358">
        <f t="shared" si="3"/>
        <v>3</v>
      </c>
    </row>
    <row r="5">
      <c r="A5" s="157">
        <v>4.0</v>
      </c>
      <c r="B5" s="157" t="s">
        <v>274</v>
      </c>
      <c r="C5" s="46" t="s">
        <v>271</v>
      </c>
      <c r="D5" s="18" t="s">
        <v>924</v>
      </c>
      <c r="E5" s="631">
        <v>40373.0</v>
      </c>
      <c r="F5" s="265"/>
      <c r="G5" s="265"/>
      <c r="H5" s="265"/>
      <c r="I5" s="265"/>
      <c r="J5" s="265"/>
      <c r="K5" s="265"/>
      <c r="L5" s="265"/>
      <c r="M5" s="265"/>
      <c r="N5" s="265"/>
      <c r="O5" s="265"/>
      <c r="P5" s="265"/>
      <c r="Q5" s="265"/>
      <c r="R5" s="157">
        <v>0.0</v>
      </c>
      <c r="S5" s="157">
        <v>0.0</v>
      </c>
      <c r="T5" s="157">
        <v>0.0</v>
      </c>
      <c r="U5" s="157">
        <v>0.0</v>
      </c>
      <c r="V5" s="157" t="s">
        <v>354</v>
      </c>
      <c r="W5" s="157" t="s">
        <v>354</v>
      </c>
      <c r="X5" s="355" t="s">
        <v>365</v>
      </c>
      <c r="Y5" s="40" t="s">
        <v>357</v>
      </c>
      <c r="Z5" s="392" t="s">
        <v>361</v>
      </c>
      <c r="AA5" s="392" t="s">
        <v>361</v>
      </c>
      <c r="AB5" s="144" t="s">
        <v>365</v>
      </c>
      <c r="AC5" s="40" t="s">
        <v>357</v>
      </c>
      <c r="AD5" s="357">
        <f t="shared" si="1"/>
        <v>2</v>
      </c>
      <c r="AE5" s="265"/>
      <c r="AF5" s="265"/>
      <c r="AG5" s="265"/>
      <c r="AH5" s="265"/>
      <c r="AI5" s="157">
        <v>0.0</v>
      </c>
      <c r="AJ5" s="157">
        <v>0.0</v>
      </c>
      <c r="AK5" s="157">
        <v>0.0</v>
      </c>
      <c r="AL5" s="157">
        <v>0.0</v>
      </c>
      <c r="AM5" s="157">
        <v>0.0</v>
      </c>
      <c r="AN5" s="157">
        <v>2.0</v>
      </c>
      <c r="AO5" s="157">
        <v>0.0</v>
      </c>
      <c r="AP5" s="157">
        <v>0.0</v>
      </c>
      <c r="AQ5" s="358">
        <f t="shared" si="2"/>
        <v>2</v>
      </c>
      <c r="AR5" s="358">
        <f t="shared" si="3"/>
        <v>1</v>
      </c>
    </row>
    <row r="6">
      <c r="A6" s="157">
        <v>5.0</v>
      </c>
      <c r="B6" s="157" t="s">
        <v>61</v>
      </c>
      <c r="C6" s="49" t="s">
        <v>437</v>
      </c>
      <c r="D6" s="18" t="s">
        <v>438</v>
      </c>
      <c r="E6" s="631">
        <v>40373.0</v>
      </c>
      <c r="F6" s="265"/>
      <c r="G6" s="265"/>
      <c r="H6" s="265"/>
      <c r="I6" s="265"/>
      <c r="J6" s="265"/>
      <c r="K6" s="265"/>
      <c r="L6" s="265"/>
      <c r="M6" s="265"/>
      <c r="N6" s="265"/>
      <c r="O6" s="265"/>
      <c r="P6" s="265"/>
      <c r="Q6" s="265"/>
      <c r="R6" s="157">
        <v>0.0</v>
      </c>
      <c r="S6" s="157">
        <v>0.0</v>
      </c>
      <c r="T6" s="157">
        <v>0.0</v>
      </c>
      <c r="U6" s="157">
        <v>0.0</v>
      </c>
      <c r="V6" s="157" t="s">
        <v>354</v>
      </c>
      <c r="W6" s="157" t="s">
        <v>354</v>
      </c>
      <c r="X6" s="355" t="s">
        <v>365</v>
      </c>
      <c r="Y6" s="40" t="s">
        <v>357</v>
      </c>
      <c r="Z6" s="356" t="s">
        <v>365</v>
      </c>
      <c r="AA6" s="40" t="s">
        <v>357</v>
      </c>
      <c r="AB6" s="144" t="s">
        <v>365</v>
      </c>
      <c r="AC6" s="40" t="s">
        <v>357</v>
      </c>
      <c r="AD6" s="357">
        <f t="shared" si="1"/>
        <v>3</v>
      </c>
      <c r="AE6" s="265"/>
      <c r="AF6" s="265"/>
      <c r="AG6" s="265"/>
      <c r="AH6" s="265"/>
      <c r="AI6" s="157">
        <v>0.0</v>
      </c>
      <c r="AJ6" s="157">
        <v>0.0</v>
      </c>
      <c r="AK6" s="157">
        <v>0.0</v>
      </c>
      <c r="AL6" s="157">
        <v>0.0</v>
      </c>
      <c r="AM6" s="157">
        <v>0.0</v>
      </c>
      <c r="AN6" s="157">
        <v>3.0</v>
      </c>
      <c r="AO6" s="157">
        <v>0.0</v>
      </c>
      <c r="AP6" s="157">
        <v>0.0</v>
      </c>
      <c r="AQ6" s="358">
        <f t="shared" si="2"/>
        <v>3</v>
      </c>
      <c r="AR6" s="358">
        <f t="shared" si="3"/>
        <v>1</v>
      </c>
    </row>
    <row r="7">
      <c r="A7" s="157">
        <v>6.0</v>
      </c>
      <c r="B7" s="157" t="s">
        <v>74</v>
      </c>
      <c r="C7" s="46" t="s">
        <v>71</v>
      </c>
      <c r="D7" s="18" t="s">
        <v>459</v>
      </c>
      <c r="E7" s="631">
        <v>40373.0</v>
      </c>
      <c r="F7" s="265"/>
      <c r="G7" s="265"/>
      <c r="H7" s="265"/>
      <c r="I7" s="265"/>
      <c r="J7" s="265"/>
      <c r="K7" s="265"/>
      <c r="L7" s="265"/>
      <c r="M7" s="265"/>
      <c r="N7" s="265"/>
      <c r="O7" s="265"/>
      <c r="P7" s="265"/>
      <c r="Q7" s="265"/>
      <c r="R7" s="157">
        <v>0.0</v>
      </c>
      <c r="S7" s="157">
        <v>0.0</v>
      </c>
      <c r="T7" s="157">
        <v>0.0</v>
      </c>
      <c r="U7" s="157">
        <v>0.0</v>
      </c>
      <c r="V7" s="157" t="s">
        <v>354</v>
      </c>
      <c r="W7" s="157" t="s">
        <v>354</v>
      </c>
      <c r="X7" s="355" t="s">
        <v>365</v>
      </c>
      <c r="Y7" s="40" t="s">
        <v>357</v>
      </c>
      <c r="Z7" s="392" t="s">
        <v>361</v>
      </c>
      <c r="AA7" s="392" t="s">
        <v>361</v>
      </c>
      <c r="AB7" s="144" t="s">
        <v>365</v>
      </c>
      <c r="AC7" s="162" t="s">
        <v>363</v>
      </c>
      <c r="AD7" s="357">
        <f t="shared" si="1"/>
        <v>2</v>
      </c>
      <c r="AE7" s="265"/>
      <c r="AF7" s="265"/>
      <c r="AG7" s="265"/>
      <c r="AH7" s="265"/>
      <c r="AI7" s="157">
        <v>0.0</v>
      </c>
      <c r="AJ7" s="157">
        <v>0.0</v>
      </c>
      <c r="AK7" s="157">
        <v>0.0</v>
      </c>
      <c r="AL7" s="157">
        <v>1.0</v>
      </c>
      <c r="AM7" s="157">
        <v>0.0</v>
      </c>
      <c r="AN7" s="157">
        <v>1.0</v>
      </c>
      <c r="AO7" s="157">
        <v>0.0</v>
      </c>
      <c r="AP7" s="157">
        <v>0.0</v>
      </c>
      <c r="AQ7" s="358">
        <f t="shared" si="2"/>
        <v>2</v>
      </c>
      <c r="AR7" s="358">
        <f t="shared" si="3"/>
        <v>2</v>
      </c>
    </row>
    <row r="8">
      <c r="A8" s="157">
        <v>7.0</v>
      </c>
      <c r="B8" s="157" t="s">
        <v>80</v>
      </c>
      <c r="C8" s="46" t="s">
        <v>80</v>
      </c>
      <c r="D8" s="18" t="s">
        <v>467</v>
      </c>
      <c r="E8" s="631">
        <v>40373.0</v>
      </c>
      <c r="F8" s="265"/>
      <c r="G8" s="265"/>
      <c r="H8" s="265"/>
      <c r="I8" s="265"/>
      <c r="J8" s="265"/>
      <c r="K8" s="265"/>
      <c r="L8" s="265"/>
      <c r="M8" s="265"/>
      <c r="N8" s="265"/>
      <c r="O8" s="265"/>
      <c r="P8" s="265"/>
      <c r="Q8" s="265"/>
      <c r="R8" s="157">
        <v>0.0</v>
      </c>
      <c r="S8" s="157">
        <v>0.0</v>
      </c>
      <c r="T8" s="157">
        <v>0.0</v>
      </c>
      <c r="U8" s="157">
        <v>0.0</v>
      </c>
      <c r="V8" s="157" t="s">
        <v>354</v>
      </c>
      <c r="W8" s="157" t="s">
        <v>354</v>
      </c>
      <c r="X8" s="384" t="s">
        <v>356</v>
      </c>
      <c r="Y8" s="384" t="s">
        <v>354</v>
      </c>
      <c r="Z8" s="632" t="s">
        <v>356</v>
      </c>
      <c r="AA8" s="632" t="s">
        <v>354</v>
      </c>
      <c r="AB8" s="139" t="s">
        <v>356</v>
      </c>
      <c r="AC8" s="139" t="s">
        <v>354</v>
      </c>
      <c r="AD8" s="46">
        <f t="shared" si="1"/>
        <v>0</v>
      </c>
      <c r="AE8" s="265"/>
      <c r="AF8" s="265"/>
      <c r="AG8" s="265"/>
      <c r="AH8" s="265"/>
      <c r="AI8" s="157">
        <v>0.0</v>
      </c>
      <c r="AJ8" s="157">
        <v>0.0</v>
      </c>
      <c r="AK8" s="157">
        <v>0.0</v>
      </c>
      <c r="AL8" s="157">
        <v>0.0</v>
      </c>
      <c r="AM8" s="157">
        <v>0.0</v>
      </c>
      <c r="AN8" s="157">
        <v>0.0</v>
      </c>
      <c r="AO8" s="157">
        <v>0.0</v>
      </c>
      <c r="AP8" s="157">
        <v>0.0</v>
      </c>
      <c r="AQ8" s="182">
        <f t="shared" si="2"/>
        <v>0</v>
      </c>
      <c r="AR8" s="182">
        <f t="shared" si="3"/>
        <v>0</v>
      </c>
    </row>
    <row r="9">
      <c r="A9" s="157">
        <v>8.0</v>
      </c>
      <c r="B9" s="157" t="s">
        <v>84</v>
      </c>
      <c r="C9" s="46" t="s">
        <v>84</v>
      </c>
      <c r="D9" s="18" t="s">
        <v>474</v>
      </c>
      <c r="E9" s="631">
        <v>40373.0</v>
      </c>
      <c r="F9" s="265"/>
      <c r="G9" s="265"/>
      <c r="H9" s="265"/>
      <c r="I9" s="265"/>
      <c r="J9" s="265"/>
      <c r="K9" s="265"/>
      <c r="L9" s="265"/>
      <c r="M9" s="265"/>
      <c r="N9" s="265"/>
      <c r="O9" s="265"/>
      <c r="P9" s="265"/>
      <c r="Q9" s="265"/>
      <c r="R9" s="157">
        <v>0.0</v>
      </c>
      <c r="S9" s="157">
        <v>0.0</v>
      </c>
      <c r="T9" s="157">
        <v>0.0</v>
      </c>
      <c r="U9" s="157">
        <v>0.0</v>
      </c>
      <c r="V9" s="157" t="s">
        <v>354</v>
      </c>
      <c r="W9" s="157" t="s">
        <v>354</v>
      </c>
      <c r="X9" s="384" t="s">
        <v>356</v>
      </c>
      <c r="Y9" s="384" t="s">
        <v>354</v>
      </c>
      <c r="Z9" s="632" t="s">
        <v>356</v>
      </c>
      <c r="AA9" s="632" t="s">
        <v>354</v>
      </c>
      <c r="AB9" s="633" t="s">
        <v>365</v>
      </c>
      <c r="AC9" s="391" t="s">
        <v>380</v>
      </c>
      <c r="AD9" s="357">
        <f t="shared" si="1"/>
        <v>1</v>
      </c>
      <c r="AE9" s="265"/>
      <c r="AF9" s="265"/>
      <c r="AG9" s="265"/>
      <c r="AH9" s="265"/>
      <c r="AI9" s="157">
        <v>0.0</v>
      </c>
      <c r="AJ9" s="157">
        <v>0.0</v>
      </c>
      <c r="AK9" s="157">
        <v>0.0</v>
      </c>
      <c r="AL9" s="157">
        <v>0.0</v>
      </c>
      <c r="AM9" s="157">
        <v>0.0</v>
      </c>
      <c r="AN9" s="157">
        <v>0.0</v>
      </c>
      <c r="AO9" s="157">
        <v>1.0</v>
      </c>
      <c r="AP9" s="157">
        <v>0.0</v>
      </c>
      <c r="AQ9" s="363">
        <f t="shared" si="2"/>
        <v>1</v>
      </c>
      <c r="AR9" s="363">
        <f t="shared" si="3"/>
        <v>1</v>
      </c>
    </row>
    <row r="10">
      <c r="A10" s="157">
        <v>9.0</v>
      </c>
      <c r="B10" s="157" t="s">
        <v>91</v>
      </c>
      <c r="C10" s="48" t="s">
        <v>88</v>
      </c>
      <c r="D10" s="98" t="s">
        <v>499</v>
      </c>
      <c r="E10" s="631">
        <v>40373.0</v>
      </c>
      <c r="F10" s="265"/>
      <c r="G10" s="265"/>
      <c r="H10" s="265"/>
      <c r="I10" s="265"/>
      <c r="J10" s="265"/>
      <c r="K10" s="265"/>
      <c r="L10" s="265"/>
      <c r="M10" s="265"/>
      <c r="N10" s="265"/>
      <c r="O10" s="265"/>
      <c r="P10" s="265"/>
      <c r="Q10" s="265"/>
      <c r="R10" s="157">
        <v>0.0</v>
      </c>
      <c r="S10" s="157">
        <v>0.0</v>
      </c>
      <c r="T10" s="157">
        <v>0.0</v>
      </c>
      <c r="U10" s="157">
        <v>0.0</v>
      </c>
      <c r="V10" s="157" t="s">
        <v>354</v>
      </c>
      <c r="W10" s="157" t="s">
        <v>354</v>
      </c>
      <c r="X10" s="355" t="s">
        <v>365</v>
      </c>
      <c r="Y10" s="40" t="s">
        <v>357</v>
      </c>
      <c r="Z10" s="356" t="s">
        <v>365</v>
      </c>
      <c r="AA10" s="40" t="s">
        <v>357</v>
      </c>
      <c r="AB10" s="144" t="s">
        <v>365</v>
      </c>
      <c r="AC10" s="40" t="s">
        <v>357</v>
      </c>
      <c r="AD10" s="357">
        <f t="shared" si="1"/>
        <v>3</v>
      </c>
      <c r="AE10" s="265"/>
      <c r="AF10" s="265"/>
      <c r="AG10" s="265"/>
      <c r="AH10" s="265"/>
      <c r="AI10" s="157">
        <v>0.0</v>
      </c>
      <c r="AJ10" s="157">
        <v>0.0</v>
      </c>
      <c r="AK10" s="157">
        <v>0.0</v>
      </c>
      <c r="AL10" s="157">
        <v>0.0</v>
      </c>
      <c r="AM10" s="157">
        <v>0.0</v>
      </c>
      <c r="AN10" s="157">
        <v>3.0</v>
      </c>
      <c r="AO10" s="157">
        <v>0.0</v>
      </c>
      <c r="AP10" s="157">
        <v>0.0</v>
      </c>
      <c r="AQ10" s="358">
        <f t="shared" si="2"/>
        <v>3</v>
      </c>
      <c r="AR10" s="358">
        <f t="shared" si="3"/>
        <v>1</v>
      </c>
    </row>
    <row r="11">
      <c r="A11" s="157">
        <v>10.0</v>
      </c>
      <c r="B11" s="157" t="s">
        <v>94</v>
      </c>
      <c r="C11" s="46" t="s">
        <v>94</v>
      </c>
      <c r="D11" s="98" t="s">
        <v>506</v>
      </c>
      <c r="E11" s="631">
        <v>40373.0</v>
      </c>
      <c r="F11" s="265"/>
      <c r="G11" s="265"/>
      <c r="H11" s="265"/>
      <c r="I11" s="265"/>
      <c r="J11" s="265"/>
      <c r="K11" s="265"/>
      <c r="L11" s="265"/>
      <c r="M11" s="265"/>
      <c r="N11" s="265"/>
      <c r="O11" s="265"/>
      <c r="P11" s="265"/>
      <c r="Q11" s="265"/>
      <c r="R11" s="157">
        <v>0.0</v>
      </c>
      <c r="S11" s="157">
        <v>0.0</v>
      </c>
      <c r="T11" s="157">
        <v>0.0</v>
      </c>
      <c r="U11" s="157">
        <v>0.0</v>
      </c>
      <c r="V11" s="157" t="s">
        <v>354</v>
      </c>
      <c r="W11" s="157" t="s">
        <v>354</v>
      </c>
      <c r="X11" s="384" t="s">
        <v>356</v>
      </c>
      <c r="Y11" s="384" t="s">
        <v>354</v>
      </c>
      <c r="Z11" s="356" t="s">
        <v>365</v>
      </c>
      <c r="AA11" s="40" t="s">
        <v>357</v>
      </c>
      <c r="AB11" s="139" t="s">
        <v>356</v>
      </c>
      <c r="AC11" s="139" t="s">
        <v>354</v>
      </c>
      <c r="AD11" s="357">
        <f t="shared" si="1"/>
        <v>1</v>
      </c>
      <c r="AE11" s="265"/>
      <c r="AF11" s="265"/>
      <c r="AG11" s="265"/>
      <c r="AH11" s="265"/>
      <c r="AI11" s="157">
        <v>0.0</v>
      </c>
      <c r="AJ11" s="157">
        <v>0.0</v>
      </c>
      <c r="AK11" s="157">
        <v>0.0</v>
      </c>
      <c r="AL11" s="157">
        <v>0.0</v>
      </c>
      <c r="AM11" s="157">
        <v>0.0</v>
      </c>
      <c r="AN11" s="157">
        <v>1.0</v>
      </c>
      <c r="AO11" s="157">
        <v>0.0</v>
      </c>
      <c r="AP11" s="157">
        <v>0.0</v>
      </c>
      <c r="AQ11" s="363">
        <f t="shared" si="2"/>
        <v>1</v>
      </c>
      <c r="AR11" s="363">
        <f t="shared" si="3"/>
        <v>1</v>
      </c>
    </row>
    <row r="12">
      <c r="A12" s="157">
        <v>11.0</v>
      </c>
      <c r="B12" s="157" t="s">
        <v>98</v>
      </c>
      <c r="C12" s="46" t="s">
        <v>98</v>
      </c>
      <c r="D12" s="98" t="s">
        <v>1610</v>
      </c>
      <c r="E12" s="631">
        <v>40373.0</v>
      </c>
      <c r="F12" s="265"/>
      <c r="G12" s="265"/>
      <c r="H12" s="265"/>
      <c r="I12" s="265"/>
      <c r="J12" s="265"/>
      <c r="K12" s="265"/>
      <c r="L12" s="265"/>
      <c r="M12" s="265"/>
      <c r="N12" s="265"/>
      <c r="O12" s="265"/>
      <c r="P12" s="265"/>
      <c r="Q12" s="265"/>
      <c r="R12" s="157">
        <v>0.0</v>
      </c>
      <c r="S12" s="157">
        <v>0.0</v>
      </c>
      <c r="T12" s="157">
        <v>0.0</v>
      </c>
      <c r="U12" s="157">
        <v>0.0</v>
      </c>
      <c r="V12" s="157" t="s">
        <v>354</v>
      </c>
      <c r="W12" s="157" t="s">
        <v>354</v>
      </c>
      <c r="X12" s="355" t="s">
        <v>365</v>
      </c>
      <c r="Y12" s="40" t="s">
        <v>357</v>
      </c>
      <c r="Z12" s="356" t="s">
        <v>365</v>
      </c>
      <c r="AA12" s="40" t="s">
        <v>357</v>
      </c>
      <c r="AB12" s="144" t="s">
        <v>365</v>
      </c>
      <c r="AC12" s="40" t="s">
        <v>357</v>
      </c>
      <c r="AD12" s="357">
        <f t="shared" si="1"/>
        <v>3</v>
      </c>
      <c r="AE12" s="265"/>
      <c r="AF12" s="265"/>
      <c r="AG12" s="265"/>
      <c r="AH12" s="265"/>
      <c r="AI12" s="157">
        <v>0.0</v>
      </c>
      <c r="AJ12" s="157">
        <v>0.0</v>
      </c>
      <c r="AK12" s="157">
        <v>0.0</v>
      </c>
      <c r="AL12" s="157">
        <v>0.0</v>
      </c>
      <c r="AM12" s="157">
        <v>0.0</v>
      </c>
      <c r="AN12" s="157">
        <v>3.0</v>
      </c>
      <c r="AO12" s="157">
        <v>0.0</v>
      </c>
      <c r="AP12" s="157">
        <v>0.0</v>
      </c>
      <c r="AQ12" s="358">
        <f t="shared" si="2"/>
        <v>3</v>
      </c>
      <c r="AR12" s="358">
        <f t="shared" si="3"/>
        <v>1</v>
      </c>
    </row>
    <row r="13">
      <c r="A13" s="157">
        <v>12.0</v>
      </c>
      <c r="B13" s="157" t="s">
        <v>101</v>
      </c>
      <c r="C13" s="46" t="s">
        <v>101</v>
      </c>
      <c r="D13" s="18" t="s">
        <v>518</v>
      </c>
      <c r="E13" s="631">
        <v>40373.0</v>
      </c>
      <c r="F13" s="265"/>
      <c r="G13" s="265"/>
      <c r="H13" s="265"/>
      <c r="I13" s="265"/>
      <c r="J13" s="265"/>
      <c r="K13" s="265"/>
      <c r="L13" s="265"/>
      <c r="M13" s="265"/>
      <c r="N13" s="265"/>
      <c r="O13" s="265"/>
      <c r="P13" s="265"/>
      <c r="Q13" s="265"/>
      <c r="R13" s="140">
        <v>32.3</v>
      </c>
      <c r="S13" s="157">
        <v>0.0</v>
      </c>
      <c r="T13" s="157">
        <v>0.0</v>
      </c>
      <c r="U13" s="157">
        <v>0.0</v>
      </c>
      <c r="V13" s="157" t="s">
        <v>354</v>
      </c>
      <c r="W13" s="157" t="s">
        <v>354</v>
      </c>
      <c r="X13" s="384" t="s">
        <v>356</v>
      </c>
      <c r="Y13" s="384" t="s">
        <v>354</v>
      </c>
      <c r="Z13" s="356" t="s">
        <v>365</v>
      </c>
      <c r="AA13" s="40" t="s">
        <v>357</v>
      </c>
      <c r="AB13" s="144" t="s">
        <v>365</v>
      </c>
      <c r="AC13" s="40" t="s">
        <v>357</v>
      </c>
      <c r="AD13" s="357">
        <f t="shared" si="1"/>
        <v>3</v>
      </c>
      <c r="AE13" s="265"/>
      <c r="AF13" s="265"/>
      <c r="AG13" s="265"/>
      <c r="AH13" s="265"/>
      <c r="AI13" s="157">
        <v>0.0</v>
      </c>
      <c r="AJ13" s="157">
        <v>0.0</v>
      </c>
      <c r="AK13" s="157">
        <v>0.0</v>
      </c>
      <c r="AL13" s="157">
        <v>0.0</v>
      </c>
      <c r="AM13" s="157">
        <v>0.0</v>
      </c>
      <c r="AN13" s="157">
        <v>2.0</v>
      </c>
      <c r="AO13" s="157">
        <v>0.0</v>
      </c>
      <c r="AP13" s="157">
        <v>0.0</v>
      </c>
      <c r="AQ13" s="358">
        <f t="shared" si="2"/>
        <v>2</v>
      </c>
      <c r="AR13" s="358">
        <f t="shared" si="3"/>
        <v>1</v>
      </c>
    </row>
    <row r="14">
      <c r="A14" s="157">
        <v>13.0</v>
      </c>
      <c r="B14" s="157" t="s">
        <v>105</v>
      </c>
      <c r="C14" s="46" t="s">
        <v>105</v>
      </c>
      <c r="D14" s="18" t="s">
        <v>522</v>
      </c>
      <c r="E14" s="631">
        <v>40373.0</v>
      </c>
      <c r="F14" s="265"/>
      <c r="G14" s="265"/>
      <c r="H14" s="265"/>
      <c r="I14" s="265"/>
      <c r="J14" s="265"/>
      <c r="K14" s="265"/>
      <c r="L14" s="265"/>
      <c r="M14" s="265"/>
      <c r="N14" s="265"/>
      <c r="O14" s="265"/>
      <c r="P14" s="265"/>
      <c r="Q14" s="265"/>
      <c r="R14" s="140">
        <v>29.26</v>
      </c>
      <c r="S14" s="157">
        <v>0.0</v>
      </c>
      <c r="T14" s="157">
        <v>0.0</v>
      </c>
      <c r="U14" s="157">
        <v>0.0</v>
      </c>
      <c r="V14" s="157" t="s">
        <v>354</v>
      </c>
      <c r="W14" s="157" t="s">
        <v>354</v>
      </c>
      <c r="X14" s="355" t="s">
        <v>365</v>
      </c>
      <c r="Y14" s="143" t="s">
        <v>358</v>
      </c>
      <c r="Z14" s="356" t="s">
        <v>365</v>
      </c>
      <c r="AA14" s="143" t="s">
        <v>358</v>
      </c>
      <c r="AB14" s="144" t="s">
        <v>365</v>
      </c>
      <c r="AC14" s="143" t="s">
        <v>358</v>
      </c>
      <c r="AD14" s="357">
        <f t="shared" si="1"/>
        <v>4</v>
      </c>
      <c r="AE14" s="265"/>
      <c r="AF14" s="265"/>
      <c r="AG14" s="265"/>
      <c r="AH14" s="265"/>
      <c r="AI14" s="157">
        <v>0.0</v>
      </c>
      <c r="AJ14" s="157">
        <v>0.0</v>
      </c>
      <c r="AK14" s="157">
        <v>3.0</v>
      </c>
      <c r="AL14" s="157">
        <v>0.0</v>
      </c>
      <c r="AM14" s="157">
        <v>0.0</v>
      </c>
      <c r="AN14" s="157">
        <v>0.0</v>
      </c>
      <c r="AO14" s="157">
        <v>0.0</v>
      </c>
      <c r="AP14" s="157">
        <v>0.0</v>
      </c>
      <c r="AQ14" s="358">
        <f t="shared" si="2"/>
        <v>3</v>
      </c>
      <c r="AR14" s="358">
        <f t="shared" si="3"/>
        <v>1</v>
      </c>
    </row>
    <row r="15">
      <c r="A15" s="157">
        <v>14.0</v>
      </c>
      <c r="B15" s="157" t="s">
        <v>109</v>
      </c>
      <c r="C15" s="46" t="s">
        <v>109</v>
      </c>
      <c r="D15" s="18" t="s">
        <v>536</v>
      </c>
      <c r="E15" s="631">
        <v>40373.0</v>
      </c>
      <c r="F15" s="265"/>
      <c r="G15" s="265"/>
      <c r="H15" s="265"/>
      <c r="I15" s="265"/>
      <c r="J15" s="265"/>
      <c r="K15" s="265"/>
      <c r="L15" s="265"/>
      <c r="M15" s="265"/>
      <c r="N15" s="265"/>
      <c r="O15" s="265"/>
      <c r="P15" s="265"/>
      <c r="Q15" s="265"/>
      <c r="R15" s="77">
        <v>43.71</v>
      </c>
      <c r="S15" s="157">
        <v>0.0</v>
      </c>
      <c r="T15" s="157">
        <v>0.0</v>
      </c>
      <c r="U15" s="157">
        <v>0.0</v>
      </c>
      <c r="V15" s="157" t="s">
        <v>354</v>
      </c>
      <c r="W15" s="157" t="s">
        <v>354</v>
      </c>
      <c r="X15" s="355" t="s">
        <v>365</v>
      </c>
      <c r="Y15" s="90" t="s">
        <v>413</v>
      </c>
      <c r="Z15" s="356" t="s">
        <v>365</v>
      </c>
      <c r="AA15" s="90" t="s">
        <v>413</v>
      </c>
      <c r="AB15" s="144" t="s">
        <v>365</v>
      </c>
      <c r="AC15" s="90" t="s">
        <v>413</v>
      </c>
      <c r="AD15" s="357">
        <f t="shared" si="1"/>
        <v>4</v>
      </c>
      <c r="AE15" s="265"/>
      <c r="AF15" s="265"/>
      <c r="AG15" s="265"/>
      <c r="AH15" s="265"/>
      <c r="AI15" s="157">
        <v>0.0</v>
      </c>
      <c r="AJ15" s="157">
        <v>0.0</v>
      </c>
      <c r="AK15" s="157">
        <v>0.0</v>
      </c>
      <c r="AL15" s="157">
        <v>0.0</v>
      </c>
      <c r="AM15" s="157">
        <v>3.0</v>
      </c>
      <c r="AN15" s="157">
        <v>0.0</v>
      </c>
      <c r="AO15" s="157">
        <v>0.0</v>
      </c>
      <c r="AP15" s="157">
        <v>0.0</v>
      </c>
      <c r="AQ15" s="358">
        <f t="shared" si="2"/>
        <v>3</v>
      </c>
      <c r="AR15" s="358">
        <f t="shared" si="3"/>
        <v>1</v>
      </c>
    </row>
    <row r="16">
      <c r="A16" s="157">
        <v>15.0</v>
      </c>
      <c r="B16" s="157" t="s">
        <v>113</v>
      </c>
      <c r="C16" s="46" t="s">
        <v>113</v>
      </c>
      <c r="D16" s="98" t="s">
        <v>541</v>
      </c>
      <c r="E16" s="631">
        <v>40373.0</v>
      </c>
      <c r="F16" s="265"/>
      <c r="G16" s="265"/>
      <c r="H16" s="265"/>
      <c r="I16" s="265"/>
      <c r="J16" s="265"/>
      <c r="K16" s="265"/>
      <c r="L16" s="265"/>
      <c r="M16" s="265"/>
      <c r="N16" s="265"/>
      <c r="O16" s="265"/>
      <c r="P16" s="265"/>
      <c r="Q16" s="265"/>
      <c r="R16" s="157">
        <v>0.0</v>
      </c>
      <c r="S16" s="157">
        <v>0.0</v>
      </c>
      <c r="T16" s="157">
        <v>0.0</v>
      </c>
      <c r="U16" s="157">
        <v>0.0</v>
      </c>
      <c r="V16" s="157" t="s">
        <v>354</v>
      </c>
      <c r="W16" s="157" t="s">
        <v>354</v>
      </c>
      <c r="X16" s="384" t="s">
        <v>356</v>
      </c>
      <c r="Y16" s="384" t="s">
        <v>354</v>
      </c>
      <c r="Z16" s="632" t="s">
        <v>356</v>
      </c>
      <c r="AA16" s="632" t="s">
        <v>354</v>
      </c>
      <c r="AB16" s="139" t="s">
        <v>356</v>
      </c>
      <c r="AC16" s="139" t="s">
        <v>354</v>
      </c>
      <c r="AD16" s="46">
        <f t="shared" si="1"/>
        <v>0</v>
      </c>
      <c r="AE16" s="265"/>
      <c r="AF16" s="265"/>
      <c r="AG16" s="265"/>
      <c r="AH16" s="265"/>
      <c r="AI16" s="157">
        <v>0.0</v>
      </c>
      <c r="AJ16" s="157">
        <v>0.0</v>
      </c>
      <c r="AK16" s="157">
        <v>0.0</v>
      </c>
      <c r="AL16" s="157">
        <v>0.0</v>
      </c>
      <c r="AM16" s="157">
        <v>0.0</v>
      </c>
      <c r="AN16" s="157">
        <v>0.0</v>
      </c>
      <c r="AO16" s="157">
        <v>0.0</v>
      </c>
      <c r="AP16" s="157">
        <v>0.0</v>
      </c>
      <c r="AQ16" s="182">
        <f t="shared" si="2"/>
        <v>0</v>
      </c>
      <c r="AR16" s="182">
        <f t="shared" si="3"/>
        <v>0</v>
      </c>
    </row>
    <row r="17">
      <c r="A17" s="157">
        <v>16.0</v>
      </c>
      <c r="B17" s="157" t="s">
        <v>120</v>
      </c>
      <c r="C17" s="46" t="s">
        <v>120</v>
      </c>
      <c r="D17" s="18" t="s">
        <v>552</v>
      </c>
      <c r="E17" s="631">
        <v>40373.0</v>
      </c>
      <c r="F17" s="265"/>
      <c r="G17" s="265"/>
      <c r="H17" s="265"/>
      <c r="I17" s="265"/>
      <c r="J17" s="265"/>
      <c r="K17" s="265"/>
      <c r="L17" s="265"/>
      <c r="M17" s="265"/>
      <c r="N17" s="265"/>
      <c r="O17" s="265"/>
      <c r="P17" s="265"/>
      <c r="Q17" s="265"/>
      <c r="R17" s="157">
        <v>0.0</v>
      </c>
      <c r="S17" s="157">
        <v>0.0</v>
      </c>
      <c r="T17" s="157">
        <v>0.0</v>
      </c>
      <c r="U17" s="157">
        <v>0.0</v>
      </c>
      <c r="V17" s="157" t="s">
        <v>354</v>
      </c>
      <c r="W17" s="157" t="s">
        <v>354</v>
      </c>
      <c r="X17" s="355" t="s">
        <v>365</v>
      </c>
      <c r="Y17" s="90" t="s">
        <v>413</v>
      </c>
      <c r="Z17" s="356" t="s">
        <v>365</v>
      </c>
      <c r="AA17" s="90" t="s">
        <v>413</v>
      </c>
      <c r="AB17" s="144" t="s">
        <v>365</v>
      </c>
      <c r="AC17" s="90" t="s">
        <v>413</v>
      </c>
      <c r="AD17" s="357">
        <f t="shared" si="1"/>
        <v>3</v>
      </c>
      <c r="AE17" s="265"/>
      <c r="AF17" s="265"/>
      <c r="AG17" s="265"/>
      <c r="AH17" s="265"/>
      <c r="AI17" s="157">
        <v>0.0</v>
      </c>
      <c r="AJ17" s="157">
        <v>0.0</v>
      </c>
      <c r="AK17" s="157">
        <v>0.0</v>
      </c>
      <c r="AL17" s="157">
        <v>0.0</v>
      </c>
      <c r="AM17" s="157">
        <v>3.0</v>
      </c>
      <c r="AN17" s="157">
        <v>0.0</v>
      </c>
      <c r="AO17" s="157">
        <v>0.0</v>
      </c>
      <c r="AP17" s="157">
        <v>0.0</v>
      </c>
      <c r="AQ17" s="358">
        <f t="shared" si="2"/>
        <v>3</v>
      </c>
      <c r="AR17" s="358">
        <f t="shared" si="3"/>
        <v>1</v>
      </c>
    </row>
    <row r="18">
      <c r="A18" s="157">
        <v>17.0</v>
      </c>
      <c r="B18" s="157" t="s">
        <v>126</v>
      </c>
      <c r="C18" s="49" t="s">
        <v>560</v>
      </c>
      <c r="D18" s="18" t="s">
        <v>561</v>
      </c>
      <c r="E18" s="631">
        <v>40373.0</v>
      </c>
      <c r="F18" s="265"/>
      <c r="G18" s="265"/>
      <c r="H18" s="265"/>
      <c r="I18" s="265"/>
      <c r="J18" s="265"/>
      <c r="K18" s="265"/>
      <c r="L18" s="265"/>
      <c r="M18" s="265"/>
      <c r="N18" s="265"/>
      <c r="O18" s="265"/>
      <c r="P18" s="265"/>
      <c r="Q18" s="265"/>
      <c r="R18" s="157">
        <v>0.0</v>
      </c>
      <c r="S18" s="157">
        <v>0.0</v>
      </c>
      <c r="T18" s="157">
        <v>0.0</v>
      </c>
      <c r="U18" s="157">
        <v>0.0</v>
      </c>
      <c r="V18" s="157" t="s">
        <v>354</v>
      </c>
      <c r="W18" s="157" t="s">
        <v>354</v>
      </c>
      <c r="X18" s="384" t="s">
        <v>356</v>
      </c>
      <c r="Y18" s="384" t="s">
        <v>354</v>
      </c>
      <c r="Z18" s="356" t="s">
        <v>365</v>
      </c>
      <c r="AA18" s="162" t="s">
        <v>363</v>
      </c>
      <c r="AB18" s="144" t="s">
        <v>365</v>
      </c>
      <c r="AC18" s="162" t="s">
        <v>363</v>
      </c>
      <c r="AD18" s="357">
        <f t="shared" si="1"/>
        <v>2</v>
      </c>
      <c r="AE18" s="265"/>
      <c r="AF18" s="265"/>
      <c r="AG18" s="265"/>
      <c r="AH18" s="265"/>
      <c r="AI18" s="157">
        <v>0.0</v>
      </c>
      <c r="AJ18" s="157">
        <v>0.0</v>
      </c>
      <c r="AK18" s="157">
        <v>0.0</v>
      </c>
      <c r="AL18" s="157">
        <v>2.0</v>
      </c>
      <c r="AM18" s="157">
        <v>0.0</v>
      </c>
      <c r="AN18" s="157">
        <v>0.0</v>
      </c>
      <c r="AO18" s="157">
        <v>0.0</v>
      </c>
      <c r="AP18" s="157">
        <v>0.0</v>
      </c>
      <c r="AQ18" s="358">
        <f t="shared" si="2"/>
        <v>2</v>
      </c>
      <c r="AR18" s="358">
        <f t="shared" si="3"/>
        <v>1</v>
      </c>
    </row>
    <row r="19">
      <c r="A19" s="157">
        <v>18.0</v>
      </c>
      <c r="B19" s="157" t="s">
        <v>129</v>
      </c>
      <c r="C19" s="46" t="s">
        <v>129</v>
      </c>
      <c r="D19" s="18" t="s">
        <v>564</v>
      </c>
      <c r="E19" s="631">
        <v>40373.0</v>
      </c>
      <c r="F19" s="265"/>
      <c r="G19" s="265"/>
      <c r="H19" s="265"/>
      <c r="I19" s="265"/>
      <c r="J19" s="265"/>
      <c r="K19" s="265"/>
      <c r="L19" s="265"/>
      <c r="M19" s="265"/>
      <c r="N19" s="265"/>
      <c r="O19" s="265"/>
      <c r="P19" s="265"/>
      <c r="Q19" s="265"/>
      <c r="R19" s="157">
        <v>0.0</v>
      </c>
      <c r="S19" s="157">
        <v>0.0</v>
      </c>
      <c r="T19" s="157">
        <v>0.0</v>
      </c>
      <c r="U19" s="157">
        <v>0.0</v>
      </c>
      <c r="V19" s="157" t="s">
        <v>354</v>
      </c>
      <c r="W19" s="157" t="s">
        <v>354</v>
      </c>
      <c r="X19" s="384" t="s">
        <v>356</v>
      </c>
      <c r="Y19" s="384" t="s">
        <v>354</v>
      </c>
      <c r="Z19" s="632" t="s">
        <v>356</v>
      </c>
      <c r="AA19" s="632" t="s">
        <v>354</v>
      </c>
      <c r="AB19" s="139" t="s">
        <v>356</v>
      </c>
      <c r="AC19" s="139" t="s">
        <v>354</v>
      </c>
      <c r="AD19" s="46">
        <f t="shared" si="1"/>
        <v>0</v>
      </c>
      <c r="AE19" s="265"/>
      <c r="AF19" s="265"/>
      <c r="AG19" s="265"/>
      <c r="AH19" s="265"/>
      <c r="AI19" s="157">
        <v>0.0</v>
      </c>
      <c r="AJ19" s="157">
        <v>0.0</v>
      </c>
      <c r="AK19" s="157">
        <v>0.0</v>
      </c>
      <c r="AL19" s="157">
        <v>0.0</v>
      </c>
      <c r="AM19" s="157">
        <v>0.0</v>
      </c>
      <c r="AN19" s="157">
        <v>0.0</v>
      </c>
      <c r="AO19" s="157">
        <v>0.0</v>
      </c>
      <c r="AP19" s="157">
        <v>0.0</v>
      </c>
      <c r="AQ19" s="182">
        <f t="shared" si="2"/>
        <v>0</v>
      </c>
      <c r="AR19" s="182">
        <f t="shared" si="3"/>
        <v>0</v>
      </c>
    </row>
    <row r="20">
      <c r="A20" s="157">
        <v>19.0</v>
      </c>
      <c r="B20" s="157" t="s">
        <v>132</v>
      </c>
      <c r="C20" s="49" t="s">
        <v>1425</v>
      </c>
      <c r="D20" s="18" t="s">
        <v>573</v>
      </c>
      <c r="E20" s="631">
        <v>40373.0</v>
      </c>
      <c r="F20" s="265"/>
      <c r="G20" s="265"/>
      <c r="H20" s="265"/>
      <c r="I20" s="265"/>
      <c r="J20" s="265"/>
      <c r="K20" s="265"/>
      <c r="L20" s="265"/>
      <c r="M20" s="265"/>
      <c r="N20" s="265"/>
      <c r="O20" s="265"/>
      <c r="P20" s="265"/>
      <c r="Q20" s="265"/>
      <c r="R20" s="140">
        <v>30.51</v>
      </c>
      <c r="S20" s="157">
        <v>0.0</v>
      </c>
      <c r="T20" s="157">
        <v>0.0</v>
      </c>
      <c r="U20" s="157">
        <v>0.0</v>
      </c>
      <c r="V20" s="157" t="s">
        <v>354</v>
      </c>
      <c r="W20" s="157" t="s">
        <v>354</v>
      </c>
      <c r="X20" s="355" t="s">
        <v>365</v>
      </c>
      <c r="Y20" s="40" t="s">
        <v>357</v>
      </c>
      <c r="Z20" s="356" t="s">
        <v>365</v>
      </c>
      <c r="AA20" s="40" t="s">
        <v>357</v>
      </c>
      <c r="AB20" s="144" t="s">
        <v>365</v>
      </c>
      <c r="AC20" s="40" t="s">
        <v>357</v>
      </c>
      <c r="AD20" s="357">
        <f t="shared" si="1"/>
        <v>4</v>
      </c>
      <c r="AE20" s="265"/>
      <c r="AF20" s="265"/>
      <c r="AG20" s="265"/>
      <c r="AH20" s="265"/>
      <c r="AI20" s="157">
        <v>0.0</v>
      </c>
      <c r="AJ20" s="157">
        <v>0.0</v>
      </c>
      <c r="AK20" s="157">
        <v>0.0</v>
      </c>
      <c r="AL20" s="157">
        <v>0.0</v>
      </c>
      <c r="AM20" s="157">
        <v>0.0</v>
      </c>
      <c r="AN20" s="157">
        <v>3.0</v>
      </c>
      <c r="AO20" s="157">
        <v>0.0</v>
      </c>
      <c r="AP20" s="157">
        <v>0.0</v>
      </c>
      <c r="AQ20" s="358">
        <f t="shared" si="2"/>
        <v>3</v>
      </c>
      <c r="AR20" s="358">
        <f t="shared" si="3"/>
        <v>1</v>
      </c>
    </row>
    <row r="21">
      <c r="A21" s="157">
        <v>20.0</v>
      </c>
      <c r="B21" s="157" t="s">
        <v>135</v>
      </c>
      <c r="C21" s="46" t="s">
        <v>135</v>
      </c>
      <c r="D21" s="18" t="s">
        <v>596</v>
      </c>
      <c r="E21" s="631">
        <v>40373.0</v>
      </c>
      <c r="F21" s="265"/>
      <c r="G21" s="265"/>
      <c r="H21" s="265"/>
      <c r="I21" s="265"/>
      <c r="J21" s="265"/>
      <c r="K21" s="265"/>
      <c r="L21" s="265"/>
      <c r="M21" s="265"/>
      <c r="N21" s="265"/>
      <c r="O21" s="265"/>
      <c r="P21" s="265"/>
      <c r="Q21" s="265"/>
      <c r="R21" s="157">
        <v>0.0</v>
      </c>
      <c r="S21" s="157">
        <v>0.0</v>
      </c>
      <c r="T21" s="157">
        <v>0.0</v>
      </c>
      <c r="U21" s="157">
        <v>0.0</v>
      </c>
      <c r="V21" s="157" t="s">
        <v>354</v>
      </c>
      <c r="W21" s="157" t="s">
        <v>354</v>
      </c>
      <c r="X21" s="364" t="s">
        <v>361</v>
      </c>
      <c r="Y21" s="364" t="s">
        <v>361</v>
      </c>
      <c r="Z21" s="356" t="s">
        <v>365</v>
      </c>
      <c r="AA21" s="40" t="s">
        <v>357</v>
      </c>
      <c r="AB21" s="144" t="s">
        <v>365</v>
      </c>
      <c r="AC21" s="40" t="s">
        <v>357</v>
      </c>
      <c r="AD21" s="357">
        <f t="shared" si="1"/>
        <v>2</v>
      </c>
      <c r="AE21" s="265"/>
      <c r="AF21" s="265"/>
      <c r="AG21" s="265"/>
      <c r="AH21" s="265"/>
      <c r="AI21" s="157">
        <v>0.0</v>
      </c>
      <c r="AJ21" s="157">
        <v>0.0</v>
      </c>
      <c r="AK21" s="157">
        <v>0.0</v>
      </c>
      <c r="AL21" s="157">
        <v>0.0</v>
      </c>
      <c r="AM21" s="157">
        <v>0.0</v>
      </c>
      <c r="AN21" s="157">
        <v>2.0</v>
      </c>
      <c r="AO21" s="157">
        <v>0.0</v>
      </c>
      <c r="AP21" s="157">
        <v>0.0</v>
      </c>
      <c r="AQ21" s="358">
        <f t="shared" si="2"/>
        <v>2</v>
      </c>
      <c r="AR21" s="358">
        <f t="shared" si="3"/>
        <v>1</v>
      </c>
    </row>
    <row r="22">
      <c r="A22" s="157">
        <v>21.0</v>
      </c>
      <c r="B22" s="157" t="s">
        <v>138</v>
      </c>
      <c r="C22" s="46" t="s">
        <v>138</v>
      </c>
      <c r="D22" s="98" t="s">
        <v>1614</v>
      </c>
      <c r="E22" s="631">
        <v>40373.0</v>
      </c>
      <c r="F22" s="265"/>
      <c r="G22" s="265"/>
      <c r="H22" s="265"/>
      <c r="I22" s="265"/>
      <c r="J22" s="265"/>
      <c r="K22" s="265"/>
      <c r="L22" s="265"/>
      <c r="M22" s="265"/>
      <c r="N22" s="265"/>
      <c r="O22" s="265"/>
      <c r="P22" s="265"/>
      <c r="Q22" s="265"/>
      <c r="R22" s="157">
        <v>0.0</v>
      </c>
      <c r="S22" s="157">
        <v>0.0</v>
      </c>
      <c r="T22" s="157">
        <v>0.0</v>
      </c>
      <c r="U22" s="157">
        <v>0.0</v>
      </c>
      <c r="V22" s="157" t="s">
        <v>354</v>
      </c>
      <c r="W22" s="157" t="s">
        <v>354</v>
      </c>
      <c r="X22" s="355" t="s">
        <v>365</v>
      </c>
      <c r="Y22" s="40" t="s">
        <v>357</v>
      </c>
      <c r="Z22" s="356" t="s">
        <v>365</v>
      </c>
      <c r="AA22" s="368" t="s">
        <v>1662</v>
      </c>
      <c r="AB22" s="144" t="s">
        <v>365</v>
      </c>
      <c r="AC22" s="162" t="s">
        <v>363</v>
      </c>
      <c r="AD22" s="357">
        <f t="shared" si="1"/>
        <v>3</v>
      </c>
      <c r="AE22" s="265"/>
      <c r="AF22" s="265"/>
      <c r="AG22" s="265"/>
      <c r="AH22" s="265"/>
      <c r="AI22" s="157">
        <v>0.0</v>
      </c>
      <c r="AJ22" s="157">
        <v>0.0</v>
      </c>
      <c r="AK22" s="157">
        <v>0.0</v>
      </c>
      <c r="AL22" s="157">
        <v>2.0</v>
      </c>
      <c r="AM22" s="157">
        <v>0.0</v>
      </c>
      <c r="AN22" s="157">
        <v>2.0</v>
      </c>
      <c r="AO22" s="157">
        <v>0.0</v>
      </c>
      <c r="AP22" s="157">
        <v>0.0</v>
      </c>
      <c r="AQ22" s="358">
        <f t="shared" si="2"/>
        <v>4</v>
      </c>
      <c r="AR22" s="358">
        <f t="shared" si="3"/>
        <v>2</v>
      </c>
    </row>
    <row r="23">
      <c r="A23" s="157">
        <v>22.0</v>
      </c>
      <c r="B23" s="157" t="s">
        <v>141</v>
      </c>
      <c r="C23" s="46" t="s">
        <v>141</v>
      </c>
      <c r="D23" s="18" t="s">
        <v>609</v>
      </c>
      <c r="E23" s="631">
        <v>40373.0</v>
      </c>
      <c r="F23" s="265"/>
      <c r="G23" s="265"/>
      <c r="H23" s="265"/>
      <c r="I23" s="265"/>
      <c r="J23" s="265"/>
      <c r="K23" s="265"/>
      <c r="L23" s="265"/>
      <c r="M23" s="265"/>
      <c r="N23" s="265"/>
      <c r="O23" s="265"/>
      <c r="P23" s="265"/>
      <c r="Q23" s="265"/>
      <c r="R23" s="157">
        <v>0.0</v>
      </c>
      <c r="S23" s="157">
        <v>0.0</v>
      </c>
      <c r="T23" s="157">
        <v>0.0</v>
      </c>
      <c r="U23" s="157">
        <v>0.0</v>
      </c>
      <c r="V23" s="157" t="s">
        <v>354</v>
      </c>
      <c r="W23" s="157" t="s">
        <v>354</v>
      </c>
      <c r="X23" s="384" t="s">
        <v>356</v>
      </c>
      <c r="Y23" s="384" t="s">
        <v>354</v>
      </c>
      <c r="Z23" s="632" t="s">
        <v>356</v>
      </c>
      <c r="AA23" s="632" t="s">
        <v>354</v>
      </c>
      <c r="AB23" s="139" t="s">
        <v>356</v>
      </c>
      <c r="AC23" s="139" t="s">
        <v>354</v>
      </c>
      <c r="AD23" s="46">
        <f t="shared" si="1"/>
        <v>0</v>
      </c>
      <c r="AE23" s="265"/>
      <c r="AF23" s="265"/>
      <c r="AG23" s="265"/>
      <c r="AH23" s="265"/>
      <c r="AI23" s="157">
        <v>0.0</v>
      </c>
      <c r="AJ23" s="157">
        <v>0.0</v>
      </c>
      <c r="AK23" s="157">
        <v>0.0</v>
      </c>
      <c r="AL23" s="157">
        <v>0.0</v>
      </c>
      <c r="AM23" s="157">
        <v>0.0</v>
      </c>
      <c r="AN23" s="157">
        <v>0.0</v>
      </c>
      <c r="AO23" s="157">
        <v>0.0</v>
      </c>
      <c r="AP23" s="157">
        <v>0.0</v>
      </c>
      <c r="AQ23" s="182">
        <f t="shared" si="2"/>
        <v>0</v>
      </c>
      <c r="AR23" s="182">
        <f t="shared" si="3"/>
        <v>0</v>
      </c>
    </row>
    <row r="24">
      <c r="A24" s="157">
        <v>23.0</v>
      </c>
      <c r="B24" s="157" t="s">
        <v>144</v>
      </c>
      <c r="C24" s="49" t="s">
        <v>616</v>
      </c>
      <c r="D24" s="18" t="s">
        <v>617</v>
      </c>
      <c r="E24" s="631">
        <v>40373.0</v>
      </c>
      <c r="F24" s="265"/>
      <c r="G24" s="265"/>
      <c r="H24" s="265"/>
      <c r="I24" s="265"/>
      <c r="J24" s="265"/>
      <c r="K24" s="265"/>
      <c r="L24" s="265"/>
      <c r="M24" s="265"/>
      <c r="N24" s="265"/>
      <c r="O24" s="265"/>
      <c r="P24" s="265"/>
      <c r="Q24" s="265"/>
      <c r="R24" s="157">
        <v>0.0</v>
      </c>
      <c r="S24" s="157">
        <v>0.0</v>
      </c>
      <c r="T24" s="157">
        <v>0.0</v>
      </c>
      <c r="U24" s="157">
        <v>0.0</v>
      </c>
      <c r="V24" s="157" t="s">
        <v>354</v>
      </c>
      <c r="W24" s="157" t="s">
        <v>354</v>
      </c>
      <c r="X24" s="355" t="s">
        <v>365</v>
      </c>
      <c r="Y24" s="40" t="s">
        <v>357</v>
      </c>
      <c r="Z24" s="356" t="s">
        <v>365</v>
      </c>
      <c r="AA24" s="40" t="s">
        <v>357</v>
      </c>
      <c r="AB24" s="144" t="s">
        <v>365</v>
      </c>
      <c r="AC24" s="40" t="s">
        <v>357</v>
      </c>
      <c r="AD24" s="357">
        <f t="shared" si="1"/>
        <v>3</v>
      </c>
      <c r="AE24" s="265"/>
      <c r="AF24" s="265"/>
      <c r="AG24" s="265"/>
      <c r="AH24" s="265"/>
      <c r="AI24" s="157">
        <v>0.0</v>
      </c>
      <c r="AJ24" s="157">
        <v>0.0</v>
      </c>
      <c r="AK24" s="157">
        <v>0.0</v>
      </c>
      <c r="AL24" s="157">
        <v>0.0</v>
      </c>
      <c r="AM24" s="157">
        <v>0.0</v>
      </c>
      <c r="AN24" s="157">
        <v>3.0</v>
      </c>
      <c r="AO24" s="157">
        <v>0.0</v>
      </c>
      <c r="AP24" s="157">
        <v>0.0</v>
      </c>
      <c r="AQ24" s="358">
        <f t="shared" si="2"/>
        <v>3</v>
      </c>
      <c r="AR24" s="358">
        <f t="shared" si="3"/>
        <v>1</v>
      </c>
    </row>
    <row r="25">
      <c r="A25" s="157">
        <v>24.0</v>
      </c>
      <c r="B25" s="157" t="s">
        <v>158</v>
      </c>
      <c r="C25" s="46" t="s">
        <v>158</v>
      </c>
      <c r="D25" s="18" t="s">
        <v>640</v>
      </c>
      <c r="E25" s="631">
        <v>40373.0</v>
      </c>
      <c r="F25" s="265"/>
      <c r="G25" s="265"/>
      <c r="H25" s="265"/>
      <c r="I25" s="265"/>
      <c r="J25" s="265"/>
      <c r="K25" s="265"/>
      <c r="L25" s="265"/>
      <c r="M25" s="265"/>
      <c r="N25" s="265"/>
      <c r="O25" s="265"/>
      <c r="P25" s="265"/>
      <c r="Q25" s="265"/>
      <c r="R25" s="140">
        <v>30.99</v>
      </c>
      <c r="S25" s="157">
        <v>0.0</v>
      </c>
      <c r="T25" s="157">
        <v>0.0</v>
      </c>
      <c r="U25" s="157">
        <v>0.0</v>
      </c>
      <c r="V25" s="157" t="s">
        <v>354</v>
      </c>
      <c r="W25" s="157" t="s">
        <v>354</v>
      </c>
      <c r="X25" s="355" t="s">
        <v>365</v>
      </c>
      <c r="Y25" s="40" t="s">
        <v>357</v>
      </c>
      <c r="Z25" s="356" t="s">
        <v>365</v>
      </c>
      <c r="AA25" s="40" t="s">
        <v>357</v>
      </c>
      <c r="AB25" s="144" t="s">
        <v>365</v>
      </c>
      <c r="AC25" s="40" t="s">
        <v>357</v>
      </c>
      <c r="AD25" s="357">
        <f t="shared" si="1"/>
        <v>4</v>
      </c>
      <c r="AE25" s="265"/>
      <c r="AF25" s="265"/>
      <c r="AG25" s="265"/>
      <c r="AH25" s="265"/>
      <c r="AI25" s="157">
        <v>0.0</v>
      </c>
      <c r="AJ25" s="157">
        <v>0.0</v>
      </c>
      <c r="AK25" s="157">
        <v>0.0</v>
      </c>
      <c r="AL25" s="157">
        <v>0.0</v>
      </c>
      <c r="AM25" s="157">
        <v>0.0</v>
      </c>
      <c r="AN25" s="157">
        <v>3.0</v>
      </c>
      <c r="AO25" s="157">
        <v>0.0</v>
      </c>
      <c r="AP25" s="157">
        <v>0.0</v>
      </c>
      <c r="AQ25" s="358">
        <f t="shared" si="2"/>
        <v>3</v>
      </c>
      <c r="AR25" s="358">
        <f t="shared" si="3"/>
        <v>1</v>
      </c>
    </row>
    <row r="26">
      <c r="A26" s="157">
        <v>25.0</v>
      </c>
      <c r="B26" s="157" t="s">
        <v>165</v>
      </c>
      <c r="C26" s="46" t="s">
        <v>165</v>
      </c>
      <c r="D26" s="18" t="s">
        <v>650</v>
      </c>
      <c r="E26" s="631">
        <v>40373.0</v>
      </c>
      <c r="F26" s="265"/>
      <c r="G26" s="265"/>
      <c r="H26" s="265"/>
      <c r="I26" s="265"/>
      <c r="J26" s="265"/>
      <c r="K26" s="265"/>
      <c r="L26" s="265"/>
      <c r="M26" s="265"/>
      <c r="N26" s="265"/>
      <c r="O26" s="265"/>
      <c r="P26" s="265"/>
      <c r="Q26" s="265"/>
      <c r="R26" s="140">
        <v>31.2</v>
      </c>
      <c r="S26" s="157">
        <v>0.0</v>
      </c>
      <c r="T26" s="157">
        <v>0.0</v>
      </c>
      <c r="U26" s="157">
        <v>0.0</v>
      </c>
      <c r="V26" s="157" t="s">
        <v>354</v>
      </c>
      <c r="W26" s="157" t="s">
        <v>354</v>
      </c>
      <c r="X26" s="355" t="s">
        <v>365</v>
      </c>
      <c r="Y26" s="40" t="s">
        <v>357</v>
      </c>
      <c r="Z26" s="356" t="s">
        <v>365</v>
      </c>
      <c r="AA26" s="40" t="s">
        <v>357</v>
      </c>
      <c r="AB26" s="144" t="s">
        <v>365</v>
      </c>
      <c r="AC26" s="162" t="s">
        <v>363</v>
      </c>
      <c r="AD26" s="357">
        <f t="shared" si="1"/>
        <v>4</v>
      </c>
      <c r="AE26" s="265"/>
      <c r="AF26" s="265"/>
      <c r="AG26" s="265"/>
      <c r="AH26" s="265"/>
      <c r="AI26" s="157">
        <v>0.0</v>
      </c>
      <c r="AJ26" s="157">
        <v>0.0</v>
      </c>
      <c r="AK26" s="157">
        <v>0.0</v>
      </c>
      <c r="AL26" s="157">
        <v>1.0</v>
      </c>
      <c r="AM26" s="157">
        <v>0.0</v>
      </c>
      <c r="AN26" s="157">
        <v>2.0</v>
      </c>
      <c r="AO26" s="157">
        <v>0.0</v>
      </c>
      <c r="AP26" s="157">
        <v>0.0</v>
      </c>
      <c r="AQ26" s="358">
        <f t="shared" si="2"/>
        <v>3</v>
      </c>
      <c r="AR26" s="358">
        <f t="shared" si="3"/>
        <v>2</v>
      </c>
    </row>
    <row r="27">
      <c r="A27" s="157">
        <v>26.0</v>
      </c>
      <c r="B27" s="634" t="s">
        <v>1663</v>
      </c>
      <c r="C27" s="46" t="s">
        <v>168</v>
      </c>
      <c r="D27" s="18" t="s">
        <v>656</v>
      </c>
      <c r="E27" s="631">
        <v>40373.0</v>
      </c>
      <c r="F27" s="265"/>
      <c r="G27" s="265"/>
      <c r="H27" s="265"/>
      <c r="I27" s="265"/>
      <c r="J27" s="265"/>
      <c r="K27" s="265"/>
      <c r="L27" s="265"/>
      <c r="M27" s="265"/>
      <c r="N27" s="265"/>
      <c r="O27" s="265"/>
      <c r="P27" s="265"/>
      <c r="Q27" s="265"/>
      <c r="R27" s="157">
        <v>0.0</v>
      </c>
      <c r="S27" s="157">
        <v>0.0</v>
      </c>
      <c r="T27" s="157">
        <v>0.0</v>
      </c>
      <c r="U27" s="157">
        <v>0.0</v>
      </c>
      <c r="V27" s="157" t="s">
        <v>354</v>
      </c>
      <c r="W27" s="157" t="s">
        <v>354</v>
      </c>
      <c r="X27" s="355" t="s">
        <v>365</v>
      </c>
      <c r="Y27" s="143" t="s">
        <v>358</v>
      </c>
      <c r="Z27" s="356" t="s">
        <v>365</v>
      </c>
      <c r="AA27" s="143" t="s">
        <v>358</v>
      </c>
      <c r="AB27" s="144" t="s">
        <v>365</v>
      </c>
      <c r="AC27" s="143" t="s">
        <v>358</v>
      </c>
      <c r="AD27" s="635">
        <f t="shared" si="1"/>
        <v>3</v>
      </c>
      <c r="AE27" s="265"/>
      <c r="AF27" s="265"/>
      <c r="AG27" s="265"/>
      <c r="AH27" s="265"/>
      <c r="AI27" s="157">
        <v>0.0</v>
      </c>
      <c r="AJ27" s="157">
        <v>0.0</v>
      </c>
      <c r="AK27" s="157">
        <v>3.0</v>
      </c>
      <c r="AL27" s="157">
        <v>0.0</v>
      </c>
      <c r="AM27" s="157">
        <v>0.0</v>
      </c>
      <c r="AN27" s="157">
        <v>0.0</v>
      </c>
      <c r="AO27" s="157">
        <v>0.0</v>
      </c>
      <c r="AP27" s="157">
        <v>0.0</v>
      </c>
      <c r="AQ27" s="636">
        <f t="shared" si="2"/>
        <v>3</v>
      </c>
      <c r="AR27" s="636">
        <f t="shared" si="3"/>
        <v>1</v>
      </c>
    </row>
    <row r="28">
      <c r="A28" s="157">
        <v>27.0</v>
      </c>
      <c r="B28" s="634" t="s">
        <v>1664</v>
      </c>
      <c r="C28" s="46" t="s">
        <v>168</v>
      </c>
      <c r="D28" s="18" t="s">
        <v>656</v>
      </c>
      <c r="E28" s="631">
        <v>40373.0</v>
      </c>
      <c r="F28" s="265"/>
      <c r="G28" s="265"/>
      <c r="H28" s="265"/>
      <c r="I28" s="265"/>
      <c r="J28" s="265"/>
      <c r="K28" s="265"/>
      <c r="L28" s="265"/>
      <c r="M28" s="265"/>
      <c r="N28" s="265"/>
      <c r="O28" s="265"/>
      <c r="P28" s="265"/>
      <c r="Q28" s="265"/>
      <c r="R28" s="157">
        <v>0.0</v>
      </c>
      <c r="S28" s="157">
        <v>0.0</v>
      </c>
      <c r="T28" s="157">
        <v>0.0</v>
      </c>
      <c r="U28" s="157">
        <v>0.0</v>
      </c>
      <c r="V28" s="157" t="s">
        <v>354</v>
      </c>
      <c r="W28" s="157" t="s">
        <v>354</v>
      </c>
      <c r="X28" s="355" t="s">
        <v>365</v>
      </c>
      <c r="Y28" s="143" t="s">
        <v>358</v>
      </c>
      <c r="Z28" s="356" t="s">
        <v>365</v>
      </c>
      <c r="AA28" s="143" t="s">
        <v>358</v>
      </c>
      <c r="AB28" s="144" t="s">
        <v>365</v>
      </c>
      <c r="AC28" s="143" t="s">
        <v>358</v>
      </c>
      <c r="AD28" s="635">
        <f t="shared" si="1"/>
        <v>3</v>
      </c>
      <c r="AE28" s="265"/>
      <c r="AF28" s="265"/>
      <c r="AG28" s="265"/>
      <c r="AH28" s="265"/>
      <c r="AI28" s="157">
        <v>0.0</v>
      </c>
      <c r="AJ28" s="157">
        <v>0.0</v>
      </c>
      <c r="AK28" s="157">
        <v>3.0</v>
      </c>
      <c r="AL28" s="157">
        <v>0.0</v>
      </c>
      <c r="AM28" s="157">
        <v>0.0</v>
      </c>
      <c r="AN28" s="157">
        <v>0.0</v>
      </c>
      <c r="AO28" s="157">
        <v>0.0</v>
      </c>
      <c r="AP28" s="157">
        <v>0.0</v>
      </c>
      <c r="AQ28" s="636">
        <f t="shared" si="2"/>
        <v>3</v>
      </c>
      <c r="AR28" s="636">
        <f t="shared" si="3"/>
        <v>1</v>
      </c>
    </row>
    <row r="29">
      <c r="A29" s="157">
        <v>28.0</v>
      </c>
      <c r="B29" s="157" t="s">
        <v>171</v>
      </c>
      <c r="C29" s="46" t="s">
        <v>171</v>
      </c>
      <c r="D29" s="18" t="s">
        <v>658</v>
      </c>
      <c r="E29" s="631">
        <v>40373.0</v>
      </c>
      <c r="F29" s="265"/>
      <c r="G29" s="265"/>
      <c r="H29" s="265"/>
      <c r="I29" s="265"/>
      <c r="J29" s="265"/>
      <c r="K29" s="265"/>
      <c r="L29" s="265"/>
      <c r="M29" s="265"/>
      <c r="N29" s="265"/>
      <c r="O29" s="265"/>
      <c r="P29" s="265"/>
      <c r="Q29" s="265"/>
      <c r="R29" s="157">
        <v>0.0</v>
      </c>
      <c r="S29" s="157">
        <v>0.0</v>
      </c>
      <c r="T29" s="157">
        <v>0.0</v>
      </c>
      <c r="U29" s="157">
        <v>0.0</v>
      </c>
      <c r="V29" s="157" t="s">
        <v>354</v>
      </c>
      <c r="W29" s="157" t="s">
        <v>354</v>
      </c>
      <c r="X29" s="355" t="s">
        <v>365</v>
      </c>
      <c r="Y29" s="40" t="s">
        <v>357</v>
      </c>
      <c r="Z29" s="356" t="s">
        <v>365</v>
      </c>
      <c r="AA29" s="40" t="s">
        <v>357</v>
      </c>
      <c r="AB29" s="144" t="s">
        <v>365</v>
      </c>
      <c r="AC29" s="40" t="s">
        <v>357</v>
      </c>
      <c r="AD29" s="357">
        <f t="shared" si="1"/>
        <v>3</v>
      </c>
      <c r="AE29" s="265"/>
      <c r="AF29" s="265"/>
      <c r="AG29" s="265"/>
      <c r="AH29" s="265"/>
      <c r="AI29" s="157">
        <v>0.0</v>
      </c>
      <c r="AJ29" s="157">
        <v>0.0</v>
      </c>
      <c r="AK29" s="157">
        <v>0.0</v>
      </c>
      <c r="AL29" s="157">
        <v>0.0</v>
      </c>
      <c r="AM29" s="157">
        <v>0.0</v>
      </c>
      <c r="AN29" s="157">
        <v>3.0</v>
      </c>
      <c r="AO29" s="157">
        <v>0.0</v>
      </c>
      <c r="AP29" s="157">
        <v>0.0</v>
      </c>
      <c r="AQ29" s="358">
        <f t="shared" si="2"/>
        <v>3</v>
      </c>
      <c r="AR29" s="358">
        <f t="shared" si="3"/>
        <v>1</v>
      </c>
    </row>
    <row r="30">
      <c r="A30" s="157">
        <v>29.0</v>
      </c>
      <c r="B30" s="157" t="s">
        <v>180</v>
      </c>
      <c r="C30" s="46" t="s">
        <v>180</v>
      </c>
      <c r="D30" s="18" t="s">
        <v>685</v>
      </c>
      <c r="E30" s="631">
        <v>40373.0</v>
      </c>
      <c r="F30" s="265"/>
      <c r="G30" s="265"/>
      <c r="H30" s="265"/>
      <c r="I30" s="265"/>
      <c r="J30" s="265"/>
      <c r="K30" s="265"/>
      <c r="L30" s="265"/>
      <c r="M30" s="265"/>
      <c r="N30" s="265"/>
      <c r="O30" s="265"/>
      <c r="P30" s="265"/>
      <c r="Q30" s="265"/>
      <c r="R30" s="140">
        <v>30.72</v>
      </c>
      <c r="S30" s="157">
        <v>0.0</v>
      </c>
      <c r="T30" s="157">
        <v>0.0</v>
      </c>
      <c r="U30" s="157">
        <v>0.0</v>
      </c>
      <c r="V30" s="157" t="s">
        <v>354</v>
      </c>
      <c r="W30" s="157" t="s">
        <v>354</v>
      </c>
      <c r="X30" s="355" t="s">
        <v>365</v>
      </c>
      <c r="Y30" s="40" t="s">
        <v>357</v>
      </c>
      <c r="Z30" s="356" t="s">
        <v>365</v>
      </c>
      <c r="AA30" s="40" t="s">
        <v>357</v>
      </c>
      <c r="AB30" s="144" t="s">
        <v>365</v>
      </c>
      <c r="AC30" s="40" t="s">
        <v>357</v>
      </c>
      <c r="AD30" s="357">
        <f t="shared" si="1"/>
        <v>4</v>
      </c>
      <c r="AE30" s="265"/>
      <c r="AF30" s="265"/>
      <c r="AG30" s="265"/>
      <c r="AH30" s="265"/>
      <c r="AI30" s="157">
        <v>0.0</v>
      </c>
      <c r="AJ30" s="157">
        <v>0.0</v>
      </c>
      <c r="AK30" s="157">
        <v>0.0</v>
      </c>
      <c r="AL30" s="157">
        <v>0.0</v>
      </c>
      <c r="AM30" s="157">
        <v>0.0</v>
      </c>
      <c r="AN30" s="157">
        <v>3.0</v>
      </c>
      <c r="AO30" s="157">
        <v>0.0</v>
      </c>
      <c r="AP30" s="157">
        <v>0.0</v>
      </c>
      <c r="AQ30" s="358">
        <f t="shared" si="2"/>
        <v>3</v>
      </c>
      <c r="AR30" s="358">
        <f t="shared" si="3"/>
        <v>1</v>
      </c>
    </row>
    <row r="31">
      <c r="A31" s="157">
        <v>30.0</v>
      </c>
      <c r="B31" s="157" t="s">
        <v>195</v>
      </c>
      <c r="C31" s="46" t="s">
        <v>195</v>
      </c>
      <c r="D31" s="18" t="s">
        <v>707</v>
      </c>
      <c r="E31" s="631">
        <v>40373.0</v>
      </c>
      <c r="F31" s="265"/>
      <c r="G31" s="265"/>
      <c r="H31" s="265"/>
      <c r="I31" s="265"/>
      <c r="J31" s="265"/>
      <c r="K31" s="265"/>
      <c r="L31" s="265"/>
      <c r="M31" s="265"/>
      <c r="N31" s="265"/>
      <c r="O31" s="265"/>
      <c r="P31" s="265"/>
      <c r="Q31" s="265"/>
      <c r="R31" s="157">
        <v>0.0</v>
      </c>
      <c r="S31" s="157">
        <v>0.0</v>
      </c>
      <c r="T31" s="157">
        <v>0.0</v>
      </c>
      <c r="U31" s="157">
        <v>0.0</v>
      </c>
      <c r="V31" s="157" t="s">
        <v>354</v>
      </c>
      <c r="W31" s="157" t="s">
        <v>354</v>
      </c>
      <c r="X31" s="355" t="s">
        <v>365</v>
      </c>
      <c r="Y31" s="40" t="s">
        <v>357</v>
      </c>
      <c r="Z31" s="356" t="s">
        <v>365</v>
      </c>
      <c r="AA31" s="40" t="s">
        <v>357</v>
      </c>
      <c r="AB31" s="144" t="s">
        <v>365</v>
      </c>
      <c r="AC31" s="40" t="s">
        <v>357</v>
      </c>
      <c r="AD31" s="357">
        <f t="shared" si="1"/>
        <v>3</v>
      </c>
      <c r="AE31" s="265"/>
      <c r="AF31" s="265"/>
      <c r="AG31" s="265"/>
      <c r="AH31" s="265"/>
      <c r="AI31" s="157">
        <v>0.0</v>
      </c>
      <c r="AJ31" s="157">
        <v>0.0</v>
      </c>
      <c r="AK31" s="157">
        <v>0.0</v>
      </c>
      <c r="AL31" s="157">
        <v>0.0</v>
      </c>
      <c r="AM31" s="157">
        <v>0.0</v>
      </c>
      <c r="AN31" s="157">
        <v>3.0</v>
      </c>
      <c r="AO31" s="157">
        <v>0.0</v>
      </c>
      <c r="AP31" s="157">
        <v>0.0</v>
      </c>
      <c r="AQ31" s="358">
        <f t="shared" si="2"/>
        <v>3</v>
      </c>
      <c r="AR31" s="358">
        <f t="shared" si="3"/>
        <v>1</v>
      </c>
    </row>
    <row r="32">
      <c r="A32" s="157">
        <v>31.0</v>
      </c>
      <c r="B32" s="157" t="s">
        <v>198</v>
      </c>
      <c r="C32" s="49" t="s">
        <v>712</v>
      </c>
      <c r="D32" s="18" t="s">
        <v>1171</v>
      </c>
      <c r="E32" s="631">
        <v>40373.0</v>
      </c>
      <c r="F32" s="265"/>
      <c r="G32" s="265"/>
      <c r="H32" s="265"/>
      <c r="I32" s="265"/>
      <c r="J32" s="265"/>
      <c r="K32" s="265"/>
      <c r="L32" s="265"/>
      <c r="M32" s="265"/>
      <c r="N32" s="265"/>
      <c r="O32" s="265"/>
      <c r="P32" s="265"/>
      <c r="Q32" s="265"/>
      <c r="R32" s="157">
        <v>0.0</v>
      </c>
      <c r="S32" s="157">
        <v>0.0</v>
      </c>
      <c r="T32" s="157">
        <v>0.0</v>
      </c>
      <c r="U32" s="157">
        <v>0.0</v>
      </c>
      <c r="V32" s="157" t="s">
        <v>354</v>
      </c>
      <c r="W32" s="157" t="s">
        <v>354</v>
      </c>
      <c r="X32" s="355" t="s">
        <v>365</v>
      </c>
      <c r="Y32" s="40" t="s">
        <v>357</v>
      </c>
      <c r="Z32" s="392" t="s">
        <v>361</v>
      </c>
      <c r="AA32" s="392" t="s">
        <v>361</v>
      </c>
      <c r="AB32" s="144" t="s">
        <v>365</v>
      </c>
      <c r="AC32" s="40" t="s">
        <v>357</v>
      </c>
      <c r="AD32" s="357">
        <f t="shared" si="1"/>
        <v>2</v>
      </c>
      <c r="AE32" s="265"/>
      <c r="AF32" s="265"/>
      <c r="AG32" s="265"/>
      <c r="AH32" s="265"/>
      <c r="AI32" s="157">
        <v>0.0</v>
      </c>
      <c r="AJ32" s="157">
        <v>0.0</v>
      </c>
      <c r="AK32" s="157">
        <v>0.0</v>
      </c>
      <c r="AL32" s="157">
        <v>0.0</v>
      </c>
      <c r="AM32" s="157">
        <v>0.0</v>
      </c>
      <c r="AN32" s="157">
        <v>2.0</v>
      </c>
      <c r="AO32" s="157">
        <v>0.0</v>
      </c>
      <c r="AP32" s="157">
        <v>0.0</v>
      </c>
      <c r="AQ32" s="358">
        <f t="shared" si="2"/>
        <v>2</v>
      </c>
      <c r="AR32" s="358">
        <f t="shared" si="3"/>
        <v>1</v>
      </c>
    </row>
    <row r="33">
      <c r="A33" s="157">
        <v>32.0</v>
      </c>
      <c r="B33" s="157" t="s">
        <v>201</v>
      </c>
      <c r="C33" s="46" t="s">
        <v>201</v>
      </c>
      <c r="D33" s="18" t="s">
        <v>1622</v>
      </c>
      <c r="E33" s="631">
        <v>40373.0</v>
      </c>
      <c r="F33" s="265"/>
      <c r="G33" s="265"/>
      <c r="H33" s="265"/>
      <c r="I33" s="265"/>
      <c r="J33" s="265"/>
      <c r="K33" s="265"/>
      <c r="L33" s="265"/>
      <c r="M33" s="265"/>
      <c r="N33" s="265"/>
      <c r="O33" s="265"/>
      <c r="P33" s="265"/>
      <c r="Q33" s="265"/>
      <c r="R33" s="140">
        <v>34.38</v>
      </c>
      <c r="S33" s="157">
        <v>0.0</v>
      </c>
      <c r="T33" s="157">
        <v>0.0</v>
      </c>
      <c r="U33" s="157">
        <v>0.0</v>
      </c>
      <c r="V33" s="157" t="s">
        <v>354</v>
      </c>
      <c r="W33" s="157" t="s">
        <v>354</v>
      </c>
      <c r="X33" s="384" t="s">
        <v>356</v>
      </c>
      <c r="Y33" s="384" t="s">
        <v>354</v>
      </c>
      <c r="Z33" s="632" t="s">
        <v>356</v>
      </c>
      <c r="AA33" s="632" t="s">
        <v>354</v>
      </c>
      <c r="AB33" s="139" t="s">
        <v>356</v>
      </c>
      <c r="AC33" s="139" t="s">
        <v>354</v>
      </c>
      <c r="AD33" s="46">
        <f t="shared" si="1"/>
        <v>1</v>
      </c>
      <c r="AE33" s="265"/>
      <c r="AF33" s="265"/>
      <c r="AG33" s="265"/>
      <c r="AH33" s="265"/>
      <c r="AI33" s="157">
        <v>0.0</v>
      </c>
      <c r="AJ33" s="157">
        <v>0.0</v>
      </c>
      <c r="AK33" s="157">
        <v>0.0</v>
      </c>
      <c r="AL33" s="157">
        <v>0.0</v>
      </c>
      <c r="AM33" s="157">
        <v>0.0</v>
      </c>
      <c r="AN33" s="157">
        <v>0.0</v>
      </c>
      <c r="AO33" s="157">
        <v>0.0</v>
      </c>
      <c r="AP33" s="157">
        <v>0.0</v>
      </c>
      <c r="AQ33" s="182">
        <f t="shared" si="2"/>
        <v>0</v>
      </c>
      <c r="AR33" s="182">
        <f t="shared" si="3"/>
        <v>0</v>
      </c>
    </row>
    <row r="34">
      <c r="A34" s="157">
        <v>33.0</v>
      </c>
      <c r="B34" s="157" t="s">
        <v>204</v>
      </c>
      <c r="C34" s="46" t="s">
        <v>204</v>
      </c>
      <c r="D34" s="18" t="s">
        <v>725</v>
      </c>
      <c r="E34" s="631">
        <v>40373.0</v>
      </c>
      <c r="F34" s="265"/>
      <c r="G34" s="265"/>
      <c r="H34" s="265"/>
      <c r="I34" s="265"/>
      <c r="J34" s="265"/>
      <c r="K34" s="265"/>
      <c r="L34" s="265"/>
      <c r="M34" s="265"/>
      <c r="N34" s="265"/>
      <c r="O34" s="265"/>
      <c r="P34" s="265"/>
      <c r="Q34" s="265"/>
      <c r="R34" s="77">
        <v>44.99</v>
      </c>
      <c r="S34" s="157">
        <v>0.0</v>
      </c>
      <c r="T34" s="157">
        <v>0.0</v>
      </c>
      <c r="U34" s="157">
        <v>0.0</v>
      </c>
      <c r="V34" s="157" t="s">
        <v>354</v>
      </c>
      <c r="W34" s="157" t="s">
        <v>354</v>
      </c>
      <c r="X34" s="355" t="s">
        <v>365</v>
      </c>
      <c r="Y34" s="90" t="s">
        <v>413</v>
      </c>
      <c r="Z34" s="356" t="s">
        <v>365</v>
      </c>
      <c r="AA34" s="90" t="s">
        <v>413</v>
      </c>
      <c r="AB34" s="144" t="s">
        <v>365</v>
      </c>
      <c r="AC34" s="90" t="s">
        <v>413</v>
      </c>
      <c r="AD34" s="357">
        <f t="shared" si="1"/>
        <v>4</v>
      </c>
      <c r="AE34" s="265"/>
      <c r="AF34" s="265"/>
      <c r="AG34" s="265"/>
      <c r="AH34" s="265"/>
      <c r="AI34" s="157">
        <v>0.0</v>
      </c>
      <c r="AJ34" s="157">
        <v>0.0</v>
      </c>
      <c r="AK34" s="157">
        <v>0.0</v>
      </c>
      <c r="AL34" s="157">
        <v>0.0</v>
      </c>
      <c r="AM34" s="157">
        <v>3.0</v>
      </c>
      <c r="AN34" s="157">
        <v>0.0</v>
      </c>
      <c r="AO34" s="157">
        <v>0.0</v>
      </c>
      <c r="AP34" s="157">
        <v>0.0</v>
      </c>
      <c r="AQ34" s="358">
        <f t="shared" si="2"/>
        <v>3</v>
      </c>
      <c r="AR34" s="358">
        <f t="shared" si="3"/>
        <v>1</v>
      </c>
    </row>
    <row r="35">
      <c r="A35" s="157">
        <v>34.0</v>
      </c>
      <c r="B35" s="157" t="s">
        <v>210</v>
      </c>
      <c r="C35" s="48" t="s">
        <v>210</v>
      </c>
      <c r="D35" s="482" t="s">
        <v>748</v>
      </c>
      <c r="E35" s="631">
        <v>40373.0</v>
      </c>
      <c r="F35" s="265"/>
      <c r="G35" s="265"/>
      <c r="H35" s="265"/>
      <c r="I35" s="265"/>
      <c r="J35" s="265"/>
      <c r="K35" s="265"/>
      <c r="L35" s="265"/>
      <c r="M35" s="265"/>
      <c r="N35" s="265"/>
      <c r="O35" s="265"/>
      <c r="P35" s="265"/>
      <c r="Q35" s="265"/>
      <c r="R35" s="157">
        <v>0.0</v>
      </c>
      <c r="S35" s="157">
        <v>0.0</v>
      </c>
      <c r="T35" s="157">
        <v>0.0</v>
      </c>
      <c r="U35" s="157">
        <v>0.0</v>
      </c>
      <c r="V35" s="157" t="s">
        <v>354</v>
      </c>
      <c r="W35" s="157" t="s">
        <v>354</v>
      </c>
      <c r="X35" s="384" t="s">
        <v>356</v>
      </c>
      <c r="Y35" s="384" t="s">
        <v>354</v>
      </c>
      <c r="Z35" s="632" t="s">
        <v>356</v>
      </c>
      <c r="AA35" s="632" t="s">
        <v>354</v>
      </c>
      <c r="AB35" s="139" t="s">
        <v>356</v>
      </c>
      <c r="AC35" s="139" t="s">
        <v>354</v>
      </c>
      <c r="AD35" s="46">
        <f t="shared" si="1"/>
        <v>0</v>
      </c>
      <c r="AE35" s="265"/>
      <c r="AF35" s="265"/>
      <c r="AG35" s="265"/>
      <c r="AH35" s="265"/>
      <c r="AI35" s="157">
        <v>0.0</v>
      </c>
      <c r="AJ35" s="157">
        <v>0.0</v>
      </c>
      <c r="AK35" s="157">
        <v>0.0</v>
      </c>
      <c r="AL35" s="157">
        <v>0.0</v>
      </c>
      <c r="AM35" s="157">
        <v>0.0</v>
      </c>
      <c r="AN35" s="157">
        <v>0.0</v>
      </c>
      <c r="AO35" s="157">
        <v>0.0</v>
      </c>
      <c r="AP35" s="157">
        <v>0.0</v>
      </c>
      <c r="AQ35" s="182">
        <f t="shared" si="2"/>
        <v>0</v>
      </c>
      <c r="AR35" s="182">
        <f t="shared" si="3"/>
        <v>0</v>
      </c>
    </row>
    <row r="36">
      <c r="A36" s="157">
        <v>35.0</v>
      </c>
      <c r="B36" s="157" t="s">
        <v>213</v>
      </c>
      <c r="C36" s="46" t="s">
        <v>213</v>
      </c>
      <c r="D36" s="18" t="s">
        <v>753</v>
      </c>
      <c r="E36" s="631">
        <v>40373.0</v>
      </c>
      <c r="F36" s="265"/>
      <c r="G36" s="265"/>
      <c r="H36" s="265"/>
      <c r="I36" s="265"/>
      <c r="J36" s="265"/>
      <c r="K36" s="265"/>
      <c r="L36" s="265"/>
      <c r="M36" s="265"/>
      <c r="N36" s="265"/>
      <c r="O36" s="265"/>
      <c r="P36" s="265"/>
      <c r="Q36" s="265"/>
      <c r="R36" s="157">
        <v>0.0</v>
      </c>
      <c r="S36" s="157">
        <v>0.0</v>
      </c>
      <c r="T36" s="157">
        <v>0.0</v>
      </c>
      <c r="U36" s="157">
        <v>0.0</v>
      </c>
      <c r="V36" s="157" t="s">
        <v>354</v>
      </c>
      <c r="W36" s="157" t="s">
        <v>354</v>
      </c>
      <c r="X36" s="384" t="s">
        <v>356</v>
      </c>
      <c r="Y36" s="384" t="s">
        <v>354</v>
      </c>
      <c r="Z36" s="392" t="s">
        <v>361</v>
      </c>
      <c r="AA36" s="392" t="s">
        <v>361</v>
      </c>
      <c r="AB36" s="144" t="s">
        <v>365</v>
      </c>
      <c r="AC36" s="162" t="s">
        <v>363</v>
      </c>
      <c r="AD36" s="357">
        <f t="shared" si="1"/>
        <v>1</v>
      </c>
      <c r="AE36" s="265"/>
      <c r="AF36" s="265"/>
      <c r="AG36" s="265"/>
      <c r="AH36" s="265"/>
      <c r="AI36" s="157">
        <v>0.0</v>
      </c>
      <c r="AJ36" s="157">
        <v>0.0</v>
      </c>
      <c r="AK36" s="157">
        <v>0.0</v>
      </c>
      <c r="AL36" s="157">
        <v>1.0</v>
      </c>
      <c r="AM36" s="157">
        <v>0.0</v>
      </c>
      <c r="AN36" s="157">
        <v>0.0</v>
      </c>
      <c r="AO36" s="157">
        <v>0.0</v>
      </c>
      <c r="AP36" s="157">
        <v>0.0</v>
      </c>
      <c r="AQ36" s="358">
        <f t="shared" si="2"/>
        <v>1</v>
      </c>
      <c r="AR36" s="358">
        <f t="shared" si="3"/>
        <v>1</v>
      </c>
    </row>
    <row r="37">
      <c r="A37" s="157">
        <v>36.0</v>
      </c>
      <c r="B37" s="157" t="s">
        <v>216</v>
      </c>
      <c r="C37" s="46" t="s">
        <v>216</v>
      </c>
      <c r="D37" s="18" t="s">
        <v>764</v>
      </c>
      <c r="E37" s="631">
        <v>40373.0</v>
      </c>
      <c r="F37" s="265"/>
      <c r="G37" s="265"/>
      <c r="H37" s="265"/>
      <c r="I37" s="265"/>
      <c r="J37" s="265"/>
      <c r="K37" s="265"/>
      <c r="L37" s="265"/>
      <c r="M37" s="265"/>
      <c r="N37" s="265"/>
      <c r="O37" s="265"/>
      <c r="P37" s="265"/>
      <c r="Q37" s="265"/>
      <c r="R37" s="157">
        <v>0.0</v>
      </c>
      <c r="S37" s="157">
        <v>0.0</v>
      </c>
      <c r="T37" s="157">
        <v>0.0</v>
      </c>
      <c r="U37" s="157">
        <v>0.0</v>
      </c>
      <c r="V37" s="157" t="s">
        <v>354</v>
      </c>
      <c r="W37" s="157" t="s">
        <v>354</v>
      </c>
      <c r="X37" s="355" t="s">
        <v>365</v>
      </c>
      <c r="Y37" s="143" t="s">
        <v>358</v>
      </c>
      <c r="Z37" s="356" t="s">
        <v>365</v>
      </c>
      <c r="AA37" s="637" t="s">
        <v>420</v>
      </c>
      <c r="AB37" s="144" t="s">
        <v>365</v>
      </c>
      <c r="AC37" s="143" t="s">
        <v>358</v>
      </c>
      <c r="AD37" s="357">
        <f t="shared" si="1"/>
        <v>3</v>
      </c>
      <c r="AE37" s="265"/>
      <c r="AF37" s="265"/>
      <c r="AG37" s="265"/>
      <c r="AH37" s="265"/>
      <c r="AI37" s="157">
        <v>0.0</v>
      </c>
      <c r="AJ37" s="157">
        <v>1.0</v>
      </c>
      <c r="AK37" s="157">
        <v>2.0</v>
      </c>
      <c r="AL37" s="157">
        <v>0.0</v>
      </c>
      <c r="AM37" s="157">
        <v>0.0</v>
      </c>
      <c r="AN37" s="157">
        <v>0.0</v>
      </c>
      <c r="AO37" s="157">
        <v>0.0</v>
      </c>
      <c r="AP37" s="157">
        <v>0.0</v>
      </c>
      <c r="AQ37" s="358">
        <f t="shared" si="2"/>
        <v>3</v>
      </c>
      <c r="AR37" s="358">
        <f t="shared" si="3"/>
        <v>2</v>
      </c>
    </row>
    <row r="38">
      <c r="A38" s="157">
        <v>37.0</v>
      </c>
      <c r="B38" s="157" t="s">
        <v>219</v>
      </c>
      <c r="C38" s="46" t="s">
        <v>219</v>
      </c>
      <c r="D38" s="98" t="s">
        <v>769</v>
      </c>
      <c r="E38" s="631">
        <v>40373.0</v>
      </c>
      <c r="F38" s="265"/>
      <c r="G38" s="265"/>
      <c r="H38" s="265"/>
      <c r="I38" s="265"/>
      <c r="J38" s="265"/>
      <c r="K38" s="265"/>
      <c r="L38" s="265"/>
      <c r="M38" s="265"/>
      <c r="N38" s="265"/>
      <c r="O38" s="265"/>
      <c r="P38" s="265"/>
      <c r="Q38" s="265"/>
      <c r="R38" s="77">
        <v>42.59</v>
      </c>
      <c r="S38" s="157">
        <v>0.0</v>
      </c>
      <c r="T38" s="157">
        <v>0.0</v>
      </c>
      <c r="U38" s="157">
        <v>0.0</v>
      </c>
      <c r="V38" s="157" t="s">
        <v>354</v>
      </c>
      <c r="W38" s="157" t="s">
        <v>354</v>
      </c>
      <c r="X38" s="384" t="s">
        <v>356</v>
      </c>
      <c r="Y38" s="384" t="s">
        <v>354</v>
      </c>
      <c r="Z38" s="356" t="s">
        <v>365</v>
      </c>
      <c r="AA38" s="181" t="s">
        <v>389</v>
      </c>
      <c r="AB38" s="139" t="s">
        <v>356</v>
      </c>
      <c r="AC38" s="139" t="s">
        <v>354</v>
      </c>
      <c r="AD38" s="357">
        <f t="shared" si="1"/>
        <v>2</v>
      </c>
      <c r="AE38" s="265"/>
      <c r="AF38" s="265"/>
      <c r="AG38" s="265"/>
      <c r="AH38" s="265"/>
      <c r="AI38" s="157">
        <v>1.0</v>
      </c>
      <c r="AJ38" s="157">
        <v>0.0</v>
      </c>
      <c r="AK38" s="157">
        <v>0.0</v>
      </c>
      <c r="AL38" s="157">
        <v>0.0</v>
      </c>
      <c r="AM38" s="157">
        <v>0.0</v>
      </c>
      <c r="AN38" s="157">
        <v>0.0</v>
      </c>
      <c r="AO38" s="157">
        <v>0.0</v>
      </c>
      <c r="AP38" s="157">
        <v>0.0</v>
      </c>
      <c r="AQ38" s="358">
        <f t="shared" si="2"/>
        <v>1</v>
      </c>
      <c r="AR38" s="358">
        <f t="shared" si="3"/>
        <v>1</v>
      </c>
    </row>
    <row r="39">
      <c r="A39" s="157">
        <v>38.0</v>
      </c>
      <c r="B39" s="157" t="s">
        <v>222</v>
      </c>
      <c r="C39" s="49" t="s">
        <v>1422</v>
      </c>
      <c r="D39" s="18" t="s">
        <v>775</v>
      </c>
      <c r="E39" s="631">
        <v>40373.0</v>
      </c>
      <c r="F39" s="265"/>
      <c r="G39" s="265"/>
      <c r="H39" s="265"/>
      <c r="I39" s="265"/>
      <c r="J39" s="265"/>
      <c r="K39" s="265"/>
      <c r="L39" s="265"/>
      <c r="M39" s="265"/>
      <c r="N39" s="265"/>
      <c r="O39" s="265"/>
      <c r="P39" s="265"/>
      <c r="Q39" s="265"/>
      <c r="R39" s="157">
        <v>0.0</v>
      </c>
      <c r="S39" s="157">
        <v>0.0</v>
      </c>
      <c r="T39" s="157">
        <v>0.0</v>
      </c>
      <c r="U39" s="157">
        <v>0.0</v>
      </c>
      <c r="V39" s="157" t="s">
        <v>354</v>
      </c>
      <c r="W39" s="157" t="s">
        <v>354</v>
      </c>
      <c r="X39" s="384" t="s">
        <v>356</v>
      </c>
      <c r="Y39" s="384" t="s">
        <v>354</v>
      </c>
      <c r="Z39" s="356" t="s">
        <v>365</v>
      </c>
      <c r="AA39" s="162" t="s">
        <v>363</v>
      </c>
      <c r="AB39" s="387" t="s">
        <v>361</v>
      </c>
      <c r="AC39" s="387" t="s">
        <v>361</v>
      </c>
      <c r="AD39" s="357">
        <f t="shared" si="1"/>
        <v>1</v>
      </c>
      <c r="AE39" s="265"/>
      <c r="AF39" s="265"/>
      <c r="AG39" s="265"/>
      <c r="AH39" s="265"/>
      <c r="AI39" s="157">
        <v>0.0</v>
      </c>
      <c r="AJ39" s="157">
        <v>0.0</v>
      </c>
      <c r="AK39" s="157">
        <v>0.0</v>
      </c>
      <c r="AL39" s="157">
        <v>1.0</v>
      </c>
      <c r="AM39" s="157">
        <v>0.0</v>
      </c>
      <c r="AN39" s="157">
        <v>0.0</v>
      </c>
      <c r="AO39" s="157">
        <v>0.0</v>
      </c>
      <c r="AP39" s="157">
        <v>0.0</v>
      </c>
      <c r="AQ39" s="358">
        <f t="shared" si="2"/>
        <v>1</v>
      </c>
      <c r="AR39" s="358">
        <f t="shared" si="3"/>
        <v>1</v>
      </c>
    </row>
    <row r="40">
      <c r="A40" s="157">
        <v>39.0</v>
      </c>
      <c r="B40" s="157" t="s">
        <v>225</v>
      </c>
      <c r="C40" s="46" t="s">
        <v>225</v>
      </c>
      <c r="D40" s="83" t="s">
        <v>789</v>
      </c>
      <c r="E40" s="631">
        <v>40373.0</v>
      </c>
      <c r="F40" s="265"/>
      <c r="G40" s="265"/>
      <c r="H40" s="265"/>
      <c r="I40" s="265"/>
      <c r="J40" s="265"/>
      <c r="K40" s="265"/>
      <c r="L40" s="265"/>
      <c r="M40" s="265"/>
      <c r="N40" s="265"/>
      <c r="O40" s="265"/>
      <c r="P40" s="265"/>
      <c r="Q40" s="265"/>
      <c r="R40" s="157">
        <v>0.0</v>
      </c>
      <c r="S40" s="157">
        <v>0.0</v>
      </c>
      <c r="T40" s="157">
        <v>0.0</v>
      </c>
      <c r="U40" s="157">
        <v>0.0</v>
      </c>
      <c r="V40" s="157" t="s">
        <v>354</v>
      </c>
      <c r="W40" s="157" t="s">
        <v>354</v>
      </c>
      <c r="X40" s="384" t="s">
        <v>356</v>
      </c>
      <c r="Y40" s="384" t="s">
        <v>354</v>
      </c>
      <c r="Z40" s="632" t="s">
        <v>356</v>
      </c>
      <c r="AA40" s="632" t="s">
        <v>354</v>
      </c>
      <c r="AB40" s="144" t="s">
        <v>365</v>
      </c>
      <c r="AC40" s="40" t="s">
        <v>357</v>
      </c>
      <c r="AD40" s="357">
        <f t="shared" si="1"/>
        <v>1</v>
      </c>
      <c r="AE40" s="265"/>
      <c r="AF40" s="265"/>
      <c r="AG40" s="265"/>
      <c r="AH40" s="265"/>
      <c r="AI40" s="157">
        <v>0.0</v>
      </c>
      <c r="AJ40" s="157">
        <v>0.0</v>
      </c>
      <c r="AK40" s="157">
        <v>0.0</v>
      </c>
      <c r="AL40" s="157">
        <v>0.0</v>
      </c>
      <c r="AM40" s="157">
        <v>0.0</v>
      </c>
      <c r="AN40" s="157">
        <v>1.0</v>
      </c>
      <c r="AO40" s="157">
        <v>0.0</v>
      </c>
      <c r="AP40" s="157">
        <v>0.0</v>
      </c>
      <c r="AQ40" s="363">
        <f t="shared" si="2"/>
        <v>1</v>
      </c>
      <c r="AR40" s="363">
        <f t="shared" si="3"/>
        <v>1</v>
      </c>
    </row>
    <row r="41">
      <c r="A41" s="157">
        <v>40.0</v>
      </c>
      <c r="B41" s="157" t="s">
        <v>228</v>
      </c>
      <c r="C41" s="46" t="s">
        <v>228</v>
      </c>
      <c r="D41" s="18" t="s">
        <v>1623</v>
      </c>
      <c r="E41" s="631">
        <v>40373.0</v>
      </c>
      <c r="F41" s="265"/>
      <c r="G41" s="265"/>
      <c r="H41" s="265"/>
      <c r="I41" s="265"/>
      <c r="J41" s="265"/>
      <c r="K41" s="265"/>
      <c r="L41" s="265"/>
      <c r="M41" s="265"/>
      <c r="N41" s="265"/>
      <c r="O41" s="265"/>
      <c r="P41" s="265"/>
      <c r="Q41" s="265"/>
      <c r="R41" s="157">
        <v>0.0</v>
      </c>
      <c r="S41" s="157">
        <v>0.0</v>
      </c>
      <c r="T41" s="157">
        <v>0.0</v>
      </c>
      <c r="U41" s="157">
        <v>0.0</v>
      </c>
      <c r="V41" s="157" t="s">
        <v>354</v>
      </c>
      <c r="W41" s="157" t="s">
        <v>354</v>
      </c>
      <c r="X41" s="355" t="s">
        <v>365</v>
      </c>
      <c r="Y41" s="40" t="s">
        <v>357</v>
      </c>
      <c r="Z41" s="356" t="s">
        <v>365</v>
      </c>
      <c r="AA41" s="40" t="s">
        <v>357</v>
      </c>
      <c r="AB41" s="144" t="s">
        <v>365</v>
      </c>
      <c r="AC41" s="40" t="s">
        <v>357</v>
      </c>
      <c r="AD41" s="357">
        <f t="shared" si="1"/>
        <v>3</v>
      </c>
      <c r="AE41" s="265"/>
      <c r="AF41" s="265"/>
      <c r="AG41" s="265"/>
      <c r="AH41" s="265"/>
      <c r="AI41" s="157">
        <v>0.0</v>
      </c>
      <c r="AJ41" s="157">
        <v>0.0</v>
      </c>
      <c r="AK41" s="157">
        <v>0.0</v>
      </c>
      <c r="AL41" s="157">
        <v>0.0</v>
      </c>
      <c r="AM41" s="157">
        <v>0.0</v>
      </c>
      <c r="AN41" s="157">
        <v>3.0</v>
      </c>
      <c r="AO41" s="157">
        <v>0.0</v>
      </c>
      <c r="AP41" s="157">
        <v>0.0</v>
      </c>
      <c r="AQ41" s="358">
        <f t="shared" si="2"/>
        <v>3</v>
      </c>
      <c r="AR41" s="358">
        <f t="shared" si="3"/>
        <v>1</v>
      </c>
    </row>
    <row r="42">
      <c r="A42" s="157">
        <v>41.0</v>
      </c>
      <c r="B42" s="638" t="s">
        <v>231</v>
      </c>
      <c r="C42" s="622" t="s">
        <v>231</v>
      </c>
      <c r="D42" s="602" t="s">
        <v>808</v>
      </c>
      <c r="E42" s="631">
        <v>40373.0</v>
      </c>
      <c r="F42" s="265"/>
      <c r="G42" s="265"/>
      <c r="H42" s="265"/>
      <c r="I42" s="265"/>
      <c r="J42" s="265"/>
      <c r="K42" s="265"/>
      <c r="L42" s="265"/>
      <c r="M42" s="265"/>
      <c r="N42" s="265"/>
      <c r="O42" s="265"/>
      <c r="P42" s="265"/>
      <c r="Q42" s="265"/>
      <c r="R42" s="157">
        <v>0.0</v>
      </c>
      <c r="S42" s="157">
        <v>0.0</v>
      </c>
      <c r="T42" s="157">
        <v>0.0</v>
      </c>
      <c r="U42" s="140">
        <v>38.71</v>
      </c>
      <c r="V42" s="157" t="s">
        <v>356</v>
      </c>
      <c r="W42" s="157" t="s">
        <v>354</v>
      </c>
      <c r="X42" s="364" t="s">
        <v>407</v>
      </c>
      <c r="Y42" s="364" t="s">
        <v>407</v>
      </c>
      <c r="Z42" s="365" t="s">
        <v>365</v>
      </c>
      <c r="AA42" s="366" t="s">
        <v>387</v>
      </c>
      <c r="AB42" s="144" t="s">
        <v>365</v>
      </c>
      <c r="AC42" s="40" t="s">
        <v>357</v>
      </c>
      <c r="AD42" s="357">
        <f t="shared" si="1"/>
        <v>2</v>
      </c>
      <c r="AE42" s="265"/>
      <c r="AF42" s="265"/>
      <c r="AG42" s="265"/>
      <c r="AH42" s="265"/>
      <c r="AI42" s="157">
        <v>0.0</v>
      </c>
      <c r="AJ42" s="157">
        <v>0.0</v>
      </c>
      <c r="AK42" s="157">
        <v>0.0</v>
      </c>
      <c r="AL42" s="157">
        <v>0.0</v>
      </c>
      <c r="AM42" s="157">
        <v>0.0</v>
      </c>
      <c r="AN42" s="157">
        <v>1.0</v>
      </c>
      <c r="AO42" s="157">
        <v>0.0</v>
      </c>
      <c r="AP42" s="157">
        <v>1.0</v>
      </c>
      <c r="AQ42" s="358">
        <f t="shared" si="2"/>
        <v>2</v>
      </c>
      <c r="AR42" s="358">
        <f t="shared" si="3"/>
        <v>2</v>
      </c>
    </row>
    <row r="43">
      <c r="A43" s="157">
        <v>42.0</v>
      </c>
      <c r="B43" s="157" t="s">
        <v>238</v>
      </c>
      <c r="C43" s="46" t="s">
        <v>238</v>
      </c>
      <c r="D43" s="18" t="s">
        <v>844</v>
      </c>
      <c r="E43" s="631">
        <v>40373.0</v>
      </c>
      <c r="F43" s="265"/>
      <c r="G43" s="265"/>
      <c r="H43" s="265"/>
      <c r="I43" s="265"/>
      <c r="J43" s="265"/>
      <c r="K43" s="265"/>
      <c r="L43" s="265"/>
      <c r="M43" s="265"/>
      <c r="N43" s="265"/>
      <c r="O43" s="265"/>
      <c r="P43" s="265"/>
      <c r="Q43" s="265"/>
      <c r="R43" s="157">
        <v>0.0</v>
      </c>
      <c r="S43" s="157">
        <v>0.0</v>
      </c>
      <c r="T43" s="157">
        <v>0.0</v>
      </c>
      <c r="U43" s="157">
        <v>0.0</v>
      </c>
      <c r="V43" s="157" t="s">
        <v>354</v>
      </c>
      <c r="W43" s="157" t="s">
        <v>354</v>
      </c>
      <c r="X43" s="384" t="s">
        <v>356</v>
      </c>
      <c r="Y43" s="384" t="s">
        <v>354</v>
      </c>
      <c r="Z43" s="365" t="s">
        <v>365</v>
      </c>
      <c r="AA43" s="391" t="s">
        <v>380</v>
      </c>
      <c r="AB43" s="139" t="s">
        <v>356</v>
      </c>
      <c r="AC43" s="139" t="s">
        <v>354</v>
      </c>
      <c r="AD43" s="357">
        <f t="shared" si="1"/>
        <v>1</v>
      </c>
      <c r="AE43" s="265"/>
      <c r="AF43" s="265"/>
      <c r="AG43" s="265"/>
      <c r="AH43" s="265"/>
      <c r="AI43" s="157">
        <v>0.0</v>
      </c>
      <c r="AJ43" s="157">
        <v>0.0</v>
      </c>
      <c r="AK43" s="157">
        <v>0.0</v>
      </c>
      <c r="AL43" s="157">
        <v>0.0</v>
      </c>
      <c r="AM43" s="157">
        <v>0.0</v>
      </c>
      <c r="AN43" s="157">
        <v>0.0</v>
      </c>
      <c r="AO43" s="157">
        <v>1.0</v>
      </c>
      <c r="AP43" s="157">
        <v>0.0</v>
      </c>
      <c r="AQ43" s="363">
        <f t="shared" si="2"/>
        <v>1</v>
      </c>
      <c r="AR43" s="363">
        <f t="shared" si="3"/>
        <v>1</v>
      </c>
    </row>
    <row r="44">
      <c r="A44" s="157">
        <v>43.0</v>
      </c>
      <c r="B44" s="157" t="s">
        <v>241</v>
      </c>
      <c r="C44" s="46" t="s">
        <v>241</v>
      </c>
      <c r="D44" s="98" t="s">
        <v>853</v>
      </c>
      <c r="E44" s="631">
        <v>40373.0</v>
      </c>
      <c r="F44" s="265"/>
      <c r="G44" s="265"/>
      <c r="H44" s="265"/>
      <c r="I44" s="265"/>
      <c r="J44" s="265"/>
      <c r="K44" s="265"/>
      <c r="L44" s="265"/>
      <c r="M44" s="265"/>
      <c r="N44" s="265"/>
      <c r="O44" s="265"/>
      <c r="P44" s="265"/>
      <c r="Q44" s="265"/>
      <c r="R44" s="140">
        <v>32.07</v>
      </c>
      <c r="S44" s="157">
        <v>0.0</v>
      </c>
      <c r="T44" s="157">
        <v>0.0</v>
      </c>
      <c r="U44" s="157">
        <v>0.0</v>
      </c>
      <c r="V44" s="157" t="s">
        <v>354</v>
      </c>
      <c r="W44" s="157" t="s">
        <v>354</v>
      </c>
      <c r="X44" s="355" t="s">
        <v>365</v>
      </c>
      <c r="Y44" s="40" t="s">
        <v>357</v>
      </c>
      <c r="Z44" s="356" t="s">
        <v>365</v>
      </c>
      <c r="AA44" s="40" t="s">
        <v>357</v>
      </c>
      <c r="AB44" s="144" t="s">
        <v>365</v>
      </c>
      <c r="AC44" s="40" t="s">
        <v>357</v>
      </c>
      <c r="AD44" s="357">
        <f t="shared" si="1"/>
        <v>4</v>
      </c>
      <c r="AE44" s="265"/>
      <c r="AF44" s="265"/>
      <c r="AG44" s="265"/>
      <c r="AH44" s="265"/>
      <c r="AI44" s="157">
        <v>0.0</v>
      </c>
      <c r="AJ44" s="157">
        <v>0.0</v>
      </c>
      <c r="AK44" s="157">
        <v>0.0</v>
      </c>
      <c r="AL44" s="157">
        <v>0.0</v>
      </c>
      <c r="AM44" s="157">
        <v>0.0</v>
      </c>
      <c r="AN44" s="157">
        <v>3.0</v>
      </c>
      <c r="AO44" s="157">
        <v>0.0</v>
      </c>
      <c r="AP44" s="157">
        <v>0.0</v>
      </c>
      <c r="AQ44" s="358">
        <f t="shared" si="2"/>
        <v>3</v>
      </c>
      <c r="AR44" s="358">
        <f t="shared" si="3"/>
        <v>1</v>
      </c>
    </row>
    <row r="45">
      <c r="A45" s="157">
        <v>44.0</v>
      </c>
      <c r="B45" s="157" t="s">
        <v>244</v>
      </c>
      <c r="C45" s="46" t="s">
        <v>244</v>
      </c>
      <c r="D45" s="18" t="s">
        <v>856</v>
      </c>
      <c r="E45" s="631">
        <v>40373.0</v>
      </c>
      <c r="F45" s="265"/>
      <c r="G45" s="265"/>
      <c r="H45" s="265"/>
      <c r="I45" s="265"/>
      <c r="J45" s="265"/>
      <c r="K45" s="265"/>
      <c r="L45" s="265"/>
      <c r="M45" s="265"/>
      <c r="N45" s="265"/>
      <c r="O45" s="265"/>
      <c r="P45" s="265"/>
      <c r="Q45" s="265"/>
      <c r="R45" s="157">
        <v>0.0</v>
      </c>
      <c r="S45" s="157">
        <v>0.0</v>
      </c>
      <c r="T45" s="157">
        <v>0.0</v>
      </c>
      <c r="U45" s="157">
        <v>0.0</v>
      </c>
      <c r="V45" s="157" t="s">
        <v>354</v>
      </c>
      <c r="W45" s="157" t="s">
        <v>354</v>
      </c>
      <c r="X45" s="355" t="s">
        <v>365</v>
      </c>
      <c r="Y45" s="40" t="s">
        <v>357</v>
      </c>
      <c r="Z45" s="356" t="s">
        <v>365</v>
      </c>
      <c r="AA45" s="40" t="s">
        <v>357</v>
      </c>
      <c r="AB45" s="144" t="s">
        <v>365</v>
      </c>
      <c r="AC45" s="40" t="s">
        <v>357</v>
      </c>
      <c r="AD45" s="357">
        <f t="shared" si="1"/>
        <v>3</v>
      </c>
      <c r="AE45" s="265"/>
      <c r="AF45" s="265"/>
      <c r="AG45" s="265"/>
      <c r="AH45" s="265"/>
      <c r="AI45" s="157">
        <v>0.0</v>
      </c>
      <c r="AJ45" s="157">
        <v>0.0</v>
      </c>
      <c r="AK45" s="157">
        <v>0.0</v>
      </c>
      <c r="AL45" s="157">
        <v>0.0</v>
      </c>
      <c r="AM45" s="157">
        <v>0.0</v>
      </c>
      <c r="AN45" s="157">
        <v>3.0</v>
      </c>
      <c r="AO45" s="157">
        <v>0.0</v>
      </c>
      <c r="AP45" s="157">
        <v>0.0</v>
      </c>
      <c r="AQ45" s="358">
        <f t="shared" si="2"/>
        <v>3</v>
      </c>
      <c r="AR45" s="358">
        <f t="shared" si="3"/>
        <v>1</v>
      </c>
    </row>
    <row r="46">
      <c r="A46" s="157">
        <v>45.0</v>
      </c>
      <c r="B46" s="157" t="s">
        <v>247</v>
      </c>
      <c r="C46" s="49" t="s">
        <v>869</v>
      </c>
      <c r="D46" s="98" t="s">
        <v>870</v>
      </c>
      <c r="E46" s="631">
        <v>40373.0</v>
      </c>
      <c r="F46" s="265"/>
      <c r="G46" s="265"/>
      <c r="H46" s="265"/>
      <c r="I46" s="265"/>
      <c r="J46" s="265"/>
      <c r="K46" s="265"/>
      <c r="L46" s="265"/>
      <c r="M46" s="265"/>
      <c r="N46" s="265"/>
      <c r="O46" s="265"/>
      <c r="P46" s="265"/>
      <c r="Q46" s="265"/>
      <c r="R46" s="140">
        <v>30.07</v>
      </c>
      <c r="S46" s="157">
        <v>0.0</v>
      </c>
      <c r="T46" s="157">
        <v>0.0</v>
      </c>
      <c r="U46" s="157">
        <v>0.0</v>
      </c>
      <c r="V46" s="157" t="s">
        <v>354</v>
      </c>
      <c r="W46" s="157" t="s">
        <v>354</v>
      </c>
      <c r="X46" s="384" t="s">
        <v>356</v>
      </c>
      <c r="Y46" s="384" t="s">
        <v>354</v>
      </c>
      <c r="Z46" s="632" t="s">
        <v>356</v>
      </c>
      <c r="AA46" s="632" t="s">
        <v>354</v>
      </c>
      <c r="AB46" s="139" t="s">
        <v>356</v>
      </c>
      <c r="AC46" s="139" t="s">
        <v>354</v>
      </c>
      <c r="AD46" s="46">
        <f t="shared" si="1"/>
        <v>1</v>
      </c>
      <c r="AE46" s="265"/>
      <c r="AF46" s="265"/>
      <c r="AG46" s="265"/>
      <c r="AH46" s="265"/>
      <c r="AI46" s="157">
        <v>0.0</v>
      </c>
      <c r="AJ46" s="157">
        <v>0.0</v>
      </c>
      <c r="AK46" s="157">
        <v>0.0</v>
      </c>
      <c r="AL46" s="157">
        <v>0.0</v>
      </c>
      <c r="AM46" s="157">
        <v>0.0</v>
      </c>
      <c r="AN46" s="157">
        <v>0.0</v>
      </c>
      <c r="AO46" s="157">
        <v>0.0</v>
      </c>
      <c r="AP46" s="157">
        <v>0.0</v>
      </c>
      <c r="AQ46" s="182">
        <f t="shared" si="2"/>
        <v>0</v>
      </c>
      <c r="AR46" s="182">
        <f t="shared" si="3"/>
        <v>0</v>
      </c>
    </row>
    <row r="47">
      <c r="A47" s="157">
        <v>46.0</v>
      </c>
      <c r="B47" s="157" t="s">
        <v>250</v>
      </c>
      <c r="C47" s="46" t="s">
        <v>250</v>
      </c>
      <c r="D47" s="18" t="s">
        <v>874</v>
      </c>
      <c r="E47" s="631">
        <v>40373.0</v>
      </c>
      <c r="F47" s="265"/>
      <c r="G47" s="265"/>
      <c r="H47" s="265"/>
      <c r="I47" s="265"/>
      <c r="J47" s="265"/>
      <c r="K47" s="265"/>
      <c r="L47" s="265"/>
      <c r="M47" s="265"/>
      <c r="N47" s="265"/>
      <c r="O47" s="265"/>
      <c r="P47" s="265"/>
      <c r="Q47" s="265"/>
      <c r="R47" s="157">
        <v>0.0</v>
      </c>
      <c r="S47" s="157">
        <v>0.0</v>
      </c>
      <c r="T47" s="157">
        <v>0.0</v>
      </c>
      <c r="U47" s="157">
        <v>0.0</v>
      </c>
      <c r="V47" s="157" t="s">
        <v>354</v>
      </c>
      <c r="W47" s="157" t="s">
        <v>354</v>
      </c>
      <c r="X47" s="384" t="s">
        <v>356</v>
      </c>
      <c r="Y47" s="384" t="s">
        <v>354</v>
      </c>
      <c r="Z47" s="632" t="s">
        <v>356</v>
      </c>
      <c r="AA47" s="632" t="s">
        <v>354</v>
      </c>
      <c r="AB47" s="139" t="s">
        <v>356</v>
      </c>
      <c r="AC47" s="139" t="s">
        <v>354</v>
      </c>
      <c r="AD47" s="46">
        <f t="shared" si="1"/>
        <v>0</v>
      </c>
      <c r="AE47" s="265"/>
      <c r="AF47" s="265"/>
      <c r="AG47" s="265"/>
      <c r="AH47" s="265"/>
      <c r="AI47" s="157">
        <v>0.0</v>
      </c>
      <c r="AJ47" s="157">
        <v>0.0</v>
      </c>
      <c r="AK47" s="157">
        <v>0.0</v>
      </c>
      <c r="AL47" s="157">
        <v>0.0</v>
      </c>
      <c r="AM47" s="157">
        <v>0.0</v>
      </c>
      <c r="AN47" s="157">
        <v>0.0</v>
      </c>
      <c r="AO47" s="157">
        <v>0.0</v>
      </c>
      <c r="AP47" s="157">
        <v>0.0</v>
      </c>
      <c r="AQ47" s="182">
        <f t="shared" si="2"/>
        <v>0</v>
      </c>
      <c r="AR47" s="182">
        <f t="shared" si="3"/>
        <v>0</v>
      </c>
    </row>
    <row r="48">
      <c r="A48" s="157">
        <v>47.0</v>
      </c>
      <c r="B48" s="157" t="s">
        <v>265</v>
      </c>
      <c r="C48" s="49" t="s">
        <v>906</v>
      </c>
      <c r="D48" s="18" t="s">
        <v>907</v>
      </c>
      <c r="E48" s="631">
        <v>40373.0</v>
      </c>
      <c r="F48" s="265"/>
      <c r="G48" s="265"/>
      <c r="H48" s="265"/>
      <c r="I48" s="265"/>
      <c r="J48" s="265"/>
      <c r="K48" s="265"/>
      <c r="L48" s="265"/>
      <c r="M48" s="265"/>
      <c r="N48" s="265"/>
      <c r="O48" s="265"/>
      <c r="P48" s="265"/>
      <c r="Q48" s="265"/>
      <c r="R48" s="140">
        <v>28.53</v>
      </c>
      <c r="S48" s="157">
        <v>0.0</v>
      </c>
      <c r="T48" s="157">
        <v>0.0</v>
      </c>
      <c r="U48" s="157">
        <v>0.0</v>
      </c>
      <c r="V48" s="157" t="s">
        <v>354</v>
      </c>
      <c r="W48" s="157" t="s">
        <v>354</v>
      </c>
      <c r="X48" s="384" t="s">
        <v>356</v>
      </c>
      <c r="Y48" s="384" t="s">
        <v>354</v>
      </c>
      <c r="Z48" s="632" t="s">
        <v>356</v>
      </c>
      <c r="AA48" s="632" t="s">
        <v>354</v>
      </c>
      <c r="AB48" s="139" t="s">
        <v>356</v>
      </c>
      <c r="AC48" s="139" t="s">
        <v>354</v>
      </c>
      <c r="AD48" s="46">
        <f t="shared" si="1"/>
        <v>1</v>
      </c>
      <c r="AE48" s="265"/>
      <c r="AF48" s="265"/>
      <c r="AG48" s="265"/>
      <c r="AH48" s="265"/>
      <c r="AI48" s="157">
        <v>0.0</v>
      </c>
      <c r="AJ48" s="157">
        <v>0.0</v>
      </c>
      <c r="AK48" s="157">
        <v>0.0</v>
      </c>
      <c r="AL48" s="157">
        <v>0.0</v>
      </c>
      <c r="AM48" s="157">
        <v>0.0</v>
      </c>
      <c r="AN48" s="157">
        <v>0.0</v>
      </c>
      <c r="AO48" s="157">
        <v>0.0</v>
      </c>
      <c r="AP48" s="157">
        <v>0.0</v>
      </c>
      <c r="AQ48" s="182">
        <f t="shared" si="2"/>
        <v>0</v>
      </c>
      <c r="AR48" s="182">
        <f t="shared" si="3"/>
        <v>0</v>
      </c>
    </row>
    <row r="49">
      <c r="A49" s="157">
        <v>48.0</v>
      </c>
      <c r="B49" s="157" t="s">
        <v>268</v>
      </c>
      <c r="C49" s="46" t="s">
        <v>268</v>
      </c>
      <c r="D49" s="18" t="s">
        <v>1626</v>
      </c>
      <c r="E49" s="631">
        <v>40373.0</v>
      </c>
      <c r="F49" s="265"/>
      <c r="G49" s="265"/>
      <c r="H49" s="265"/>
      <c r="I49" s="265"/>
      <c r="J49" s="265"/>
      <c r="K49" s="265"/>
      <c r="L49" s="265"/>
      <c r="M49" s="265"/>
      <c r="N49" s="265"/>
      <c r="O49" s="265"/>
      <c r="P49" s="265"/>
      <c r="Q49" s="265"/>
      <c r="R49" s="140">
        <v>32.11</v>
      </c>
      <c r="S49" s="157">
        <v>0.0</v>
      </c>
      <c r="T49" s="157">
        <v>0.0</v>
      </c>
      <c r="U49" s="157">
        <v>0.0</v>
      </c>
      <c r="V49" s="157" t="s">
        <v>354</v>
      </c>
      <c r="W49" s="157" t="s">
        <v>354</v>
      </c>
      <c r="X49" s="355" t="s">
        <v>365</v>
      </c>
      <c r="Y49" s="40" t="s">
        <v>357</v>
      </c>
      <c r="Z49" s="356" t="s">
        <v>365</v>
      </c>
      <c r="AA49" s="40" t="s">
        <v>357</v>
      </c>
      <c r="AB49" s="144" t="s">
        <v>365</v>
      </c>
      <c r="AC49" s="40" t="s">
        <v>357</v>
      </c>
      <c r="AD49" s="357">
        <f t="shared" si="1"/>
        <v>4</v>
      </c>
      <c r="AE49" s="265"/>
      <c r="AF49" s="265"/>
      <c r="AG49" s="265"/>
      <c r="AH49" s="265"/>
      <c r="AI49" s="157">
        <v>0.0</v>
      </c>
      <c r="AJ49" s="157">
        <v>0.0</v>
      </c>
      <c r="AK49" s="157">
        <v>0.0</v>
      </c>
      <c r="AL49" s="157">
        <v>0.0</v>
      </c>
      <c r="AM49" s="157">
        <v>0.0</v>
      </c>
      <c r="AN49" s="157">
        <v>3.0</v>
      </c>
      <c r="AO49" s="157">
        <v>0.0</v>
      </c>
      <c r="AP49" s="157">
        <v>0.0</v>
      </c>
      <c r="AQ49" s="358">
        <f t="shared" si="2"/>
        <v>3</v>
      </c>
      <c r="AR49" s="358">
        <f t="shared" si="3"/>
        <v>1</v>
      </c>
    </row>
    <row r="50">
      <c r="A50" s="157">
        <v>49.0</v>
      </c>
      <c r="B50" s="157" t="s">
        <v>282</v>
      </c>
      <c r="C50" s="46" t="s">
        <v>282</v>
      </c>
      <c r="D50" s="98" t="s">
        <v>937</v>
      </c>
      <c r="E50" s="631">
        <v>40373.0</v>
      </c>
      <c r="F50" s="265"/>
      <c r="G50" s="265"/>
      <c r="H50" s="265"/>
      <c r="I50" s="265"/>
      <c r="J50" s="265"/>
      <c r="K50" s="265"/>
      <c r="L50" s="265"/>
      <c r="M50" s="265"/>
      <c r="N50" s="265"/>
      <c r="O50" s="265"/>
      <c r="P50" s="265"/>
      <c r="Q50" s="265"/>
      <c r="R50" s="157">
        <v>0.0</v>
      </c>
      <c r="S50" s="157">
        <v>0.0</v>
      </c>
      <c r="T50" s="157">
        <v>0.0</v>
      </c>
      <c r="U50" s="157">
        <v>0.0</v>
      </c>
      <c r="V50" s="157" t="s">
        <v>354</v>
      </c>
      <c r="W50" s="157" t="s">
        <v>354</v>
      </c>
      <c r="X50" s="384" t="s">
        <v>356</v>
      </c>
      <c r="Y50" s="384" t="s">
        <v>354</v>
      </c>
      <c r="Z50" s="632" t="s">
        <v>356</v>
      </c>
      <c r="AA50" s="632" t="s">
        <v>354</v>
      </c>
      <c r="AB50" s="139" t="s">
        <v>356</v>
      </c>
      <c r="AC50" s="139" t="s">
        <v>354</v>
      </c>
      <c r="AD50" s="46">
        <f t="shared" si="1"/>
        <v>0</v>
      </c>
      <c r="AE50" s="265"/>
      <c r="AF50" s="265"/>
      <c r="AG50" s="265"/>
      <c r="AH50" s="265"/>
      <c r="AI50" s="157">
        <v>0.0</v>
      </c>
      <c r="AJ50" s="157">
        <v>0.0</v>
      </c>
      <c r="AK50" s="157">
        <v>0.0</v>
      </c>
      <c r="AL50" s="157">
        <v>0.0</v>
      </c>
      <c r="AM50" s="157">
        <v>0.0</v>
      </c>
      <c r="AN50" s="157">
        <v>0.0</v>
      </c>
      <c r="AO50" s="157">
        <v>0.0</v>
      </c>
      <c r="AP50" s="157">
        <v>0.0</v>
      </c>
      <c r="AQ50" s="182">
        <f t="shared" si="2"/>
        <v>0</v>
      </c>
      <c r="AR50" s="182">
        <f t="shared" si="3"/>
        <v>0</v>
      </c>
    </row>
    <row r="51">
      <c r="A51" s="157">
        <v>50.0</v>
      </c>
      <c r="B51" s="157" t="s">
        <v>236</v>
      </c>
      <c r="C51" s="46" t="s">
        <v>234</v>
      </c>
      <c r="D51" s="18" t="s">
        <v>1625</v>
      </c>
      <c r="E51" s="631">
        <v>40373.0</v>
      </c>
      <c r="F51" s="265"/>
      <c r="G51" s="265"/>
      <c r="H51" s="265"/>
      <c r="I51" s="265"/>
      <c r="J51" s="265"/>
      <c r="K51" s="265"/>
      <c r="L51" s="265"/>
      <c r="M51" s="265"/>
      <c r="N51" s="265"/>
      <c r="O51" s="265"/>
      <c r="P51" s="265"/>
      <c r="Q51" s="265"/>
      <c r="R51" s="157">
        <v>0.0</v>
      </c>
      <c r="S51" s="157">
        <v>0.0</v>
      </c>
      <c r="T51" s="157">
        <v>0.0</v>
      </c>
      <c r="U51" s="157">
        <v>0.0</v>
      </c>
      <c r="V51" s="157" t="s">
        <v>354</v>
      </c>
      <c r="W51" s="157" t="s">
        <v>354</v>
      </c>
      <c r="X51" s="355" t="s">
        <v>365</v>
      </c>
      <c r="Y51" s="40" t="s">
        <v>357</v>
      </c>
      <c r="Z51" s="356" t="s">
        <v>365</v>
      </c>
      <c r="AA51" s="162" t="s">
        <v>363</v>
      </c>
      <c r="AB51" s="139" t="s">
        <v>356</v>
      </c>
      <c r="AC51" s="139" t="s">
        <v>354</v>
      </c>
      <c r="AD51" s="357">
        <f t="shared" si="1"/>
        <v>2</v>
      </c>
      <c r="AE51" s="265"/>
      <c r="AF51" s="265"/>
      <c r="AG51" s="265"/>
      <c r="AH51" s="265"/>
      <c r="AI51" s="157">
        <v>0.0</v>
      </c>
      <c r="AJ51" s="157">
        <v>0.0</v>
      </c>
      <c r="AK51" s="157">
        <v>0.0</v>
      </c>
      <c r="AL51" s="157">
        <v>1.0</v>
      </c>
      <c r="AM51" s="157">
        <v>0.0</v>
      </c>
      <c r="AN51" s="157">
        <v>1.0</v>
      </c>
      <c r="AO51" s="157">
        <v>0.0</v>
      </c>
      <c r="AP51" s="157">
        <v>0.0</v>
      </c>
      <c r="AQ51" s="358">
        <f t="shared" si="2"/>
        <v>2</v>
      </c>
      <c r="AR51" s="358">
        <f t="shared" si="3"/>
        <v>2</v>
      </c>
    </row>
    <row r="52">
      <c r="A52" s="157">
        <v>51.0</v>
      </c>
      <c r="B52" s="157" t="s">
        <v>24</v>
      </c>
      <c r="C52" s="48" t="s">
        <v>24</v>
      </c>
      <c r="D52" s="482" t="s">
        <v>391</v>
      </c>
      <c r="E52" s="631">
        <v>40373.0</v>
      </c>
      <c r="F52" s="265"/>
      <c r="G52" s="265"/>
      <c r="H52" s="265"/>
      <c r="I52" s="265"/>
      <c r="J52" s="265"/>
      <c r="K52" s="265"/>
      <c r="L52" s="265"/>
      <c r="M52" s="265"/>
      <c r="N52" s="265"/>
      <c r="O52" s="265"/>
      <c r="P52" s="265"/>
      <c r="Q52" s="265"/>
      <c r="R52" s="157">
        <v>0.0</v>
      </c>
      <c r="S52" s="157">
        <v>0.0</v>
      </c>
      <c r="T52" s="157">
        <v>0.0</v>
      </c>
      <c r="U52" s="157">
        <v>0.0</v>
      </c>
      <c r="V52" s="157" t="s">
        <v>354</v>
      </c>
      <c r="W52" s="157" t="s">
        <v>354</v>
      </c>
      <c r="X52" s="364" t="s">
        <v>361</v>
      </c>
      <c r="Y52" s="364" t="s">
        <v>361</v>
      </c>
      <c r="Z52" s="356" t="s">
        <v>365</v>
      </c>
      <c r="AA52" s="40" t="s">
        <v>357</v>
      </c>
      <c r="AB52" s="139" t="s">
        <v>356</v>
      </c>
      <c r="AC52" s="139" t="s">
        <v>354</v>
      </c>
      <c r="AD52" s="357">
        <f t="shared" si="1"/>
        <v>1</v>
      </c>
      <c r="AE52" s="265"/>
      <c r="AF52" s="265"/>
      <c r="AG52" s="265"/>
      <c r="AH52" s="265"/>
      <c r="AI52" s="157">
        <v>0.0</v>
      </c>
      <c r="AJ52" s="157">
        <v>0.0</v>
      </c>
      <c r="AK52" s="157">
        <v>0.0</v>
      </c>
      <c r="AL52" s="157">
        <v>0.0</v>
      </c>
      <c r="AM52" s="157">
        <v>0.0</v>
      </c>
      <c r="AN52" s="157">
        <v>1.0</v>
      </c>
      <c r="AO52" s="157">
        <v>0.0</v>
      </c>
      <c r="AP52" s="157">
        <v>0.0</v>
      </c>
      <c r="AQ52" s="363">
        <f t="shared" si="2"/>
        <v>1</v>
      </c>
      <c r="AR52" s="363">
        <f t="shared" si="3"/>
        <v>1</v>
      </c>
    </row>
    <row r="53">
      <c r="A53" s="157">
        <v>52.0</v>
      </c>
      <c r="B53" s="157" t="s">
        <v>42</v>
      </c>
      <c r="C53" s="46" t="s">
        <v>42</v>
      </c>
      <c r="D53" s="18" t="s">
        <v>421</v>
      </c>
      <c r="E53" s="631">
        <v>40373.0</v>
      </c>
      <c r="F53" s="265"/>
      <c r="G53" s="265"/>
      <c r="H53" s="265"/>
      <c r="I53" s="265"/>
      <c r="J53" s="265"/>
      <c r="K53" s="265"/>
      <c r="L53" s="265"/>
      <c r="M53" s="265"/>
      <c r="N53" s="265"/>
      <c r="O53" s="265"/>
      <c r="P53" s="265"/>
      <c r="Q53" s="265"/>
      <c r="R53" s="157">
        <v>0.0</v>
      </c>
      <c r="S53" s="157">
        <v>0.0</v>
      </c>
      <c r="T53" s="157">
        <v>0.0</v>
      </c>
      <c r="U53" s="157">
        <v>0.0</v>
      </c>
      <c r="V53" s="157" t="s">
        <v>354</v>
      </c>
      <c r="W53" s="157" t="s">
        <v>354</v>
      </c>
      <c r="X53" s="384" t="s">
        <v>356</v>
      </c>
      <c r="Y53" s="384" t="s">
        <v>354</v>
      </c>
      <c r="Z53" s="632" t="s">
        <v>356</v>
      </c>
      <c r="AA53" s="632" t="s">
        <v>354</v>
      </c>
      <c r="AB53" s="139" t="s">
        <v>356</v>
      </c>
      <c r="AC53" s="139" t="s">
        <v>354</v>
      </c>
      <c r="AD53" s="46">
        <f t="shared" si="1"/>
        <v>0</v>
      </c>
      <c r="AE53" s="265"/>
      <c r="AF53" s="265"/>
      <c r="AG53" s="265"/>
      <c r="AH53" s="265"/>
      <c r="AI53" s="157">
        <v>0.0</v>
      </c>
      <c r="AJ53" s="157">
        <v>0.0</v>
      </c>
      <c r="AK53" s="157">
        <v>0.0</v>
      </c>
      <c r="AL53" s="157">
        <v>0.0</v>
      </c>
      <c r="AM53" s="157">
        <v>0.0</v>
      </c>
      <c r="AN53" s="157">
        <v>0.0</v>
      </c>
      <c r="AO53" s="157">
        <v>0.0</v>
      </c>
      <c r="AP53" s="157">
        <v>0.0</v>
      </c>
      <c r="AQ53" s="182">
        <f t="shared" si="2"/>
        <v>0</v>
      </c>
      <c r="AR53" s="182">
        <f t="shared" si="3"/>
        <v>0</v>
      </c>
    </row>
    <row r="54">
      <c r="A54" s="157">
        <v>53.0</v>
      </c>
      <c r="B54" s="157" t="s">
        <v>19</v>
      </c>
      <c r="C54" s="46" t="s">
        <v>19</v>
      </c>
      <c r="D54" s="18" t="s">
        <v>383</v>
      </c>
      <c r="E54" s="631">
        <v>40373.0</v>
      </c>
      <c r="F54" s="265"/>
      <c r="G54" s="265"/>
      <c r="H54" s="265"/>
      <c r="I54" s="265"/>
      <c r="J54" s="265"/>
      <c r="K54" s="265"/>
      <c r="L54" s="265"/>
      <c r="M54" s="265"/>
      <c r="N54" s="265"/>
      <c r="O54" s="265"/>
      <c r="P54" s="265"/>
      <c r="Q54" s="265"/>
      <c r="R54" s="140">
        <v>28.85</v>
      </c>
      <c r="S54" s="157">
        <v>0.0</v>
      </c>
      <c r="T54" s="157">
        <v>0.0</v>
      </c>
      <c r="U54" s="157">
        <v>0.0</v>
      </c>
      <c r="V54" s="157" t="s">
        <v>354</v>
      </c>
      <c r="W54" s="157" t="s">
        <v>354</v>
      </c>
      <c r="X54" s="364" t="s">
        <v>361</v>
      </c>
      <c r="Y54" s="364" t="s">
        <v>361</v>
      </c>
      <c r="Z54" s="356" t="s">
        <v>365</v>
      </c>
      <c r="AA54" s="162" t="s">
        <v>363</v>
      </c>
      <c r="AB54" s="144" t="s">
        <v>365</v>
      </c>
      <c r="AC54" s="162" t="s">
        <v>363</v>
      </c>
      <c r="AD54" s="357">
        <f t="shared" si="1"/>
        <v>3</v>
      </c>
      <c r="AE54" s="265"/>
      <c r="AF54" s="265"/>
      <c r="AG54" s="265"/>
      <c r="AH54" s="265"/>
      <c r="AI54" s="157">
        <v>0.0</v>
      </c>
      <c r="AJ54" s="157">
        <v>0.0</v>
      </c>
      <c r="AK54" s="157">
        <v>0.0</v>
      </c>
      <c r="AL54" s="157">
        <v>2.0</v>
      </c>
      <c r="AM54" s="157">
        <v>0.0</v>
      </c>
      <c r="AN54" s="157">
        <v>0.0</v>
      </c>
      <c r="AO54" s="157">
        <v>0.0</v>
      </c>
      <c r="AP54" s="157">
        <v>0.0</v>
      </c>
      <c r="AQ54" s="358">
        <f t="shared" si="2"/>
        <v>2</v>
      </c>
      <c r="AR54" s="358">
        <f t="shared" si="3"/>
        <v>1</v>
      </c>
    </row>
    <row r="55">
      <c r="A55" s="157">
        <v>54.0</v>
      </c>
      <c r="B55" s="157" t="s">
        <v>29</v>
      </c>
      <c r="C55" s="46" t="s">
        <v>29</v>
      </c>
      <c r="D55" s="18" t="s">
        <v>401</v>
      </c>
      <c r="E55" s="631">
        <v>40373.0</v>
      </c>
      <c r="F55" s="265"/>
      <c r="G55" s="265"/>
      <c r="H55" s="265"/>
      <c r="I55" s="265"/>
      <c r="J55" s="265"/>
      <c r="K55" s="265"/>
      <c r="L55" s="265"/>
      <c r="M55" s="265"/>
      <c r="N55" s="265"/>
      <c r="O55" s="265"/>
      <c r="P55" s="265"/>
      <c r="Q55" s="265"/>
      <c r="R55" s="140">
        <v>26.19</v>
      </c>
      <c r="S55" s="157">
        <v>0.0</v>
      </c>
      <c r="T55" s="157">
        <v>0.0</v>
      </c>
      <c r="U55" s="157">
        <v>0.0</v>
      </c>
      <c r="V55" s="157" t="s">
        <v>354</v>
      </c>
      <c r="W55" s="157" t="s">
        <v>354</v>
      </c>
      <c r="X55" s="355" t="s">
        <v>365</v>
      </c>
      <c r="Y55" s="40" t="s">
        <v>357</v>
      </c>
      <c r="Z55" s="356" t="s">
        <v>365</v>
      </c>
      <c r="AA55" s="40" t="s">
        <v>357</v>
      </c>
      <c r="AB55" s="144" t="s">
        <v>365</v>
      </c>
      <c r="AC55" s="40" t="s">
        <v>357</v>
      </c>
      <c r="AD55" s="357">
        <f t="shared" si="1"/>
        <v>4</v>
      </c>
      <c r="AE55" s="265"/>
      <c r="AF55" s="265"/>
      <c r="AG55" s="265"/>
      <c r="AH55" s="265"/>
      <c r="AI55" s="157">
        <v>0.0</v>
      </c>
      <c r="AJ55" s="157">
        <v>0.0</v>
      </c>
      <c r="AK55" s="157">
        <v>0.0</v>
      </c>
      <c r="AL55" s="157">
        <v>0.0</v>
      </c>
      <c r="AM55" s="157">
        <v>0.0</v>
      </c>
      <c r="AN55" s="157">
        <v>3.0</v>
      </c>
      <c r="AO55" s="157">
        <v>0.0</v>
      </c>
      <c r="AP55" s="157">
        <v>0.0</v>
      </c>
      <c r="AQ55" s="358">
        <f t="shared" si="2"/>
        <v>3</v>
      </c>
      <c r="AR55" s="358">
        <f t="shared" si="3"/>
        <v>1</v>
      </c>
    </row>
    <row r="56">
      <c r="A56" s="157">
        <v>55.0</v>
      </c>
      <c r="B56" s="157" t="s">
        <v>36</v>
      </c>
      <c r="C56" s="46" t="s">
        <v>36</v>
      </c>
      <c r="D56" s="18" t="s">
        <v>411</v>
      </c>
      <c r="E56" s="631">
        <v>40373.0</v>
      </c>
      <c r="F56" s="265"/>
      <c r="G56" s="265"/>
      <c r="H56" s="265"/>
      <c r="I56" s="265"/>
      <c r="J56" s="265"/>
      <c r="K56" s="265"/>
      <c r="L56" s="265"/>
      <c r="M56" s="265"/>
      <c r="N56" s="265"/>
      <c r="O56" s="265"/>
      <c r="P56" s="265"/>
      <c r="Q56" s="265"/>
      <c r="R56" s="157">
        <v>0.0</v>
      </c>
      <c r="S56" s="157">
        <v>0.0</v>
      </c>
      <c r="T56" s="157">
        <v>0.0</v>
      </c>
      <c r="U56" s="157">
        <v>0.0</v>
      </c>
      <c r="V56" s="157" t="s">
        <v>354</v>
      </c>
      <c r="W56" s="157" t="s">
        <v>354</v>
      </c>
      <c r="X56" s="364" t="s">
        <v>407</v>
      </c>
      <c r="Y56" s="364" t="s">
        <v>407</v>
      </c>
      <c r="Z56" s="632" t="s">
        <v>356</v>
      </c>
      <c r="AA56" s="632" t="s">
        <v>354</v>
      </c>
      <c r="AB56" s="139" t="s">
        <v>356</v>
      </c>
      <c r="AC56" s="139" t="s">
        <v>354</v>
      </c>
      <c r="AD56" s="46">
        <f t="shared" si="1"/>
        <v>0</v>
      </c>
      <c r="AE56" s="265"/>
      <c r="AF56" s="265"/>
      <c r="AG56" s="265"/>
      <c r="AH56" s="265"/>
      <c r="AI56" s="157">
        <v>0.0</v>
      </c>
      <c r="AJ56" s="157">
        <v>0.0</v>
      </c>
      <c r="AK56" s="157">
        <v>0.0</v>
      </c>
      <c r="AL56" s="157">
        <v>0.0</v>
      </c>
      <c r="AM56" s="157">
        <v>0.0</v>
      </c>
      <c r="AN56" s="157">
        <v>0.0</v>
      </c>
      <c r="AO56" s="157">
        <v>0.0</v>
      </c>
      <c r="AP56" s="157">
        <v>0.0</v>
      </c>
      <c r="AQ56" s="182">
        <f t="shared" si="2"/>
        <v>0</v>
      </c>
      <c r="AR56" s="182">
        <f t="shared" si="3"/>
        <v>0</v>
      </c>
    </row>
    <row r="57">
      <c r="A57" s="157">
        <v>56.0</v>
      </c>
      <c r="B57" s="157" t="s">
        <v>6</v>
      </c>
      <c r="C57" s="48" t="s">
        <v>6</v>
      </c>
      <c r="D57" s="482" t="s">
        <v>1599</v>
      </c>
      <c r="E57" s="631">
        <v>40373.0</v>
      </c>
      <c r="F57" s="265"/>
      <c r="G57" s="265"/>
      <c r="H57" s="265"/>
      <c r="I57" s="265"/>
      <c r="J57" s="265"/>
      <c r="K57" s="265"/>
      <c r="L57" s="265"/>
      <c r="M57" s="265"/>
      <c r="N57" s="265"/>
      <c r="O57" s="265"/>
      <c r="P57" s="265"/>
      <c r="Q57" s="265"/>
      <c r="R57" s="157">
        <v>0.0</v>
      </c>
      <c r="S57" s="157">
        <v>0.0</v>
      </c>
      <c r="T57" s="157">
        <v>0.0</v>
      </c>
      <c r="U57" s="157">
        <v>0.0</v>
      </c>
      <c r="V57" s="157" t="s">
        <v>354</v>
      </c>
      <c r="W57" s="157" t="s">
        <v>354</v>
      </c>
      <c r="X57" s="355" t="s">
        <v>365</v>
      </c>
      <c r="Y57" s="40" t="s">
        <v>357</v>
      </c>
      <c r="Z57" s="356" t="s">
        <v>365</v>
      </c>
      <c r="AA57" s="40" t="s">
        <v>357</v>
      </c>
      <c r="AB57" s="144" t="s">
        <v>365</v>
      </c>
      <c r="AC57" s="40" t="s">
        <v>357</v>
      </c>
      <c r="AD57" s="357">
        <f t="shared" si="1"/>
        <v>3</v>
      </c>
      <c r="AE57" s="265"/>
      <c r="AF57" s="265"/>
      <c r="AG57" s="265"/>
      <c r="AH57" s="265"/>
      <c r="AI57" s="157">
        <v>0.0</v>
      </c>
      <c r="AJ57" s="157">
        <v>0.0</v>
      </c>
      <c r="AK57" s="157">
        <v>0.0</v>
      </c>
      <c r="AL57" s="157">
        <v>0.0</v>
      </c>
      <c r="AM57" s="157">
        <v>0.0</v>
      </c>
      <c r="AN57" s="157">
        <v>3.0</v>
      </c>
      <c r="AO57" s="157">
        <v>0.0</v>
      </c>
      <c r="AP57" s="157">
        <v>0.0</v>
      </c>
      <c r="AQ57" s="358">
        <f t="shared" si="2"/>
        <v>3</v>
      </c>
      <c r="AR57" s="358">
        <f t="shared" si="3"/>
        <v>1</v>
      </c>
    </row>
    <row r="58">
      <c r="A58" s="157">
        <v>57.0</v>
      </c>
      <c r="B58" s="157" t="s">
        <v>325</v>
      </c>
      <c r="C58" s="49" t="s">
        <v>947</v>
      </c>
      <c r="D58" s="18" t="s">
        <v>1665</v>
      </c>
      <c r="E58" s="631">
        <v>40373.0</v>
      </c>
      <c r="F58" s="265"/>
      <c r="G58" s="265"/>
      <c r="H58" s="265"/>
      <c r="I58" s="265"/>
      <c r="J58" s="265"/>
      <c r="K58" s="265"/>
      <c r="L58" s="265"/>
      <c r="M58" s="265"/>
      <c r="N58" s="265"/>
      <c r="O58" s="265"/>
      <c r="P58" s="265"/>
      <c r="Q58" s="265"/>
      <c r="R58" s="140">
        <v>33.58</v>
      </c>
      <c r="S58" s="157">
        <v>0.0</v>
      </c>
      <c r="T58" s="157">
        <v>0.0</v>
      </c>
      <c r="U58" s="157">
        <v>0.0</v>
      </c>
      <c r="V58" s="157" t="s">
        <v>354</v>
      </c>
      <c r="W58" s="157" t="s">
        <v>354</v>
      </c>
      <c r="X58" s="384" t="s">
        <v>356</v>
      </c>
      <c r="Y58" s="384" t="s">
        <v>354</v>
      </c>
      <c r="Z58" s="365" t="s">
        <v>365</v>
      </c>
      <c r="AA58" s="391" t="s">
        <v>380</v>
      </c>
      <c r="AB58" s="139" t="s">
        <v>356</v>
      </c>
      <c r="AC58" s="139" t="s">
        <v>354</v>
      </c>
      <c r="AD58" s="357">
        <f t="shared" si="1"/>
        <v>2</v>
      </c>
      <c r="AE58" s="265"/>
      <c r="AF58" s="265"/>
      <c r="AG58" s="265"/>
      <c r="AH58" s="265"/>
      <c r="AI58" s="157">
        <v>0.0</v>
      </c>
      <c r="AJ58" s="157">
        <v>0.0</v>
      </c>
      <c r="AK58" s="157">
        <v>0.0</v>
      </c>
      <c r="AL58" s="157">
        <v>0.0</v>
      </c>
      <c r="AM58" s="157">
        <v>0.0</v>
      </c>
      <c r="AN58" s="157">
        <v>0.0</v>
      </c>
      <c r="AO58" s="157">
        <v>1.0</v>
      </c>
      <c r="AP58" s="157">
        <v>0.0</v>
      </c>
      <c r="AQ58" s="358">
        <f t="shared" si="2"/>
        <v>1</v>
      </c>
      <c r="AR58" s="358">
        <f t="shared" si="3"/>
        <v>1</v>
      </c>
    </row>
    <row r="59">
      <c r="A59" s="157">
        <v>58.0</v>
      </c>
      <c r="B59" s="157" t="s">
        <v>317</v>
      </c>
      <c r="C59" s="49" t="s">
        <v>863</v>
      </c>
      <c r="D59" s="18" t="s">
        <v>864</v>
      </c>
      <c r="E59" s="631">
        <v>40373.0</v>
      </c>
      <c r="F59" s="265"/>
      <c r="G59" s="265"/>
      <c r="H59" s="265"/>
      <c r="I59" s="265"/>
      <c r="J59" s="265"/>
      <c r="K59" s="265"/>
      <c r="L59" s="265"/>
      <c r="M59" s="265"/>
      <c r="N59" s="265"/>
      <c r="O59" s="265"/>
      <c r="P59" s="265"/>
      <c r="Q59" s="265"/>
      <c r="R59" s="157">
        <v>0.0</v>
      </c>
      <c r="S59" s="157">
        <v>0.0</v>
      </c>
      <c r="T59" s="157">
        <v>0.0</v>
      </c>
      <c r="U59" s="157">
        <v>0.0</v>
      </c>
      <c r="V59" s="157" t="s">
        <v>354</v>
      </c>
      <c r="W59" s="157" t="s">
        <v>354</v>
      </c>
      <c r="X59" s="384" t="s">
        <v>356</v>
      </c>
      <c r="Y59" s="384" t="s">
        <v>354</v>
      </c>
      <c r="Z59" s="632" t="s">
        <v>356</v>
      </c>
      <c r="AA59" s="632" t="s">
        <v>354</v>
      </c>
      <c r="AB59" s="139" t="s">
        <v>356</v>
      </c>
      <c r="AC59" s="139" t="s">
        <v>354</v>
      </c>
      <c r="AD59" s="46">
        <f t="shared" si="1"/>
        <v>0</v>
      </c>
      <c r="AE59" s="265"/>
      <c r="AF59" s="265"/>
      <c r="AG59" s="265"/>
      <c r="AH59" s="265"/>
      <c r="AI59" s="157">
        <v>0.0</v>
      </c>
      <c r="AJ59" s="157">
        <v>0.0</v>
      </c>
      <c r="AK59" s="157">
        <v>0.0</v>
      </c>
      <c r="AL59" s="157">
        <v>0.0</v>
      </c>
      <c r="AM59" s="157">
        <v>0.0</v>
      </c>
      <c r="AN59" s="157">
        <v>0.0</v>
      </c>
      <c r="AO59" s="157">
        <v>0.0</v>
      </c>
      <c r="AP59" s="157">
        <v>0.0</v>
      </c>
      <c r="AQ59" s="182">
        <f t="shared" si="2"/>
        <v>0</v>
      </c>
      <c r="AR59" s="182">
        <f t="shared" si="3"/>
        <v>0</v>
      </c>
    </row>
    <row r="60">
      <c r="A60" s="157">
        <v>59.0</v>
      </c>
      <c r="B60" s="157" t="s">
        <v>303</v>
      </c>
      <c r="C60" s="264" t="s">
        <v>666</v>
      </c>
      <c r="D60" s="639" t="s">
        <v>667</v>
      </c>
      <c r="E60" s="631">
        <v>40373.0</v>
      </c>
      <c r="F60" s="265"/>
      <c r="G60" s="265"/>
      <c r="H60" s="265"/>
      <c r="I60" s="265"/>
      <c r="J60" s="265"/>
      <c r="K60" s="265"/>
      <c r="L60" s="265"/>
      <c r="M60" s="265"/>
      <c r="N60" s="265"/>
      <c r="O60" s="265"/>
      <c r="P60" s="265"/>
      <c r="Q60" s="265"/>
      <c r="R60" s="157">
        <v>0.0</v>
      </c>
      <c r="S60" s="157">
        <v>0.0</v>
      </c>
      <c r="T60" s="157">
        <v>0.0</v>
      </c>
      <c r="U60" s="157">
        <v>0.0</v>
      </c>
      <c r="V60" s="157" t="s">
        <v>354</v>
      </c>
      <c r="W60" s="157" t="s">
        <v>354</v>
      </c>
      <c r="X60" s="364" t="s">
        <v>361</v>
      </c>
      <c r="Y60" s="364" t="s">
        <v>361</v>
      </c>
      <c r="Z60" s="632" t="s">
        <v>356</v>
      </c>
      <c r="AA60" s="632" t="s">
        <v>354</v>
      </c>
      <c r="AB60" s="139" t="s">
        <v>356</v>
      </c>
      <c r="AC60" s="139" t="s">
        <v>354</v>
      </c>
      <c r="AD60" s="46">
        <f t="shared" si="1"/>
        <v>0</v>
      </c>
      <c r="AE60" s="265"/>
      <c r="AF60" s="265"/>
      <c r="AG60" s="265"/>
      <c r="AH60" s="265"/>
      <c r="AI60" s="157">
        <v>0.0</v>
      </c>
      <c r="AJ60" s="157">
        <v>0.0</v>
      </c>
      <c r="AK60" s="157">
        <v>0.0</v>
      </c>
      <c r="AL60" s="157">
        <v>0.0</v>
      </c>
      <c r="AM60" s="157">
        <v>0.0</v>
      </c>
      <c r="AN60" s="157">
        <v>0.0</v>
      </c>
      <c r="AO60" s="157">
        <v>0.0</v>
      </c>
      <c r="AP60" s="157">
        <v>0.0</v>
      </c>
      <c r="AQ60" s="182">
        <f t="shared" si="2"/>
        <v>0</v>
      </c>
      <c r="AR60" s="182">
        <f t="shared" si="3"/>
        <v>0</v>
      </c>
    </row>
    <row r="61">
      <c r="A61" s="157">
        <v>60.0</v>
      </c>
      <c r="B61" s="157" t="s">
        <v>313</v>
      </c>
      <c r="C61" s="49" t="s">
        <v>835</v>
      </c>
      <c r="D61" s="18" t="s">
        <v>1661</v>
      </c>
      <c r="E61" s="631">
        <v>40373.0</v>
      </c>
      <c r="F61" s="265"/>
      <c r="G61" s="265"/>
      <c r="H61" s="265"/>
      <c r="I61" s="265"/>
      <c r="J61" s="265"/>
      <c r="K61" s="265"/>
      <c r="L61" s="265"/>
      <c r="M61" s="265"/>
      <c r="N61" s="265"/>
      <c r="O61" s="265"/>
      <c r="P61" s="265"/>
      <c r="Q61" s="265"/>
      <c r="R61" s="140">
        <v>30.23</v>
      </c>
      <c r="S61" s="157">
        <v>0.0</v>
      </c>
      <c r="T61" s="157">
        <v>0.0</v>
      </c>
      <c r="U61" s="157">
        <v>0.0</v>
      </c>
      <c r="V61" s="157" t="s">
        <v>354</v>
      </c>
      <c r="W61" s="157" t="s">
        <v>354</v>
      </c>
      <c r="X61" s="364" t="s">
        <v>361</v>
      </c>
      <c r="Y61" s="364" t="s">
        <v>361</v>
      </c>
      <c r="Z61" s="365" t="s">
        <v>365</v>
      </c>
      <c r="AA61" s="391" t="s">
        <v>380</v>
      </c>
      <c r="AB61" s="139" t="s">
        <v>356</v>
      </c>
      <c r="AC61" s="139" t="s">
        <v>354</v>
      </c>
      <c r="AD61" s="357">
        <f t="shared" si="1"/>
        <v>2</v>
      </c>
      <c r="AE61" s="265"/>
      <c r="AF61" s="265"/>
      <c r="AG61" s="265"/>
      <c r="AH61" s="265"/>
      <c r="AI61" s="157">
        <v>0.0</v>
      </c>
      <c r="AJ61" s="157">
        <v>0.0</v>
      </c>
      <c r="AK61" s="157">
        <v>0.0</v>
      </c>
      <c r="AL61" s="157">
        <v>0.0</v>
      </c>
      <c r="AM61" s="157">
        <v>0.0</v>
      </c>
      <c r="AN61" s="157">
        <v>0.0</v>
      </c>
      <c r="AO61" s="157">
        <v>1.0</v>
      </c>
      <c r="AP61" s="157">
        <v>0.0</v>
      </c>
      <c r="AQ61" s="358">
        <f t="shared" si="2"/>
        <v>1</v>
      </c>
      <c r="AR61" s="358">
        <f t="shared" si="3"/>
        <v>1</v>
      </c>
    </row>
    <row r="62">
      <c r="A62" s="157">
        <v>61.0</v>
      </c>
      <c r="B62" s="157" t="s">
        <v>292</v>
      </c>
      <c r="C62" s="49" t="s">
        <v>816</v>
      </c>
      <c r="D62" s="18" t="s">
        <v>817</v>
      </c>
      <c r="E62" s="631">
        <v>40373.0</v>
      </c>
      <c r="F62" s="265"/>
      <c r="G62" s="265"/>
      <c r="H62" s="265"/>
      <c r="I62" s="265"/>
      <c r="J62" s="265"/>
      <c r="K62" s="265"/>
      <c r="L62" s="265"/>
      <c r="M62" s="265"/>
      <c r="N62" s="265"/>
      <c r="O62" s="265"/>
      <c r="P62" s="265"/>
      <c r="Q62" s="265"/>
      <c r="R62" s="77">
        <v>44.67</v>
      </c>
      <c r="S62" s="157">
        <v>0.0</v>
      </c>
      <c r="T62" s="157">
        <v>0.0</v>
      </c>
      <c r="U62" s="157">
        <v>0.0</v>
      </c>
      <c r="V62" s="157" t="s">
        <v>354</v>
      </c>
      <c r="W62" s="157" t="s">
        <v>354</v>
      </c>
      <c r="X62" s="364" t="s">
        <v>361</v>
      </c>
      <c r="Y62" s="364" t="s">
        <v>361</v>
      </c>
      <c r="Z62" s="632" t="s">
        <v>356</v>
      </c>
      <c r="AA62" s="632" t="s">
        <v>354</v>
      </c>
      <c r="AB62" s="139" t="s">
        <v>356</v>
      </c>
      <c r="AC62" s="139" t="s">
        <v>354</v>
      </c>
      <c r="AD62" s="46">
        <f t="shared" si="1"/>
        <v>1</v>
      </c>
      <c r="AE62" s="265"/>
      <c r="AF62" s="265"/>
      <c r="AG62" s="265"/>
      <c r="AH62" s="265"/>
      <c r="AI62" s="157">
        <v>0.0</v>
      </c>
      <c r="AJ62" s="157">
        <v>0.0</v>
      </c>
      <c r="AK62" s="157">
        <v>0.0</v>
      </c>
      <c r="AL62" s="157">
        <v>0.0</v>
      </c>
      <c r="AM62" s="157">
        <v>0.0</v>
      </c>
      <c r="AN62" s="157">
        <v>0.0</v>
      </c>
      <c r="AO62" s="157">
        <v>0.0</v>
      </c>
      <c r="AP62" s="157">
        <v>0.0</v>
      </c>
      <c r="AQ62" s="182">
        <f t="shared" si="2"/>
        <v>0</v>
      </c>
      <c r="AR62" s="182">
        <f t="shared" si="3"/>
        <v>0</v>
      </c>
    </row>
    <row r="63">
      <c r="A63" s="157">
        <v>62.0</v>
      </c>
      <c r="B63" s="157" t="s">
        <v>323</v>
      </c>
      <c r="C63" s="49" t="s">
        <v>488</v>
      </c>
      <c r="D63" s="18" t="s">
        <v>489</v>
      </c>
      <c r="E63" s="631">
        <v>40373.0</v>
      </c>
      <c r="F63" s="265"/>
      <c r="G63" s="265"/>
      <c r="H63" s="265"/>
      <c r="I63" s="265"/>
      <c r="J63" s="265"/>
      <c r="K63" s="265"/>
      <c r="L63" s="265"/>
      <c r="M63" s="265"/>
      <c r="N63" s="265"/>
      <c r="O63" s="265"/>
      <c r="P63" s="265"/>
      <c r="Q63" s="265"/>
      <c r="R63" s="140">
        <v>30.99</v>
      </c>
      <c r="S63" s="157">
        <v>0.0</v>
      </c>
      <c r="T63" s="157">
        <v>0.0</v>
      </c>
      <c r="U63" s="157">
        <v>0.0</v>
      </c>
      <c r="V63" s="157" t="s">
        <v>354</v>
      </c>
      <c r="W63" s="157" t="s">
        <v>354</v>
      </c>
      <c r="X63" s="364" t="s">
        <v>407</v>
      </c>
      <c r="Y63" s="364" t="s">
        <v>407</v>
      </c>
      <c r="Z63" s="632" t="s">
        <v>356</v>
      </c>
      <c r="AA63" s="632" t="s">
        <v>354</v>
      </c>
      <c r="AB63" s="139" t="s">
        <v>356</v>
      </c>
      <c r="AC63" s="139" t="s">
        <v>354</v>
      </c>
      <c r="AD63" s="46">
        <f t="shared" si="1"/>
        <v>1</v>
      </c>
      <c r="AE63" s="265"/>
      <c r="AF63" s="265"/>
      <c r="AG63" s="265"/>
      <c r="AH63" s="265"/>
      <c r="AI63" s="157">
        <v>0.0</v>
      </c>
      <c r="AJ63" s="157">
        <v>0.0</v>
      </c>
      <c r="AK63" s="157">
        <v>0.0</v>
      </c>
      <c r="AL63" s="157">
        <v>0.0</v>
      </c>
      <c r="AM63" s="157">
        <v>0.0</v>
      </c>
      <c r="AN63" s="157">
        <v>0.0</v>
      </c>
      <c r="AO63" s="157">
        <v>0.0</v>
      </c>
      <c r="AP63" s="157">
        <v>0.0</v>
      </c>
      <c r="AQ63" s="182">
        <f t="shared" si="2"/>
        <v>0</v>
      </c>
      <c r="AR63" s="182">
        <f t="shared" si="3"/>
        <v>0</v>
      </c>
    </row>
    <row r="64">
      <c r="A64" s="157">
        <v>63.0</v>
      </c>
      <c r="B64" s="157" t="s">
        <v>307</v>
      </c>
      <c r="C64" s="49" t="s">
        <v>587</v>
      </c>
      <c r="D64" s="18" t="s">
        <v>588</v>
      </c>
      <c r="E64" s="631">
        <v>40373.0</v>
      </c>
      <c r="F64" s="265"/>
      <c r="G64" s="265"/>
      <c r="H64" s="265"/>
      <c r="I64" s="265"/>
      <c r="J64" s="265"/>
      <c r="K64" s="265"/>
      <c r="L64" s="265"/>
      <c r="M64" s="265"/>
      <c r="N64" s="265"/>
      <c r="O64" s="265"/>
      <c r="P64" s="265"/>
      <c r="Q64" s="265"/>
      <c r="R64" s="157">
        <v>0.0</v>
      </c>
      <c r="S64" s="157">
        <v>0.0</v>
      </c>
      <c r="T64" s="157">
        <v>0.0</v>
      </c>
      <c r="U64" s="157">
        <v>0.0</v>
      </c>
      <c r="V64" s="157" t="s">
        <v>354</v>
      </c>
      <c r="W64" s="157" t="s">
        <v>354</v>
      </c>
      <c r="X64" s="364" t="s">
        <v>361</v>
      </c>
      <c r="Y64" s="364" t="s">
        <v>361</v>
      </c>
      <c r="Z64" s="632" t="s">
        <v>356</v>
      </c>
      <c r="AA64" s="632" t="s">
        <v>354</v>
      </c>
      <c r="AB64" s="139" t="s">
        <v>356</v>
      </c>
      <c r="AC64" s="139" t="s">
        <v>354</v>
      </c>
      <c r="AD64" s="46">
        <f t="shared" si="1"/>
        <v>0</v>
      </c>
      <c r="AE64" s="265"/>
      <c r="AF64" s="265"/>
      <c r="AG64" s="265"/>
      <c r="AH64" s="265"/>
      <c r="AI64" s="157">
        <v>0.0</v>
      </c>
      <c r="AJ64" s="157">
        <v>0.0</v>
      </c>
      <c r="AK64" s="157">
        <v>0.0</v>
      </c>
      <c r="AL64" s="157">
        <v>0.0</v>
      </c>
      <c r="AM64" s="157">
        <v>0.0</v>
      </c>
      <c r="AN64" s="157">
        <v>0.0</v>
      </c>
      <c r="AO64" s="157">
        <v>0.0</v>
      </c>
      <c r="AP64" s="157">
        <v>0.0</v>
      </c>
      <c r="AQ64" s="182">
        <f t="shared" si="2"/>
        <v>0</v>
      </c>
      <c r="AR64" s="182">
        <f t="shared" si="3"/>
        <v>0</v>
      </c>
    </row>
    <row r="65">
      <c r="A65" s="157">
        <v>64.0</v>
      </c>
      <c r="B65" s="157" t="s">
        <v>300</v>
      </c>
      <c r="C65" s="49" t="s">
        <v>761</v>
      </c>
      <c r="D65" s="191" t="s">
        <v>762</v>
      </c>
      <c r="E65" s="631">
        <v>40373.0</v>
      </c>
      <c r="F65" s="265"/>
      <c r="G65" s="265"/>
      <c r="H65" s="265"/>
      <c r="I65" s="265"/>
      <c r="J65" s="265"/>
      <c r="K65" s="265"/>
      <c r="L65" s="265"/>
      <c r="M65" s="265"/>
      <c r="N65" s="265"/>
      <c r="O65" s="265"/>
      <c r="P65" s="265"/>
      <c r="Q65" s="265"/>
      <c r="R65" s="140">
        <v>39.5</v>
      </c>
      <c r="S65" s="157">
        <v>0.0</v>
      </c>
      <c r="T65" s="157">
        <v>0.0</v>
      </c>
      <c r="U65" s="157">
        <v>0.0</v>
      </c>
      <c r="V65" s="157" t="s">
        <v>354</v>
      </c>
      <c r="W65" s="157" t="s">
        <v>354</v>
      </c>
      <c r="X65" s="384" t="s">
        <v>356</v>
      </c>
      <c r="Y65" s="384" t="s">
        <v>354</v>
      </c>
      <c r="Z65" s="632" t="s">
        <v>356</v>
      </c>
      <c r="AA65" s="632" t="s">
        <v>354</v>
      </c>
      <c r="AB65" s="139" t="s">
        <v>356</v>
      </c>
      <c r="AC65" s="139" t="s">
        <v>354</v>
      </c>
      <c r="AD65" s="46">
        <f t="shared" si="1"/>
        <v>1</v>
      </c>
      <c r="AE65" s="265"/>
      <c r="AF65" s="265"/>
      <c r="AG65" s="265"/>
      <c r="AH65" s="265"/>
      <c r="AI65" s="157">
        <v>0.0</v>
      </c>
      <c r="AJ65" s="157">
        <v>0.0</v>
      </c>
      <c r="AK65" s="157">
        <v>0.0</v>
      </c>
      <c r="AL65" s="157">
        <v>0.0</v>
      </c>
      <c r="AM65" s="157">
        <v>0.0</v>
      </c>
      <c r="AN65" s="157">
        <v>0.0</v>
      </c>
      <c r="AO65" s="157">
        <v>0.0</v>
      </c>
      <c r="AP65" s="157">
        <v>0.0</v>
      </c>
      <c r="AQ65" s="182">
        <f t="shared" si="2"/>
        <v>0</v>
      </c>
      <c r="AR65" s="182">
        <f t="shared" si="3"/>
        <v>0</v>
      </c>
    </row>
    <row r="66">
      <c r="A66" s="235" t="s">
        <v>356</v>
      </c>
      <c r="B66" s="235" t="s">
        <v>354</v>
      </c>
      <c r="C66" s="235" t="s">
        <v>354</v>
      </c>
      <c r="D66" s="235" t="s">
        <v>354</v>
      </c>
      <c r="E66" s="157" t="s">
        <v>354</v>
      </c>
      <c r="F66" s="265"/>
      <c r="G66" s="265"/>
      <c r="H66" s="265"/>
      <c r="I66" s="265"/>
      <c r="J66" s="265"/>
      <c r="K66" s="265"/>
      <c r="L66" s="265"/>
      <c r="M66" s="265"/>
      <c r="N66" s="265"/>
      <c r="O66" s="265"/>
      <c r="P66" s="265"/>
      <c r="Q66" s="265"/>
      <c r="R66" s="157">
        <v>0.0</v>
      </c>
      <c r="S66" s="157">
        <v>0.0</v>
      </c>
      <c r="T66" s="157">
        <v>0.0</v>
      </c>
      <c r="U66" s="157">
        <v>0.0</v>
      </c>
      <c r="V66" s="157" t="s">
        <v>354</v>
      </c>
      <c r="W66" s="157" t="s">
        <v>354</v>
      </c>
      <c r="X66" s="384" t="s">
        <v>356</v>
      </c>
      <c r="Y66" s="384" t="s">
        <v>354</v>
      </c>
      <c r="Z66" s="632" t="s">
        <v>356</v>
      </c>
      <c r="AA66" s="632" t="s">
        <v>354</v>
      </c>
      <c r="AB66" s="139" t="s">
        <v>356</v>
      </c>
      <c r="AC66" s="139" t="s">
        <v>354</v>
      </c>
      <c r="AD66" s="46">
        <f t="shared" si="1"/>
        <v>0</v>
      </c>
      <c r="AE66" s="265"/>
      <c r="AF66" s="265"/>
      <c r="AG66" s="265"/>
      <c r="AH66" s="235" t="s">
        <v>1507</v>
      </c>
      <c r="AI66" s="265">
        <f t="shared" ref="AI66:AP66" si="4">sum(AI2:AI27,AI29:AI65)</f>
        <v>1</v>
      </c>
      <c r="AJ66" s="265">
        <f t="shared" si="4"/>
        <v>1</v>
      </c>
      <c r="AK66" s="265">
        <f t="shared" si="4"/>
        <v>9</v>
      </c>
      <c r="AL66" s="265">
        <f t="shared" si="4"/>
        <v>11</v>
      </c>
      <c r="AM66" s="265">
        <f t="shared" si="4"/>
        <v>12</v>
      </c>
      <c r="AN66" s="265">
        <f t="shared" si="4"/>
        <v>64</v>
      </c>
      <c r="AO66" s="265">
        <f t="shared" si="4"/>
        <v>5</v>
      </c>
      <c r="AP66" s="265">
        <f t="shared" si="4"/>
        <v>1</v>
      </c>
      <c r="AQ66" s="182">
        <f t="shared" si="2"/>
        <v>104</v>
      </c>
      <c r="AR66" s="182"/>
    </row>
    <row r="67">
      <c r="A67" s="235" t="s">
        <v>365</v>
      </c>
      <c r="B67" s="235" t="s">
        <v>354</v>
      </c>
      <c r="C67" s="235" t="s">
        <v>354</v>
      </c>
      <c r="D67" s="235" t="s">
        <v>354</v>
      </c>
      <c r="E67" s="157" t="s">
        <v>354</v>
      </c>
      <c r="F67" s="265"/>
      <c r="G67" s="265"/>
      <c r="H67" s="265"/>
      <c r="I67" s="265"/>
      <c r="J67" s="265"/>
      <c r="K67" s="265"/>
      <c r="L67" s="265"/>
      <c r="M67" s="265"/>
      <c r="N67" s="265"/>
      <c r="O67" s="265"/>
      <c r="P67" s="265"/>
      <c r="Q67" s="265"/>
      <c r="R67" s="140">
        <v>16.14</v>
      </c>
      <c r="S67" s="157">
        <v>0.0</v>
      </c>
      <c r="T67" s="157">
        <v>0.0</v>
      </c>
      <c r="U67" s="140">
        <v>35.62</v>
      </c>
      <c r="V67" s="140" t="s">
        <v>365</v>
      </c>
      <c r="W67" s="157" t="s">
        <v>354</v>
      </c>
      <c r="X67" s="355" t="s">
        <v>365</v>
      </c>
      <c r="Y67" s="359" t="s">
        <v>1400</v>
      </c>
      <c r="Z67" s="356" t="s">
        <v>365</v>
      </c>
      <c r="AA67" s="368" t="s">
        <v>1400</v>
      </c>
      <c r="AB67" s="144" t="s">
        <v>365</v>
      </c>
      <c r="AC67" s="640" t="s">
        <v>1400</v>
      </c>
      <c r="AD67" s="46">
        <f t="shared" si="1"/>
        <v>4</v>
      </c>
      <c r="AE67" s="265"/>
      <c r="AF67" s="265"/>
      <c r="AG67" s="265"/>
      <c r="AH67" s="235" t="s">
        <v>1406</v>
      </c>
      <c r="AI67" s="381">
        <f t="shared" ref="AI67:AP67" si="5">AI66/$AQ$66</f>
        <v>0.009615384615</v>
      </c>
      <c r="AJ67" s="381">
        <f t="shared" si="5"/>
        <v>0.009615384615</v>
      </c>
      <c r="AK67" s="381">
        <f t="shared" si="5"/>
        <v>0.08653846154</v>
      </c>
      <c r="AL67" s="381">
        <f t="shared" si="5"/>
        <v>0.1057692308</v>
      </c>
      <c r="AM67" s="381">
        <f t="shared" si="5"/>
        <v>0.1153846154</v>
      </c>
      <c r="AN67" s="381">
        <f t="shared" si="5"/>
        <v>0.6153846154</v>
      </c>
      <c r="AO67" s="381">
        <f t="shared" si="5"/>
        <v>0.04807692308</v>
      </c>
      <c r="AP67" s="381">
        <f t="shared" si="5"/>
        <v>0.009615384615</v>
      </c>
      <c r="AQ67" s="380">
        <f t="shared" si="2"/>
        <v>1</v>
      </c>
      <c r="AR67" s="380"/>
    </row>
    <row r="68">
      <c r="A68" s="265"/>
      <c r="B68" s="265"/>
      <c r="C68" s="265"/>
      <c r="D68" s="265"/>
      <c r="E68" s="265"/>
      <c r="F68" s="265"/>
      <c r="G68" s="265"/>
      <c r="H68" s="265"/>
      <c r="I68" s="265"/>
      <c r="J68" s="265"/>
      <c r="K68" s="265"/>
      <c r="L68" s="265"/>
      <c r="M68" s="265"/>
      <c r="N68" s="265"/>
      <c r="O68" s="265"/>
      <c r="P68" s="265"/>
      <c r="Q68" s="265"/>
      <c r="R68" s="265"/>
      <c r="S68" s="265"/>
      <c r="T68" s="265"/>
      <c r="U68" s="265"/>
      <c r="V68" s="265"/>
      <c r="W68" s="265"/>
      <c r="X68" s="265"/>
      <c r="Y68" s="265"/>
      <c r="Z68" s="265"/>
      <c r="AA68" s="265"/>
      <c r="AB68" s="265"/>
      <c r="AC68" s="265"/>
      <c r="AD68" s="265"/>
      <c r="AE68" s="265"/>
      <c r="AF68" s="265"/>
      <c r="AG68" s="265"/>
      <c r="AH68" s="265"/>
      <c r="AI68" s="265"/>
      <c r="AJ68" s="265"/>
      <c r="AK68" s="265"/>
      <c r="AL68" s="265"/>
      <c r="AM68" s="265"/>
      <c r="AN68" s="265"/>
      <c r="AO68" s="265"/>
      <c r="AP68" s="265"/>
      <c r="AQ68" s="265"/>
      <c r="AR68" s="265"/>
    </row>
    <row r="69">
      <c r="A69" s="265"/>
      <c r="B69" s="265"/>
      <c r="C69" s="265"/>
      <c r="D69" s="265"/>
      <c r="E69" s="265"/>
      <c r="F69" s="265"/>
      <c r="G69" s="265"/>
      <c r="H69" s="265"/>
      <c r="I69" s="265"/>
      <c r="J69" s="265"/>
      <c r="K69" s="265"/>
      <c r="L69" s="265"/>
      <c r="M69" s="265"/>
      <c r="N69" s="265"/>
      <c r="O69" s="265"/>
      <c r="P69" s="265"/>
      <c r="Q69" s="265"/>
      <c r="R69" s="46">
        <f>COUNTIF(R2:R65,"&gt;0")</f>
        <v>21</v>
      </c>
      <c r="S69" s="265"/>
      <c r="T69" s="265"/>
      <c r="U69" s="265"/>
      <c r="V69" s="265"/>
      <c r="W69" s="265"/>
      <c r="X69" s="46">
        <f>sum(countif(X2:X27,"POS"),countif(X29:X65,"POS"))</f>
        <v>29</v>
      </c>
      <c r="Y69" s="265"/>
      <c r="Z69" s="46">
        <f>sum(countif(Z2:Z27,"POS"),countif(Z29:Z65,"POS"))</f>
        <v>38</v>
      </c>
      <c r="AA69" s="265"/>
      <c r="AB69" s="46">
        <f>sum(countif(AB2:AB27,"POS"),countif(AB29:AB65,"POS"))</f>
        <v>36</v>
      </c>
      <c r="AC69" s="265"/>
      <c r="AD69" s="372">
        <f>sum(countif($AD$2:$AD$27,"&gt;0"),countif($AD$29:$AD$65,"&gt;0"))-6</f>
        <v>44</v>
      </c>
      <c r="AE69" s="372">
        <f>sum(countif($AD$2:$AD$27,"&gt;1"),countif($AD$29:$AD$65,"&gt;1"))</f>
        <v>37</v>
      </c>
      <c r="AF69" s="372">
        <f>sum(countif($AD$2:$AD$27,"&gt;2"),countif($AD$29:$AD$65,"&gt;2"))</f>
        <v>27</v>
      </c>
      <c r="AG69" s="372">
        <f>sum(countif($AD$2:$AD$27,"&gt;3"),countif($AD$29:$AD$65,"&gt;3"))</f>
        <v>10</v>
      </c>
      <c r="AH69" s="373">
        <f>sum(countif($AR$2:$AR$27,"&gt;1"),countif($AR$29:$AR$65,"&gt;1"))</f>
        <v>7</v>
      </c>
      <c r="AI69" s="157">
        <v>1.0</v>
      </c>
      <c r="AJ69" s="157">
        <v>0.0</v>
      </c>
      <c r="AK69" s="157">
        <v>2.0</v>
      </c>
      <c r="AL69" s="157">
        <v>4.0</v>
      </c>
      <c r="AM69" s="157">
        <v>4.0</v>
      </c>
      <c r="AN69" s="157">
        <v>22.0</v>
      </c>
      <c r="AO69" s="157">
        <v>4.0</v>
      </c>
      <c r="AP69" s="157">
        <v>0.0</v>
      </c>
      <c r="AQ69" s="265"/>
      <c r="AR69" s="265"/>
    </row>
    <row r="70">
      <c r="A70" s="265"/>
      <c r="B70" s="265"/>
      <c r="C70" s="265"/>
      <c r="D70" s="265"/>
      <c r="E70" s="265"/>
      <c r="F70" s="265"/>
      <c r="G70" s="265"/>
      <c r="H70" s="265"/>
      <c r="I70" s="265"/>
      <c r="J70" s="265"/>
      <c r="K70" s="265"/>
      <c r="L70" s="265"/>
      <c r="M70" s="265"/>
      <c r="N70" s="265"/>
      <c r="O70" s="265"/>
      <c r="P70" s="265"/>
      <c r="Q70" s="265"/>
      <c r="R70" s="46">
        <f>sum(count($A$2:$A$27),COUNT($A$29:$A$65))</f>
        <v>63</v>
      </c>
      <c r="S70" s="265"/>
      <c r="T70" s="265"/>
      <c r="U70" s="265"/>
      <c r="V70" s="265"/>
      <c r="W70" s="265"/>
      <c r="X70" s="46">
        <f>sum(count($A$2:$A$27),COUNT($A$29:$A$65))</f>
        <v>63</v>
      </c>
      <c r="Y70" s="265"/>
      <c r="Z70" s="46">
        <f>sum(count($A$2:$A$27),COUNT($A$29:$A$65))</f>
        <v>63</v>
      </c>
      <c r="AA70" s="265"/>
      <c r="AB70" s="46">
        <f>sum(count($A$2:$A$27),COUNT($A$29:$A$65))</f>
        <v>63</v>
      </c>
      <c r="AC70" s="265"/>
      <c r="AD70" s="372">
        <f t="shared" ref="AD70:AH70" si="6">sum(count($A$2:$A$27),COUNT($A$29:$A$65))</f>
        <v>63</v>
      </c>
      <c r="AE70" s="372">
        <f t="shared" si="6"/>
        <v>63</v>
      </c>
      <c r="AF70" s="372">
        <f t="shared" si="6"/>
        <v>63</v>
      </c>
      <c r="AG70" s="372">
        <f t="shared" si="6"/>
        <v>63</v>
      </c>
      <c r="AH70" s="372">
        <f t="shared" si="6"/>
        <v>63</v>
      </c>
      <c r="AI70" s="265"/>
      <c r="AJ70" s="265"/>
      <c r="AK70" s="265"/>
      <c r="AL70" s="265"/>
      <c r="AM70" s="265"/>
      <c r="AN70" s="265"/>
      <c r="AO70" s="265"/>
      <c r="AP70" s="265"/>
      <c r="AQ70" s="265"/>
      <c r="AR70" s="265"/>
    </row>
    <row r="71">
      <c r="A71" s="265"/>
      <c r="B71" s="265"/>
      <c r="C71" s="265"/>
      <c r="D71" s="265"/>
      <c r="E71" s="265"/>
      <c r="F71" s="265"/>
      <c r="G71" s="265"/>
      <c r="H71" s="265"/>
      <c r="I71" s="265"/>
      <c r="J71" s="265"/>
      <c r="K71" s="265"/>
      <c r="L71" s="265"/>
      <c r="M71" s="265"/>
      <c r="N71" s="265"/>
      <c r="O71" s="265"/>
      <c r="P71" s="265"/>
      <c r="Q71" s="265"/>
      <c r="R71" s="374">
        <f>R69/R70</f>
        <v>0.3333333333</v>
      </c>
      <c r="S71" s="265"/>
      <c r="T71" s="265"/>
      <c r="U71" s="265"/>
      <c r="V71" s="265"/>
      <c r="W71" s="265"/>
      <c r="X71" s="374">
        <f>X69/X70</f>
        <v>0.4603174603</v>
      </c>
      <c r="Y71" s="265"/>
      <c r="Z71" s="374">
        <f>Z69/Z70</f>
        <v>0.6031746032</v>
      </c>
      <c r="AA71" s="265"/>
      <c r="AB71" s="374">
        <f>AB69/AB70</f>
        <v>0.5714285714</v>
      </c>
      <c r="AC71" s="265"/>
      <c r="AD71" s="564">
        <f t="shared" ref="AD71:AH71" si="7">AD69/AD70</f>
        <v>0.6984126984</v>
      </c>
      <c r="AE71" s="564">
        <f t="shared" si="7"/>
        <v>0.5873015873</v>
      </c>
      <c r="AF71" s="641">
        <f t="shared" si="7"/>
        <v>0.4285714286</v>
      </c>
      <c r="AG71" s="641">
        <f t="shared" si="7"/>
        <v>0.1587301587</v>
      </c>
      <c r="AH71" s="621">
        <f t="shared" si="7"/>
        <v>0.1111111111</v>
      </c>
      <c r="AI71" s="265"/>
      <c r="AJ71" s="265"/>
      <c r="AK71" s="265"/>
      <c r="AL71" s="265"/>
      <c r="AM71" s="265"/>
      <c r="AN71" s="265"/>
      <c r="AO71" s="265"/>
      <c r="AP71" s="265"/>
      <c r="AQ71" s="265"/>
      <c r="AR71" s="265"/>
    </row>
    <row r="72">
      <c r="A72" s="265"/>
      <c r="B72" s="265"/>
      <c r="C72" s="265"/>
      <c r="D72" s="265"/>
      <c r="E72" s="265"/>
      <c r="F72" s="265"/>
      <c r="G72" s="265"/>
      <c r="H72" s="265"/>
      <c r="I72" s="265"/>
      <c r="J72" s="265"/>
      <c r="K72" s="265"/>
      <c r="L72" s="265"/>
      <c r="M72" s="265"/>
      <c r="N72" s="265"/>
      <c r="O72" s="265"/>
      <c r="P72" s="265"/>
      <c r="Q72" s="265"/>
      <c r="R72" s="265"/>
      <c r="S72" s="265"/>
      <c r="T72" s="265"/>
      <c r="U72" s="265"/>
      <c r="V72" s="265"/>
      <c r="W72" s="265"/>
      <c r="X72" s="265"/>
      <c r="Y72" s="265"/>
      <c r="Z72" s="265"/>
      <c r="AA72" s="265"/>
      <c r="AB72" s="265"/>
      <c r="AC72" s="265"/>
      <c r="AD72" s="372" t="s">
        <v>1401</v>
      </c>
      <c r="AE72" s="372" t="s">
        <v>1402</v>
      </c>
      <c r="AF72" s="372" t="s">
        <v>1403</v>
      </c>
      <c r="AG72" s="378" t="s">
        <v>1404</v>
      </c>
      <c r="AH72" s="373" t="s">
        <v>1376</v>
      </c>
      <c r="AI72" s="265"/>
      <c r="AJ72" s="265"/>
      <c r="AK72" s="265"/>
      <c r="AL72" s="265"/>
      <c r="AM72" s="265"/>
      <c r="AN72" s="265"/>
      <c r="AO72" s="265"/>
      <c r="AP72" s="265"/>
      <c r="AQ72" s="265"/>
      <c r="AR72" s="265"/>
    </row>
    <row r="73">
      <c r="A73" s="265"/>
      <c r="B73" s="265"/>
      <c r="C73" s="265"/>
      <c r="D73" s="265"/>
      <c r="E73" s="265"/>
      <c r="F73" s="265"/>
      <c r="G73" s="265"/>
      <c r="H73" s="265"/>
      <c r="I73" s="265"/>
      <c r="J73" s="265"/>
      <c r="K73" s="265"/>
      <c r="L73" s="265"/>
      <c r="M73" s="265"/>
      <c r="N73" s="265"/>
      <c r="O73" s="265"/>
      <c r="P73" s="265"/>
      <c r="Q73" s="265"/>
      <c r="R73" s="265"/>
      <c r="S73" s="265"/>
      <c r="T73" s="265"/>
      <c r="U73" s="265"/>
      <c r="V73" s="265"/>
      <c r="W73" s="265"/>
      <c r="X73" s="265"/>
      <c r="Y73" s="265"/>
      <c r="Z73" s="265"/>
      <c r="AA73" s="265"/>
      <c r="AB73" s="265"/>
      <c r="AC73" s="265"/>
      <c r="AD73" s="265"/>
      <c r="AE73" s="265"/>
      <c r="AF73" s="265"/>
      <c r="AG73" s="265"/>
      <c r="AH73" s="265"/>
      <c r="AI73" s="265"/>
      <c r="AJ73" s="265"/>
      <c r="AK73" s="265"/>
      <c r="AL73" s="265"/>
      <c r="AM73" s="265"/>
      <c r="AN73" s="265"/>
      <c r="AO73" s="265"/>
      <c r="AP73" s="265"/>
      <c r="AQ73" s="265"/>
      <c r="AR73" s="265"/>
    </row>
    <row r="74">
      <c r="A74" s="265"/>
      <c r="H74" s="331" t="s">
        <v>1497</v>
      </c>
      <c r="I74" s="345" t="s">
        <v>389</v>
      </c>
      <c r="J74" s="346" t="s">
        <v>420</v>
      </c>
      <c r="K74" s="347" t="s">
        <v>358</v>
      </c>
      <c r="L74" s="348" t="s">
        <v>363</v>
      </c>
      <c r="M74" s="349" t="s">
        <v>413</v>
      </c>
      <c r="N74" s="350" t="s">
        <v>357</v>
      </c>
      <c r="O74" s="351" t="s">
        <v>380</v>
      </c>
      <c r="P74" s="352" t="s">
        <v>387</v>
      </c>
      <c r="Q74" s="566" t="s">
        <v>1427</v>
      </c>
      <c r="R74" s="408" t="s">
        <v>1190</v>
      </c>
      <c r="S74" s="567" t="s">
        <v>1214</v>
      </c>
      <c r="T74" s="568" t="s">
        <v>1120</v>
      </c>
      <c r="U74" s="569" t="s">
        <v>1188</v>
      </c>
      <c r="V74" s="570" t="s">
        <v>1428</v>
      </c>
      <c r="W74" s="571" t="s">
        <v>1429</v>
      </c>
      <c r="X74" s="572" t="s">
        <v>1178</v>
      </c>
      <c r="Y74" s="573" t="s">
        <v>1145</v>
      </c>
      <c r="Z74" s="417" t="s">
        <v>1301</v>
      </c>
      <c r="AA74" s="574" t="s">
        <v>1130</v>
      </c>
      <c r="AB74" s="575" t="s">
        <v>1314</v>
      </c>
      <c r="AC74" s="576" t="s">
        <v>1431</v>
      </c>
      <c r="AD74" s="577" t="s">
        <v>1095</v>
      </c>
      <c r="AE74" s="578" t="s">
        <v>1103</v>
      </c>
      <c r="AF74" s="579" t="s">
        <v>1090</v>
      </c>
      <c r="AG74" s="580" t="s">
        <v>1296</v>
      </c>
      <c r="AH74" s="581" t="s">
        <v>1270</v>
      </c>
      <c r="AI74" s="582" t="s">
        <v>1115</v>
      </c>
      <c r="AJ74" s="583" t="s">
        <v>1089</v>
      </c>
      <c r="AK74" s="584" t="s">
        <v>1182</v>
      </c>
      <c r="AL74" s="585" t="s">
        <v>1298</v>
      </c>
      <c r="AM74" s="586" t="s">
        <v>1163</v>
      </c>
      <c r="AN74" s="587" t="s">
        <v>1223</v>
      </c>
      <c r="AO74" s="588" t="s">
        <v>1441</v>
      </c>
      <c r="AP74" s="589" t="s">
        <v>1129</v>
      </c>
      <c r="AQ74" s="590" t="s">
        <v>1447</v>
      </c>
      <c r="AR74" s="591" t="s">
        <v>1454</v>
      </c>
    </row>
    <row r="75">
      <c r="A75" s="265"/>
      <c r="H75" s="468">
        <f>correl(I75:P75,AI66:AP66)</f>
        <v>0.9871437633</v>
      </c>
      <c r="I75" s="76">
        <f t="shared" ref="I75:P75" si="8">sum(countif(AI2:AI27,"&gt;0"),countif(AI29:AI65,"&gt;0"))</f>
        <v>1</v>
      </c>
      <c r="J75" s="76">
        <f t="shared" si="8"/>
        <v>1</v>
      </c>
      <c r="K75" s="76">
        <f t="shared" si="8"/>
        <v>4</v>
      </c>
      <c r="L75" s="76">
        <f t="shared" si="8"/>
        <v>8</v>
      </c>
      <c r="M75" s="76">
        <f t="shared" si="8"/>
        <v>4</v>
      </c>
      <c r="N75" s="76">
        <f t="shared" si="8"/>
        <v>28</v>
      </c>
      <c r="O75" s="76">
        <f t="shared" si="8"/>
        <v>5</v>
      </c>
      <c r="P75" s="76">
        <f t="shared" si="8"/>
        <v>1</v>
      </c>
      <c r="Q75" s="265">
        <f t="shared" ref="Q75:W75" si="9">sum(countifs($AI$2:$AI$27,"&gt;0",AJ2:AJ27,"&gt;0"),countifs($AI$29:$AI$65,"&gt;0",AJ29:AJ65,"&gt;0"))</f>
        <v>0</v>
      </c>
      <c r="R75" s="265">
        <f t="shared" si="9"/>
        <v>0</v>
      </c>
      <c r="S75" s="265">
        <f t="shared" si="9"/>
        <v>0</v>
      </c>
      <c r="T75" s="265">
        <f t="shared" si="9"/>
        <v>0</v>
      </c>
      <c r="U75" s="265">
        <f t="shared" si="9"/>
        <v>0</v>
      </c>
      <c r="V75" s="265">
        <f t="shared" si="9"/>
        <v>0</v>
      </c>
      <c r="W75" s="265">
        <f t="shared" si="9"/>
        <v>0</v>
      </c>
      <c r="X75" s="592">
        <f t="shared" ref="X75:AC75" si="10">sum(countifs($AJ$2:$AJ$27,"&gt;0",AK2:AK27,"&gt;0"),countifs($AJ$29:$AJ$65,"&gt;0",AK29:AK65,"&gt;0"))</f>
        <v>1</v>
      </c>
      <c r="Y75" s="265">
        <f t="shared" si="10"/>
        <v>0</v>
      </c>
      <c r="Z75" s="265">
        <f t="shared" si="10"/>
        <v>0</v>
      </c>
      <c r="AA75" s="265">
        <f t="shared" si="10"/>
        <v>0</v>
      </c>
      <c r="AB75" s="265">
        <f t="shared" si="10"/>
        <v>0</v>
      </c>
      <c r="AC75" s="265">
        <f t="shared" si="10"/>
        <v>0</v>
      </c>
      <c r="AD75" s="265">
        <f t="shared" ref="AD75:AH75" si="11">sum(countifs($AK$2:$AK$27,"&gt;0",AL2:AL27,"&gt;0"),countifs($AK$29:$AK$65,"&gt;0",AL29:AL65,"&gt;0"))</f>
        <v>0</v>
      </c>
      <c r="AE75" s="265">
        <f t="shared" si="11"/>
        <v>0</v>
      </c>
      <c r="AF75" s="592">
        <f t="shared" si="11"/>
        <v>1</v>
      </c>
      <c r="AG75" s="592">
        <f t="shared" si="11"/>
        <v>1</v>
      </c>
      <c r="AH75" s="265">
        <f t="shared" si="11"/>
        <v>0</v>
      </c>
      <c r="AI75" s="265">
        <f t="shared" ref="AI75:AL75" si="12">sum(countifs($AL$2:$AL$27,"&gt;0",AM2:AM27,"&gt;0"),countifs($AL$29:$AL$65,"&gt;0",AM29:AM65,"&gt;0"))</f>
        <v>0</v>
      </c>
      <c r="AJ75" s="592">
        <f t="shared" si="12"/>
        <v>4</v>
      </c>
      <c r="AK75" s="265">
        <f t="shared" si="12"/>
        <v>0</v>
      </c>
      <c r="AL75" s="265">
        <f t="shared" si="12"/>
        <v>0</v>
      </c>
      <c r="AM75" s="265">
        <f t="shared" ref="AM75:AO75" si="13">sum(countifs($AM$2:$AM$27,"&gt;0",AN2:AN27,"&gt;0"),countifs($AM$29:$AM$65,"&gt;0",AN29:AN65,"&gt;0"))</f>
        <v>0</v>
      </c>
      <c r="AN75" s="265">
        <f t="shared" si="13"/>
        <v>0</v>
      </c>
      <c r="AO75" s="265">
        <f t="shared" si="13"/>
        <v>0</v>
      </c>
      <c r="AP75" s="592">
        <f t="shared" ref="AP75:AQ75" si="14">sum(countifs($AN$2:$AN$27,"&gt;0",AO2:AO27,"&gt;0"),countifs($AN$29:$AN$65,"&gt;0",AO29:AO65,"&gt;0"))</f>
        <v>1</v>
      </c>
      <c r="AQ75" s="592">
        <f t="shared" si="14"/>
        <v>1</v>
      </c>
      <c r="AR75" s="265">
        <f>sum(countifs($AO$2:$AO$27,"&gt;0",AP2:AP27,"&gt;0"),countifs($AO$29:$AO$65,"&gt;0",AP29:AP65,"&gt;0"))</f>
        <v>0</v>
      </c>
    </row>
    <row r="76">
      <c r="A76" s="265"/>
      <c r="I76" s="76">
        <f t="shared" ref="I76:P76" si="15">I75/sum($I$75:$P$75)</f>
        <v>0.01923076923</v>
      </c>
      <c r="J76" s="76">
        <f t="shared" si="15"/>
        <v>0.01923076923</v>
      </c>
      <c r="K76" s="76">
        <f t="shared" si="15"/>
        <v>0.07692307692</v>
      </c>
      <c r="L76" s="76">
        <f t="shared" si="15"/>
        <v>0.1538461538</v>
      </c>
      <c r="M76" s="76">
        <f t="shared" si="15"/>
        <v>0.07692307692</v>
      </c>
      <c r="N76" s="76">
        <f t="shared" si="15"/>
        <v>0.5384615385</v>
      </c>
      <c r="O76" s="76">
        <f t="shared" si="15"/>
        <v>0.09615384615</v>
      </c>
      <c r="P76" s="76">
        <f t="shared" si="15"/>
        <v>0.01923076923</v>
      </c>
      <c r="Q76" s="265"/>
      <c r="R76" s="265"/>
      <c r="S76" s="265"/>
      <c r="T76" s="265"/>
      <c r="U76" s="265"/>
      <c r="V76" s="265"/>
      <c r="W76" s="265"/>
      <c r="X76" s="265"/>
      <c r="Y76" s="265"/>
      <c r="Z76" s="265"/>
      <c r="AA76" s="265"/>
      <c r="AB76" s="265"/>
      <c r="AC76" s="265"/>
      <c r="AD76" s="265"/>
      <c r="AE76" s="265"/>
      <c r="AF76" s="265"/>
      <c r="AG76" s="265"/>
      <c r="AH76" s="265"/>
      <c r="AI76" s="265"/>
      <c r="AJ76" s="265"/>
      <c r="AK76" s="265"/>
      <c r="AL76" s="265"/>
      <c r="AM76" s="265"/>
      <c r="AN76" s="265"/>
      <c r="AO76" s="265"/>
      <c r="AP76" s="265"/>
      <c r="AQ76" s="265"/>
      <c r="AR76" s="265"/>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7.29" defaultRowHeight="15.0"/>
  <cols>
    <col customWidth="1" min="3" max="3" width="26.14"/>
    <col customWidth="1" min="9" max="9" width="5.14"/>
    <col customWidth="1" min="10" max="10" width="10.0"/>
    <col customWidth="1" min="11" max="11" width="4.86"/>
    <col customWidth="1" min="12" max="12" width="8.29"/>
    <col customWidth="1" min="13" max="13" width="6.71"/>
    <col customWidth="1" min="14" max="14" width="8.43"/>
    <col customWidth="1" min="15" max="15" width="7.86"/>
    <col customWidth="1" min="16" max="16" width="9.57"/>
    <col customWidth="1" min="17" max="17" width="10.57"/>
    <col customWidth="1" min="18" max="18" width="19.43"/>
    <col customWidth="1" min="19" max="19" width="16.0"/>
    <col customWidth="1" min="20" max="20" width="14.14"/>
    <col customWidth="1" min="21" max="21" width="20.57"/>
    <col customWidth="1" min="22" max="22" width="23.43"/>
    <col customWidth="1" min="23" max="23" width="18.43"/>
    <col customWidth="1" min="24" max="24" width="14.57"/>
    <col customWidth="1" min="25" max="25" width="9.71"/>
    <col customWidth="1" min="26" max="26" width="14.86"/>
    <col customWidth="1" min="27" max="27" width="26.86"/>
    <col customWidth="1" min="28" max="28" width="12.0"/>
    <col customWidth="1" min="29" max="29" width="18.43"/>
    <col customWidth="1" min="30" max="30" width="8.71"/>
    <col customWidth="1" min="31" max="33" width="9.43"/>
    <col customWidth="1" min="34" max="34" width="8.71"/>
    <col customWidth="1" min="35" max="35" width="6.14"/>
    <col customWidth="1" min="36" max="36" width="6.57"/>
    <col customWidth="1" min="37" max="38" width="8.71"/>
    <col customWidth="1" min="39" max="39" width="6.57"/>
    <col customWidth="1" min="40" max="41" width="8.71"/>
    <col customWidth="1" min="42" max="43" width="9.14"/>
    <col customWidth="1" min="44" max="44" width="11.29"/>
  </cols>
  <sheetData>
    <row r="1">
      <c r="A1" s="340" t="s">
        <v>1355</v>
      </c>
      <c r="B1" s="309" t="s">
        <v>1356</v>
      </c>
      <c r="C1" s="309" t="s">
        <v>1246</v>
      </c>
      <c r="D1" s="310" t="s">
        <v>331</v>
      </c>
      <c r="E1" s="543" t="s">
        <v>1357</v>
      </c>
      <c r="F1" s="372" t="s">
        <v>1</v>
      </c>
      <c r="G1" s="372" t="s">
        <v>4</v>
      </c>
      <c r="H1" s="340" t="s">
        <v>1358</v>
      </c>
      <c r="I1" s="310" t="s">
        <v>1359</v>
      </c>
      <c r="J1" s="310" t="s">
        <v>336</v>
      </c>
      <c r="K1" s="310" t="s">
        <v>337</v>
      </c>
      <c r="L1" s="311" t="s">
        <v>332</v>
      </c>
      <c r="M1" s="311" t="s">
        <v>1360</v>
      </c>
      <c r="N1" s="311" t="s">
        <v>1593</v>
      </c>
      <c r="O1" s="311" t="s">
        <v>1594</v>
      </c>
      <c r="P1" s="311" t="s">
        <v>1595</v>
      </c>
      <c r="Q1" s="543" t="s">
        <v>339</v>
      </c>
      <c r="R1" s="339" t="s">
        <v>1361</v>
      </c>
      <c r="S1" s="339" t="s">
        <v>1362</v>
      </c>
      <c r="T1" s="340" t="s">
        <v>1666</v>
      </c>
      <c r="U1" s="340" t="s">
        <v>1407</v>
      </c>
      <c r="V1" s="340" t="s">
        <v>1366</v>
      </c>
      <c r="W1" s="340" t="s">
        <v>1367</v>
      </c>
      <c r="X1" s="341" t="s">
        <v>1368</v>
      </c>
      <c r="Y1" s="341" t="s">
        <v>1369</v>
      </c>
      <c r="Z1" s="342" t="s">
        <v>1370</v>
      </c>
      <c r="AA1" s="342" t="s">
        <v>1371</v>
      </c>
      <c r="AB1" s="343" t="s">
        <v>1372</v>
      </c>
      <c r="AC1" s="344" t="s">
        <v>1373</v>
      </c>
      <c r="AD1" s="310" t="s">
        <v>1374</v>
      </c>
      <c r="AE1" s="182"/>
      <c r="AF1" s="265"/>
      <c r="AG1" s="265"/>
      <c r="AH1" s="265"/>
      <c r="AI1" s="345" t="s">
        <v>389</v>
      </c>
      <c r="AJ1" s="346" t="s">
        <v>420</v>
      </c>
      <c r="AK1" s="347" t="s">
        <v>358</v>
      </c>
      <c r="AL1" s="348" t="s">
        <v>363</v>
      </c>
      <c r="AM1" s="349" t="s">
        <v>413</v>
      </c>
      <c r="AN1" s="350" t="s">
        <v>357</v>
      </c>
      <c r="AO1" s="351" t="s">
        <v>380</v>
      </c>
      <c r="AP1" s="352" t="s">
        <v>387</v>
      </c>
      <c r="AQ1" s="353" t="s">
        <v>1375</v>
      </c>
      <c r="AR1" s="353" t="s">
        <v>1376</v>
      </c>
    </row>
    <row r="2">
      <c r="A2" s="157">
        <v>1.0</v>
      </c>
      <c r="B2" s="157" t="s">
        <v>280</v>
      </c>
      <c r="C2" s="46" t="s">
        <v>276</v>
      </c>
      <c r="D2" s="98" t="s">
        <v>932</v>
      </c>
      <c r="E2" s="631">
        <v>40444.0</v>
      </c>
      <c r="F2" s="265"/>
      <c r="G2" s="265"/>
      <c r="H2" s="265"/>
      <c r="I2" s="265"/>
      <c r="J2" s="265"/>
      <c r="K2" s="265"/>
      <c r="L2" s="265"/>
      <c r="M2" s="265"/>
      <c r="N2" s="265"/>
      <c r="O2" s="265"/>
      <c r="P2" s="265"/>
      <c r="Q2" s="265"/>
      <c r="R2" s="157">
        <v>0.0</v>
      </c>
      <c r="S2" s="157">
        <v>0.0</v>
      </c>
      <c r="T2" s="157">
        <v>0.0</v>
      </c>
      <c r="U2" s="157">
        <v>0.0</v>
      </c>
      <c r="V2" s="157" t="s">
        <v>354</v>
      </c>
      <c r="W2" s="157" t="s">
        <v>354</v>
      </c>
      <c r="X2" s="355" t="s">
        <v>365</v>
      </c>
      <c r="Y2" s="90" t="s">
        <v>413</v>
      </c>
      <c r="Z2" s="356" t="s">
        <v>365</v>
      </c>
      <c r="AA2" s="90" t="s">
        <v>413</v>
      </c>
      <c r="AB2" s="144" t="s">
        <v>365</v>
      </c>
      <c r="AC2" s="90" t="s">
        <v>413</v>
      </c>
      <c r="AD2" s="357">
        <f t="shared" ref="AD2:AD72" si="1">sum(COUNTIF(X2:AC2,"POS"),countif(R2,"&gt;0"))</f>
        <v>3</v>
      </c>
      <c r="AE2" s="265"/>
      <c r="AF2" s="265"/>
      <c r="AG2" s="265"/>
      <c r="AH2" s="265"/>
      <c r="AI2" s="157">
        <v>0.0</v>
      </c>
      <c r="AJ2" s="157">
        <v>0.0</v>
      </c>
      <c r="AK2" s="157">
        <v>0.0</v>
      </c>
      <c r="AL2" s="157">
        <v>0.0</v>
      </c>
      <c r="AM2" s="157">
        <v>3.0</v>
      </c>
      <c r="AN2" s="157">
        <v>0.0</v>
      </c>
      <c r="AO2" s="157">
        <v>0.0</v>
      </c>
      <c r="AP2" s="157">
        <v>0.0</v>
      </c>
      <c r="AQ2" s="388">
        <f t="shared" ref="AQ2:AQ72" si="2">sum(AI2:AP2)</f>
        <v>3</v>
      </c>
      <c r="AR2" s="388">
        <f t="shared" ref="AR2:AR70" si="3">countif(AI2:AP2,"&gt;0")</f>
        <v>1</v>
      </c>
    </row>
    <row r="3">
      <c r="A3" s="157">
        <v>2.0</v>
      </c>
      <c r="B3" s="157" t="s">
        <v>92</v>
      </c>
      <c r="C3" s="48" t="s">
        <v>88</v>
      </c>
      <c r="D3" s="98" t="s">
        <v>499</v>
      </c>
      <c r="E3" s="631">
        <v>40444.0</v>
      </c>
      <c r="F3" s="265"/>
      <c r="G3" s="265"/>
      <c r="H3" s="265"/>
      <c r="I3" s="265"/>
      <c r="J3" s="265"/>
      <c r="K3" s="265"/>
      <c r="L3" s="265"/>
      <c r="M3" s="265"/>
      <c r="N3" s="265"/>
      <c r="O3" s="265"/>
      <c r="P3" s="265"/>
      <c r="Q3" s="265"/>
      <c r="R3" s="157">
        <v>0.0</v>
      </c>
      <c r="S3" s="157">
        <v>0.0</v>
      </c>
      <c r="T3" s="157">
        <v>0.0</v>
      </c>
      <c r="U3" s="157">
        <v>0.0</v>
      </c>
      <c r="V3" s="157" t="s">
        <v>354</v>
      </c>
      <c r="W3" s="157" t="s">
        <v>354</v>
      </c>
      <c r="X3" s="355" t="s">
        <v>365</v>
      </c>
      <c r="Y3" s="40" t="s">
        <v>357</v>
      </c>
      <c r="Z3" s="365" t="s">
        <v>365</v>
      </c>
      <c r="AA3" s="391" t="s">
        <v>380</v>
      </c>
      <c r="AB3" s="144" t="s">
        <v>365</v>
      </c>
      <c r="AC3" s="40" t="s">
        <v>357</v>
      </c>
      <c r="AD3" s="357">
        <f t="shared" si="1"/>
        <v>3</v>
      </c>
      <c r="AE3" s="265"/>
      <c r="AF3" s="265"/>
      <c r="AG3" s="265"/>
      <c r="AH3" s="265"/>
      <c r="AI3" s="157">
        <v>0.0</v>
      </c>
      <c r="AJ3" s="157">
        <v>0.0</v>
      </c>
      <c r="AK3" s="157">
        <v>0.0</v>
      </c>
      <c r="AL3" s="157">
        <v>0.0</v>
      </c>
      <c r="AM3" s="157">
        <v>0.0</v>
      </c>
      <c r="AN3" s="157">
        <v>2.0</v>
      </c>
      <c r="AO3" s="157">
        <v>1.0</v>
      </c>
      <c r="AP3" s="157">
        <v>0.0</v>
      </c>
      <c r="AQ3" s="388">
        <f t="shared" si="2"/>
        <v>3</v>
      </c>
      <c r="AR3" s="388">
        <f t="shared" si="3"/>
        <v>2</v>
      </c>
    </row>
    <row r="4">
      <c r="A4" s="157">
        <v>3.0</v>
      </c>
      <c r="B4" s="157" t="s">
        <v>942</v>
      </c>
      <c r="C4" s="63" t="s">
        <v>939</v>
      </c>
      <c r="D4" s="482" t="s">
        <v>940</v>
      </c>
      <c r="E4" s="631">
        <v>40444.0</v>
      </c>
      <c r="F4" s="265"/>
      <c r="G4" s="265"/>
      <c r="H4" s="265"/>
      <c r="I4" s="265"/>
      <c r="J4" s="265"/>
      <c r="K4" s="265"/>
      <c r="L4" s="265"/>
      <c r="M4" s="265"/>
      <c r="N4" s="265"/>
      <c r="O4" s="265"/>
      <c r="P4" s="265"/>
      <c r="Q4" s="265"/>
      <c r="R4" s="157">
        <v>0.0</v>
      </c>
      <c r="S4" s="157">
        <v>0.0</v>
      </c>
      <c r="T4" s="157">
        <v>0.0</v>
      </c>
      <c r="U4" s="157">
        <v>0.0</v>
      </c>
      <c r="V4" s="157" t="s">
        <v>354</v>
      </c>
      <c r="W4" s="157" t="s">
        <v>354</v>
      </c>
      <c r="X4" s="364" t="s">
        <v>361</v>
      </c>
      <c r="Y4" s="364" t="s">
        <v>361</v>
      </c>
      <c r="Z4" s="392" t="s">
        <v>361</v>
      </c>
      <c r="AA4" s="392" t="s">
        <v>361</v>
      </c>
      <c r="AB4" s="139" t="s">
        <v>356</v>
      </c>
      <c r="AC4" s="139" t="s">
        <v>354</v>
      </c>
      <c r="AD4" s="46">
        <f t="shared" si="1"/>
        <v>0</v>
      </c>
      <c r="AE4" s="265"/>
      <c r="AF4" s="265"/>
      <c r="AG4" s="265"/>
      <c r="AH4" s="265"/>
      <c r="AI4" s="157">
        <v>0.0</v>
      </c>
      <c r="AJ4" s="157">
        <v>0.0</v>
      </c>
      <c r="AK4" s="157">
        <v>0.0</v>
      </c>
      <c r="AL4" s="157">
        <v>0.0</v>
      </c>
      <c r="AM4" s="157">
        <v>0.0</v>
      </c>
      <c r="AN4" s="157">
        <v>0.0</v>
      </c>
      <c r="AO4" s="157">
        <v>0.0</v>
      </c>
      <c r="AP4" s="157">
        <v>0.0</v>
      </c>
      <c r="AQ4" s="265">
        <f t="shared" si="2"/>
        <v>0</v>
      </c>
      <c r="AR4" s="265">
        <f t="shared" si="3"/>
        <v>0</v>
      </c>
    </row>
    <row r="5">
      <c r="A5" s="157">
        <v>4.0</v>
      </c>
      <c r="B5" s="157" t="s">
        <v>75</v>
      </c>
      <c r="C5" s="46" t="s">
        <v>71</v>
      </c>
      <c r="D5" s="18" t="s">
        <v>459</v>
      </c>
      <c r="E5" s="631">
        <v>40444.0</v>
      </c>
      <c r="F5" s="265"/>
      <c r="G5" s="265"/>
      <c r="H5" s="265"/>
      <c r="I5" s="265"/>
      <c r="J5" s="265"/>
      <c r="K5" s="265"/>
      <c r="L5" s="265"/>
      <c r="M5" s="265"/>
      <c r="N5" s="265"/>
      <c r="O5" s="265"/>
      <c r="P5" s="265"/>
      <c r="Q5" s="265"/>
      <c r="R5" s="157">
        <v>0.0</v>
      </c>
      <c r="S5" s="157">
        <v>0.0</v>
      </c>
      <c r="T5" s="157">
        <v>0.0</v>
      </c>
      <c r="U5" s="157">
        <v>0.0</v>
      </c>
      <c r="V5" s="157" t="s">
        <v>354</v>
      </c>
      <c r="W5" s="157" t="s">
        <v>354</v>
      </c>
      <c r="X5" s="364" t="s">
        <v>407</v>
      </c>
      <c r="Y5" s="364" t="s">
        <v>407</v>
      </c>
      <c r="Z5" s="356" t="s">
        <v>365</v>
      </c>
      <c r="AA5" s="40" t="s">
        <v>357</v>
      </c>
      <c r="AB5" s="144" t="s">
        <v>365</v>
      </c>
      <c r="AC5" s="162" t="s">
        <v>363</v>
      </c>
      <c r="AD5" s="357">
        <f t="shared" si="1"/>
        <v>2</v>
      </c>
      <c r="AE5" s="265"/>
      <c r="AF5" s="265"/>
      <c r="AG5" s="265"/>
      <c r="AH5" s="265"/>
      <c r="AI5" s="157">
        <v>0.0</v>
      </c>
      <c r="AJ5" s="157">
        <v>0.0</v>
      </c>
      <c r="AK5" s="157">
        <v>0.0</v>
      </c>
      <c r="AL5" s="157">
        <v>1.0</v>
      </c>
      <c r="AM5" s="157">
        <v>0.0</v>
      </c>
      <c r="AN5" s="157">
        <v>1.0</v>
      </c>
      <c r="AO5" s="157">
        <v>0.0</v>
      </c>
      <c r="AP5" s="157">
        <v>0.0</v>
      </c>
      <c r="AQ5" s="388">
        <f t="shared" si="2"/>
        <v>2</v>
      </c>
      <c r="AR5" s="388">
        <f t="shared" si="3"/>
        <v>2</v>
      </c>
    </row>
    <row r="6">
      <c r="A6" s="157">
        <v>5.0</v>
      </c>
      <c r="B6" s="157" t="s">
        <v>150</v>
      </c>
      <c r="C6" s="46" t="s">
        <v>147</v>
      </c>
      <c r="D6" s="98" t="s">
        <v>626</v>
      </c>
      <c r="E6" s="631">
        <v>40444.0</v>
      </c>
      <c r="F6" s="265"/>
      <c r="G6" s="265"/>
      <c r="H6" s="265"/>
      <c r="I6" s="265"/>
      <c r="J6" s="265"/>
      <c r="K6" s="265"/>
      <c r="L6" s="265"/>
      <c r="M6" s="265"/>
      <c r="N6" s="265"/>
      <c r="O6" s="265"/>
      <c r="P6" s="265"/>
      <c r="Q6" s="265"/>
      <c r="R6" s="140">
        <v>37.12</v>
      </c>
      <c r="S6" s="157">
        <v>0.0</v>
      </c>
      <c r="T6" s="157">
        <v>0.0</v>
      </c>
      <c r="U6" s="157">
        <v>0.0</v>
      </c>
      <c r="V6" s="157" t="s">
        <v>354</v>
      </c>
      <c r="W6" s="157" t="s">
        <v>354</v>
      </c>
      <c r="X6" s="384" t="s">
        <v>356</v>
      </c>
      <c r="Y6" s="384" t="s">
        <v>354</v>
      </c>
      <c r="Z6" s="368" t="s">
        <v>356</v>
      </c>
      <c r="AA6" s="368" t="s">
        <v>354</v>
      </c>
      <c r="AB6" s="387" t="s">
        <v>361</v>
      </c>
      <c r="AC6" s="387" t="s">
        <v>361</v>
      </c>
      <c r="AD6" s="46">
        <f t="shared" si="1"/>
        <v>1</v>
      </c>
      <c r="AE6" s="265"/>
      <c r="AF6" s="265"/>
      <c r="AG6" s="265"/>
      <c r="AH6" s="265"/>
      <c r="AI6" s="157">
        <v>0.0</v>
      </c>
      <c r="AJ6" s="157">
        <v>0.0</v>
      </c>
      <c r="AK6" s="157">
        <v>0.0</v>
      </c>
      <c r="AL6" s="157">
        <v>0.0</v>
      </c>
      <c r="AM6" s="157">
        <v>0.0</v>
      </c>
      <c r="AN6" s="157">
        <v>0.0</v>
      </c>
      <c r="AO6" s="157">
        <v>0.0</v>
      </c>
      <c r="AP6" s="157">
        <v>0.0</v>
      </c>
      <c r="AQ6" s="265">
        <f t="shared" si="2"/>
        <v>0</v>
      </c>
      <c r="AR6" s="265">
        <f t="shared" si="3"/>
        <v>0</v>
      </c>
    </row>
    <row r="7">
      <c r="A7" s="157">
        <v>6.0</v>
      </c>
      <c r="B7" s="157" t="s">
        <v>274</v>
      </c>
      <c r="C7" s="46" t="s">
        <v>271</v>
      </c>
      <c r="D7" s="18" t="s">
        <v>924</v>
      </c>
      <c r="E7" s="631">
        <v>40444.0</v>
      </c>
      <c r="F7" s="265"/>
      <c r="G7" s="265"/>
      <c r="H7" s="265"/>
      <c r="I7" s="265"/>
      <c r="J7" s="265"/>
      <c r="K7" s="265"/>
      <c r="L7" s="265"/>
      <c r="M7" s="265"/>
      <c r="N7" s="265"/>
      <c r="O7" s="265"/>
      <c r="P7" s="265"/>
      <c r="Q7" s="265"/>
      <c r="R7" s="157">
        <v>0.0</v>
      </c>
      <c r="S7" s="157">
        <v>0.0</v>
      </c>
      <c r="T7" s="157">
        <v>0.0</v>
      </c>
      <c r="U7" s="157">
        <v>0.0</v>
      </c>
      <c r="V7" s="157" t="s">
        <v>354</v>
      </c>
      <c r="W7" s="157" t="s">
        <v>354</v>
      </c>
      <c r="X7" s="355" t="s">
        <v>365</v>
      </c>
      <c r="Y7" s="90" t="s">
        <v>413</v>
      </c>
      <c r="Z7" s="356" t="s">
        <v>365</v>
      </c>
      <c r="AA7" s="90" t="s">
        <v>413</v>
      </c>
      <c r="AB7" s="144" t="s">
        <v>365</v>
      </c>
      <c r="AC7" s="90" t="s">
        <v>413</v>
      </c>
      <c r="AD7" s="357">
        <f t="shared" si="1"/>
        <v>3</v>
      </c>
      <c r="AE7" s="265"/>
      <c r="AF7" s="265"/>
      <c r="AG7" s="265"/>
      <c r="AH7" s="265"/>
      <c r="AI7" s="157">
        <v>0.0</v>
      </c>
      <c r="AJ7" s="157">
        <v>0.0</v>
      </c>
      <c r="AK7" s="157">
        <v>0.0</v>
      </c>
      <c r="AL7" s="157">
        <v>0.0</v>
      </c>
      <c r="AM7" s="157">
        <v>3.0</v>
      </c>
      <c r="AN7" s="157">
        <v>0.0</v>
      </c>
      <c r="AO7" s="157">
        <v>0.0</v>
      </c>
      <c r="AP7" s="157">
        <v>0.0</v>
      </c>
      <c r="AQ7" s="388">
        <f t="shared" si="2"/>
        <v>3</v>
      </c>
      <c r="AR7" s="388">
        <f t="shared" si="3"/>
        <v>1</v>
      </c>
    </row>
    <row r="8">
      <c r="A8" s="157">
        <v>7.0</v>
      </c>
      <c r="B8" s="157" t="s">
        <v>260</v>
      </c>
      <c r="C8" s="49" t="s">
        <v>888</v>
      </c>
      <c r="D8" s="18" t="s">
        <v>889</v>
      </c>
      <c r="E8" s="631">
        <v>40444.0</v>
      </c>
      <c r="F8" s="265"/>
      <c r="G8" s="265"/>
      <c r="H8" s="265"/>
      <c r="I8" s="265"/>
      <c r="J8" s="265"/>
      <c r="K8" s="265"/>
      <c r="L8" s="265"/>
      <c r="M8" s="265"/>
      <c r="N8" s="265"/>
      <c r="O8" s="265"/>
      <c r="P8" s="265"/>
      <c r="Q8" s="265"/>
      <c r="R8" s="140">
        <v>31.19</v>
      </c>
      <c r="S8" s="157">
        <v>0.0</v>
      </c>
      <c r="T8" s="157">
        <v>0.0</v>
      </c>
      <c r="U8" s="157">
        <v>0.0</v>
      </c>
      <c r="V8" s="157" t="s">
        <v>354</v>
      </c>
      <c r="W8" s="157" t="s">
        <v>354</v>
      </c>
      <c r="X8" s="355" t="s">
        <v>365</v>
      </c>
      <c r="Y8" s="90" t="s">
        <v>413</v>
      </c>
      <c r="Z8" s="356" t="s">
        <v>365</v>
      </c>
      <c r="AA8" s="90" t="s">
        <v>413</v>
      </c>
      <c r="AB8" s="144" t="s">
        <v>365</v>
      </c>
      <c r="AC8" s="90" t="s">
        <v>413</v>
      </c>
      <c r="AD8" s="357">
        <f t="shared" si="1"/>
        <v>4</v>
      </c>
      <c r="AE8" s="265"/>
      <c r="AF8" s="265"/>
      <c r="AG8" s="265"/>
      <c r="AH8" s="265"/>
      <c r="AI8" s="157">
        <v>0.0</v>
      </c>
      <c r="AJ8" s="157">
        <v>0.0</v>
      </c>
      <c r="AK8" s="157">
        <v>0.0</v>
      </c>
      <c r="AL8" s="157">
        <v>0.0</v>
      </c>
      <c r="AM8" s="157">
        <v>3.0</v>
      </c>
      <c r="AN8" s="157">
        <v>0.0</v>
      </c>
      <c r="AO8" s="157">
        <v>0.0</v>
      </c>
      <c r="AP8" s="157">
        <v>0.0</v>
      </c>
      <c r="AQ8" s="388">
        <f t="shared" si="2"/>
        <v>3</v>
      </c>
      <c r="AR8" s="388">
        <f t="shared" si="3"/>
        <v>1</v>
      </c>
    </row>
    <row r="9">
      <c r="A9" s="157">
        <v>8.0</v>
      </c>
      <c r="B9" s="157" t="s">
        <v>163</v>
      </c>
      <c r="C9" s="46" t="s">
        <v>161</v>
      </c>
      <c r="D9" s="18" t="s">
        <v>645</v>
      </c>
      <c r="E9" s="631">
        <v>40444.0</v>
      </c>
      <c r="F9" s="265"/>
      <c r="G9" s="265"/>
      <c r="H9" s="265"/>
      <c r="I9" s="265"/>
      <c r="J9" s="265"/>
      <c r="K9" s="265"/>
      <c r="L9" s="265"/>
      <c r="M9" s="265"/>
      <c r="N9" s="265"/>
      <c r="O9" s="265"/>
      <c r="P9" s="265"/>
      <c r="Q9" s="265"/>
      <c r="R9" s="140">
        <v>32.41</v>
      </c>
      <c r="S9" s="157">
        <v>0.0</v>
      </c>
      <c r="T9" s="157">
        <v>0.0</v>
      </c>
      <c r="U9" s="157">
        <v>0.0</v>
      </c>
      <c r="V9" s="157" t="s">
        <v>354</v>
      </c>
      <c r="W9" s="157" t="s">
        <v>354</v>
      </c>
      <c r="X9" s="355" t="s">
        <v>365</v>
      </c>
      <c r="Y9" s="90" t="s">
        <v>413</v>
      </c>
      <c r="Z9" s="356" t="s">
        <v>365</v>
      </c>
      <c r="AA9" s="90" t="s">
        <v>413</v>
      </c>
      <c r="AB9" s="144" t="s">
        <v>365</v>
      </c>
      <c r="AC9" s="90" t="s">
        <v>413</v>
      </c>
      <c r="AD9" s="357">
        <f t="shared" si="1"/>
        <v>4</v>
      </c>
      <c r="AE9" s="265"/>
      <c r="AF9" s="265"/>
      <c r="AG9" s="265"/>
      <c r="AH9" s="265"/>
      <c r="AI9" s="157">
        <v>0.0</v>
      </c>
      <c r="AJ9" s="157">
        <v>0.0</v>
      </c>
      <c r="AK9" s="157">
        <v>0.0</v>
      </c>
      <c r="AL9" s="157">
        <v>0.0</v>
      </c>
      <c r="AM9" s="157">
        <v>3.0</v>
      </c>
      <c r="AN9" s="157">
        <v>0.0</v>
      </c>
      <c r="AO9" s="157">
        <v>0.0</v>
      </c>
      <c r="AP9" s="157">
        <v>0.0</v>
      </c>
      <c r="AQ9" s="388">
        <f t="shared" si="2"/>
        <v>3</v>
      </c>
      <c r="AR9" s="388">
        <f t="shared" si="3"/>
        <v>1</v>
      </c>
    </row>
    <row r="10">
      <c r="A10" s="157">
        <v>9.0</v>
      </c>
      <c r="B10" s="157" t="s">
        <v>61</v>
      </c>
      <c r="C10" s="49" t="s">
        <v>437</v>
      </c>
      <c r="D10" s="18" t="s">
        <v>438</v>
      </c>
      <c r="E10" s="631">
        <v>40444.0</v>
      </c>
      <c r="F10" s="265"/>
      <c r="G10" s="265"/>
      <c r="H10" s="265"/>
      <c r="I10" s="265"/>
      <c r="J10" s="265"/>
      <c r="K10" s="265"/>
      <c r="L10" s="265"/>
      <c r="M10" s="265"/>
      <c r="N10" s="265"/>
      <c r="O10" s="265"/>
      <c r="P10" s="265"/>
      <c r="Q10" s="265"/>
      <c r="R10" s="140">
        <v>31.36</v>
      </c>
      <c r="S10" s="157">
        <v>0.0</v>
      </c>
      <c r="T10" s="157">
        <v>0.0</v>
      </c>
      <c r="U10" s="157">
        <v>0.0</v>
      </c>
      <c r="V10" s="157" t="s">
        <v>354</v>
      </c>
      <c r="W10" s="157" t="s">
        <v>354</v>
      </c>
      <c r="X10" s="355" t="s">
        <v>365</v>
      </c>
      <c r="Y10" s="40" t="s">
        <v>357</v>
      </c>
      <c r="Z10" s="356" t="s">
        <v>365</v>
      </c>
      <c r="AA10" s="40" t="s">
        <v>357</v>
      </c>
      <c r="AB10" s="144" t="s">
        <v>365</v>
      </c>
      <c r="AC10" s="40" t="s">
        <v>357</v>
      </c>
      <c r="AD10" s="357">
        <f t="shared" si="1"/>
        <v>4</v>
      </c>
      <c r="AE10" s="265"/>
      <c r="AF10" s="265"/>
      <c r="AG10" s="265"/>
      <c r="AH10" s="265"/>
      <c r="AI10" s="157">
        <v>0.0</v>
      </c>
      <c r="AJ10" s="157">
        <v>0.0</v>
      </c>
      <c r="AK10" s="157">
        <v>0.0</v>
      </c>
      <c r="AL10" s="157">
        <v>0.0</v>
      </c>
      <c r="AM10" s="157">
        <v>0.0</v>
      </c>
      <c r="AN10" s="157">
        <v>3.0</v>
      </c>
      <c r="AO10" s="157">
        <v>0.0</v>
      </c>
      <c r="AP10" s="157">
        <v>0.0</v>
      </c>
      <c r="AQ10" s="388">
        <f t="shared" si="2"/>
        <v>3</v>
      </c>
      <c r="AR10" s="388">
        <f t="shared" si="3"/>
        <v>1</v>
      </c>
    </row>
    <row r="11">
      <c r="A11" s="157">
        <v>10.0</v>
      </c>
      <c r="B11" s="157" t="s">
        <v>66</v>
      </c>
      <c r="C11" s="48" t="s">
        <v>66</v>
      </c>
      <c r="D11" s="482" t="s">
        <v>451</v>
      </c>
      <c r="E11" s="631">
        <v>40444.0</v>
      </c>
      <c r="F11" s="265"/>
      <c r="G11" s="265"/>
      <c r="H11" s="265"/>
      <c r="I11" s="265"/>
      <c r="J11" s="265"/>
      <c r="K11" s="265"/>
      <c r="L11" s="265"/>
      <c r="M11" s="265"/>
      <c r="N11" s="265"/>
      <c r="O11" s="265"/>
      <c r="P11" s="265"/>
      <c r="Q11" s="265"/>
      <c r="R11" s="157">
        <v>0.0</v>
      </c>
      <c r="S11" s="157">
        <v>0.0</v>
      </c>
      <c r="T11" s="157">
        <v>0.0</v>
      </c>
      <c r="U11" s="157">
        <v>0.0</v>
      </c>
      <c r="V11" s="157" t="s">
        <v>354</v>
      </c>
      <c r="W11" s="157" t="s">
        <v>354</v>
      </c>
      <c r="X11" s="384" t="s">
        <v>356</v>
      </c>
      <c r="Y11" s="384" t="s">
        <v>354</v>
      </c>
      <c r="Z11" s="368" t="s">
        <v>356</v>
      </c>
      <c r="AA11" s="368" t="s">
        <v>354</v>
      </c>
      <c r="AB11" s="139" t="s">
        <v>356</v>
      </c>
      <c r="AC11" s="139" t="s">
        <v>354</v>
      </c>
      <c r="AD11" s="46">
        <f t="shared" si="1"/>
        <v>0</v>
      </c>
      <c r="AE11" s="265"/>
      <c r="AF11" s="265"/>
      <c r="AG11" s="265"/>
      <c r="AH11" s="265"/>
      <c r="AI11" s="157">
        <v>0.0</v>
      </c>
      <c r="AJ11" s="157">
        <v>0.0</v>
      </c>
      <c r="AK11" s="157">
        <v>0.0</v>
      </c>
      <c r="AL11" s="157">
        <v>0.0</v>
      </c>
      <c r="AM11" s="157">
        <v>0.0</v>
      </c>
      <c r="AN11" s="157">
        <v>0.0</v>
      </c>
      <c r="AO11" s="157">
        <v>0.0</v>
      </c>
      <c r="AP11" s="157">
        <v>0.0</v>
      </c>
      <c r="AQ11" s="265">
        <f t="shared" si="2"/>
        <v>0</v>
      </c>
      <c r="AR11" s="265">
        <f t="shared" si="3"/>
        <v>0</v>
      </c>
    </row>
    <row r="12">
      <c r="A12" s="157">
        <v>11.0</v>
      </c>
      <c r="B12" s="157" t="s">
        <v>80</v>
      </c>
      <c r="C12" s="46" t="s">
        <v>80</v>
      </c>
      <c r="D12" s="18" t="s">
        <v>467</v>
      </c>
      <c r="E12" s="631">
        <v>40444.0</v>
      </c>
      <c r="F12" s="265"/>
      <c r="G12" s="265"/>
      <c r="H12" s="265"/>
      <c r="I12" s="265"/>
      <c r="J12" s="265"/>
      <c r="K12" s="265"/>
      <c r="L12" s="265"/>
      <c r="M12" s="265"/>
      <c r="N12" s="265"/>
      <c r="O12" s="265"/>
      <c r="P12" s="265"/>
      <c r="Q12" s="265"/>
      <c r="R12" s="157">
        <v>0.0</v>
      </c>
      <c r="S12" s="157">
        <v>0.0</v>
      </c>
      <c r="T12" s="157">
        <v>0.0</v>
      </c>
      <c r="U12" s="157">
        <v>0.0</v>
      </c>
      <c r="V12" s="157" t="s">
        <v>354</v>
      </c>
      <c r="W12" s="157" t="s">
        <v>354</v>
      </c>
      <c r="X12" s="364" t="s">
        <v>361</v>
      </c>
      <c r="Y12" s="364" t="s">
        <v>361</v>
      </c>
      <c r="Z12" s="368" t="s">
        <v>356</v>
      </c>
      <c r="AA12" s="368" t="s">
        <v>354</v>
      </c>
      <c r="AB12" s="139" t="s">
        <v>356</v>
      </c>
      <c r="AC12" s="139" t="s">
        <v>354</v>
      </c>
      <c r="AD12" s="46">
        <f t="shared" si="1"/>
        <v>0</v>
      </c>
      <c r="AE12" s="265"/>
      <c r="AF12" s="265"/>
      <c r="AG12" s="265"/>
      <c r="AH12" s="265"/>
      <c r="AI12" s="157">
        <v>0.0</v>
      </c>
      <c r="AJ12" s="157">
        <v>0.0</v>
      </c>
      <c r="AK12" s="157">
        <v>0.0</v>
      </c>
      <c r="AL12" s="157">
        <v>0.0</v>
      </c>
      <c r="AM12" s="157">
        <v>0.0</v>
      </c>
      <c r="AN12" s="157">
        <v>0.0</v>
      </c>
      <c r="AO12" s="157">
        <v>0.0</v>
      </c>
      <c r="AP12" s="157">
        <v>0.0</v>
      </c>
      <c r="AQ12" s="265">
        <f t="shared" si="2"/>
        <v>0</v>
      </c>
      <c r="AR12" s="265">
        <f t="shared" si="3"/>
        <v>0</v>
      </c>
    </row>
    <row r="13">
      <c r="A13" s="157">
        <v>12.0</v>
      </c>
      <c r="B13" s="157" t="s">
        <v>84</v>
      </c>
      <c r="C13" s="46" t="s">
        <v>84</v>
      </c>
      <c r="D13" s="18" t="s">
        <v>474</v>
      </c>
      <c r="E13" s="631">
        <v>40444.0</v>
      </c>
      <c r="F13" s="265"/>
      <c r="G13" s="265"/>
      <c r="H13" s="265"/>
      <c r="I13" s="265"/>
      <c r="J13" s="265"/>
      <c r="K13" s="265"/>
      <c r="L13" s="265"/>
      <c r="M13" s="265"/>
      <c r="N13" s="265"/>
      <c r="O13" s="265"/>
      <c r="P13" s="265"/>
      <c r="Q13" s="265"/>
      <c r="R13" s="157">
        <v>0.0</v>
      </c>
      <c r="S13" s="157">
        <v>0.0</v>
      </c>
      <c r="T13" s="157">
        <v>0.0</v>
      </c>
      <c r="U13" s="157">
        <v>0.0</v>
      </c>
      <c r="V13" s="157" t="s">
        <v>354</v>
      </c>
      <c r="W13" s="157" t="s">
        <v>354</v>
      </c>
      <c r="X13" s="384" t="s">
        <v>356</v>
      </c>
      <c r="Y13" s="384" t="s">
        <v>354</v>
      </c>
      <c r="Z13" s="368" t="s">
        <v>356</v>
      </c>
      <c r="AA13" s="368" t="s">
        <v>354</v>
      </c>
      <c r="AB13" s="633" t="s">
        <v>365</v>
      </c>
      <c r="AC13" s="391" t="s">
        <v>380</v>
      </c>
      <c r="AD13" s="367">
        <f t="shared" si="1"/>
        <v>1</v>
      </c>
      <c r="AE13" s="265"/>
      <c r="AF13" s="265"/>
      <c r="AG13" s="265"/>
      <c r="AH13" s="265"/>
      <c r="AI13" s="157">
        <v>0.0</v>
      </c>
      <c r="AJ13" s="157">
        <v>0.0</v>
      </c>
      <c r="AK13" s="157">
        <v>0.0</v>
      </c>
      <c r="AL13" s="157">
        <v>0.0</v>
      </c>
      <c r="AM13" s="157">
        <v>0.0</v>
      </c>
      <c r="AN13" s="157">
        <v>0.0</v>
      </c>
      <c r="AO13" s="157">
        <v>1.0</v>
      </c>
      <c r="AP13" s="157">
        <v>0.0</v>
      </c>
      <c r="AQ13" s="385">
        <f t="shared" si="2"/>
        <v>1</v>
      </c>
      <c r="AR13" s="385">
        <f t="shared" si="3"/>
        <v>1</v>
      </c>
    </row>
    <row r="14">
      <c r="A14" s="157">
        <v>13.0</v>
      </c>
      <c r="B14" s="157" t="s">
        <v>94</v>
      </c>
      <c r="C14" s="46" t="s">
        <v>94</v>
      </c>
      <c r="D14" s="98" t="s">
        <v>506</v>
      </c>
      <c r="E14" s="631">
        <v>40444.0</v>
      </c>
      <c r="F14" s="265"/>
      <c r="G14" s="265"/>
      <c r="H14" s="265"/>
      <c r="I14" s="265"/>
      <c r="J14" s="265"/>
      <c r="K14" s="265"/>
      <c r="L14" s="265"/>
      <c r="M14" s="265"/>
      <c r="N14" s="265"/>
      <c r="O14" s="265"/>
      <c r="P14" s="265"/>
      <c r="Q14" s="265"/>
      <c r="R14" s="157">
        <v>0.0</v>
      </c>
      <c r="S14" s="157">
        <v>0.0</v>
      </c>
      <c r="T14" s="157">
        <v>0.0</v>
      </c>
      <c r="U14" s="157">
        <v>0.0</v>
      </c>
      <c r="V14" s="157" t="s">
        <v>354</v>
      </c>
      <c r="W14" s="157" t="s">
        <v>354</v>
      </c>
      <c r="X14" s="384" t="s">
        <v>356</v>
      </c>
      <c r="Y14" s="384" t="s">
        <v>354</v>
      </c>
      <c r="Z14" s="365" t="s">
        <v>365</v>
      </c>
      <c r="AA14" s="391" t="s">
        <v>380</v>
      </c>
      <c r="AB14" s="139" t="s">
        <v>356</v>
      </c>
      <c r="AC14" s="139" t="s">
        <v>354</v>
      </c>
      <c r="AD14" s="367">
        <f t="shared" si="1"/>
        <v>1</v>
      </c>
      <c r="AE14" s="265"/>
      <c r="AF14" s="265"/>
      <c r="AG14" s="265"/>
      <c r="AH14" s="265"/>
      <c r="AI14" s="157">
        <v>0.0</v>
      </c>
      <c r="AJ14" s="157">
        <v>0.0</v>
      </c>
      <c r="AK14" s="157">
        <v>0.0</v>
      </c>
      <c r="AL14" s="157">
        <v>0.0</v>
      </c>
      <c r="AM14" s="157">
        <v>0.0</v>
      </c>
      <c r="AN14" s="157">
        <v>0.0</v>
      </c>
      <c r="AO14" s="157">
        <v>1.0</v>
      </c>
      <c r="AP14" s="157">
        <v>0.0</v>
      </c>
      <c r="AQ14" s="385">
        <f t="shared" si="2"/>
        <v>1</v>
      </c>
      <c r="AR14" s="385">
        <f t="shared" si="3"/>
        <v>1</v>
      </c>
    </row>
    <row r="15">
      <c r="A15" s="157">
        <v>14.0</v>
      </c>
      <c r="B15" s="638" t="s">
        <v>98</v>
      </c>
      <c r="C15" s="622" t="s">
        <v>98</v>
      </c>
      <c r="D15" s="604" t="s">
        <v>1610</v>
      </c>
      <c r="E15" s="631">
        <v>40444.0</v>
      </c>
      <c r="F15" s="265"/>
      <c r="G15" s="265"/>
      <c r="H15" s="265"/>
      <c r="I15" s="265"/>
      <c r="J15" s="265"/>
      <c r="K15" s="265"/>
      <c r="L15" s="265"/>
      <c r="M15" s="265"/>
      <c r="N15" s="265"/>
      <c r="O15" s="265"/>
      <c r="P15" s="265"/>
      <c r="Q15" s="265"/>
      <c r="R15" s="157">
        <v>0.0</v>
      </c>
      <c r="S15" s="157">
        <v>0.0</v>
      </c>
      <c r="T15" s="157">
        <v>0.0</v>
      </c>
      <c r="U15" s="140">
        <v>43.6</v>
      </c>
      <c r="V15" s="157" t="s">
        <v>356</v>
      </c>
      <c r="W15" s="157" t="s">
        <v>354</v>
      </c>
      <c r="X15" s="384" t="s">
        <v>356</v>
      </c>
      <c r="Y15" s="384" t="s">
        <v>354</v>
      </c>
      <c r="Z15" s="368" t="s">
        <v>356</v>
      </c>
      <c r="AA15" s="368" t="s">
        <v>354</v>
      </c>
      <c r="AB15" s="139" t="s">
        <v>356</v>
      </c>
      <c r="AC15" s="139" t="s">
        <v>354</v>
      </c>
      <c r="AD15" s="46">
        <f t="shared" si="1"/>
        <v>0</v>
      </c>
      <c r="AE15" s="265"/>
      <c r="AF15" s="265"/>
      <c r="AG15" s="265"/>
      <c r="AH15" s="265"/>
      <c r="AI15" s="157">
        <v>0.0</v>
      </c>
      <c r="AJ15" s="157">
        <v>0.0</v>
      </c>
      <c r="AK15" s="157">
        <v>0.0</v>
      </c>
      <c r="AL15" s="157">
        <v>0.0</v>
      </c>
      <c r="AM15" s="157">
        <v>0.0</v>
      </c>
      <c r="AN15" s="157">
        <v>0.0</v>
      </c>
      <c r="AO15" s="157">
        <v>0.0</v>
      </c>
      <c r="AP15" s="157">
        <v>0.0</v>
      </c>
      <c r="AQ15" s="265">
        <f t="shared" si="2"/>
        <v>0</v>
      </c>
      <c r="AR15" s="265">
        <f t="shared" si="3"/>
        <v>0</v>
      </c>
    </row>
    <row r="16">
      <c r="A16" s="157">
        <v>15.0</v>
      </c>
      <c r="B16" s="157" t="s">
        <v>101</v>
      </c>
      <c r="C16" s="46" t="s">
        <v>101</v>
      </c>
      <c r="D16" s="18" t="s">
        <v>518</v>
      </c>
      <c r="E16" s="631">
        <v>40444.0</v>
      </c>
      <c r="F16" s="265"/>
      <c r="G16" s="265"/>
      <c r="H16" s="265"/>
      <c r="I16" s="265"/>
      <c r="J16" s="265"/>
      <c r="K16" s="265"/>
      <c r="L16" s="265"/>
      <c r="M16" s="265"/>
      <c r="N16" s="265"/>
      <c r="O16" s="265"/>
      <c r="P16" s="265"/>
      <c r="Q16" s="265"/>
      <c r="R16" s="157">
        <v>0.0</v>
      </c>
      <c r="S16" s="157">
        <v>0.0</v>
      </c>
      <c r="T16" s="157">
        <v>0.0</v>
      </c>
      <c r="U16" s="157">
        <v>0.0</v>
      </c>
      <c r="V16" s="157" t="s">
        <v>354</v>
      </c>
      <c r="W16" s="157" t="s">
        <v>354</v>
      </c>
      <c r="X16" s="384" t="s">
        <v>356</v>
      </c>
      <c r="Y16" s="384" t="s">
        <v>354</v>
      </c>
      <c r="Z16" s="356" t="s">
        <v>365</v>
      </c>
      <c r="AA16" s="40" t="s">
        <v>357</v>
      </c>
      <c r="AB16" s="144" t="s">
        <v>365</v>
      </c>
      <c r="AC16" s="40" t="s">
        <v>357</v>
      </c>
      <c r="AD16" s="357">
        <f t="shared" si="1"/>
        <v>2</v>
      </c>
      <c r="AE16" s="265"/>
      <c r="AF16" s="265"/>
      <c r="AG16" s="265"/>
      <c r="AH16" s="265"/>
      <c r="AI16" s="157">
        <v>0.0</v>
      </c>
      <c r="AJ16" s="157">
        <v>0.0</v>
      </c>
      <c r="AK16" s="157">
        <v>0.0</v>
      </c>
      <c r="AL16" s="157">
        <v>0.0</v>
      </c>
      <c r="AM16" s="157">
        <v>0.0</v>
      </c>
      <c r="AN16" s="157">
        <v>2.0</v>
      </c>
      <c r="AO16" s="157">
        <v>0.0</v>
      </c>
      <c r="AP16" s="157">
        <v>0.0</v>
      </c>
      <c r="AQ16" s="388">
        <f t="shared" si="2"/>
        <v>2</v>
      </c>
      <c r="AR16" s="388">
        <f t="shared" si="3"/>
        <v>1</v>
      </c>
    </row>
    <row r="17">
      <c r="A17" s="157">
        <v>16.0</v>
      </c>
      <c r="B17" s="157" t="s">
        <v>105</v>
      </c>
      <c r="C17" s="46" t="s">
        <v>105</v>
      </c>
      <c r="D17" s="18" t="s">
        <v>522</v>
      </c>
      <c r="E17" s="631">
        <v>40444.0</v>
      </c>
      <c r="F17" s="265"/>
      <c r="G17" s="265"/>
      <c r="H17" s="265"/>
      <c r="I17" s="265"/>
      <c r="J17" s="265"/>
      <c r="K17" s="265"/>
      <c r="L17" s="265"/>
      <c r="M17" s="265"/>
      <c r="N17" s="265"/>
      <c r="O17" s="265"/>
      <c r="P17" s="265"/>
      <c r="Q17" s="265"/>
      <c r="R17" s="140">
        <v>30.08</v>
      </c>
      <c r="S17" s="157">
        <v>0.0</v>
      </c>
      <c r="T17" s="157">
        <v>0.0</v>
      </c>
      <c r="U17" s="157">
        <v>0.0</v>
      </c>
      <c r="V17" s="157" t="s">
        <v>354</v>
      </c>
      <c r="W17" s="157" t="s">
        <v>354</v>
      </c>
      <c r="X17" s="355" t="s">
        <v>365</v>
      </c>
      <c r="Y17" s="143" t="s">
        <v>358</v>
      </c>
      <c r="Z17" s="365" t="s">
        <v>365</v>
      </c>
      <c r="AA17" s="391" t="s">
        <v>380</v>
      </c>
      <c r="AB17" s="144" t="s">
        <v>365</v>
      </c>
      <c r="AC17" s="143" t="s">
        <v>358</v>
      </c>
      <c r="AD17" s="357">
        <f t="shared" si="1"/>
        <v>4</v>
      </c>
      <c r="AE17" s="265"/>
      <c r="AF17" s="265"/>
      <c r="AG17" s="265"/>
      <c r="AH17" s="265"/>
      <c r="AI17" s="157">
        <v>0.0</v>
      </c>
      <c r="AJ17" s="157">
        <v>0.0</v>
      </c>
      <c r="AK17" s="157">
        <v>2.0</v>
      </c>
      <c r="AL17" s="157">
        <v>0.0</v>
      </c>
      <c r="AM17" s="157">
        <v>0.0</v>
      </c>
      <c r="AN17" s="157">
        <v>0.0</v>
      </c>
      <c r="AO17" s="157">
        <v>1.0</v>
      </c>
      <c r="AP17" s="157">
        <v>0.0</v>
      </c>
      <c r="AQ17" s="388">
        <f t="shared" si="2"/>
        <v>3</v>
      </c>
      <c r="AR17" s="388">
        <f t="shared" si="3"/>
        <v>2</v>
      </c>
    </row>
    <row r="18">
      <c r="A18" s="157">
        <v>17.0</v>
      </c>
      <c r="B18" s="157" t="s">
        <v>113</v>
      </c>
      <c r="C18" s="46" t="s">
        <v>113</v>
      </c>
      <c r="D18" s="98" t="s">
        <v>541</v>
      </c>
      <c r="E18" s="631">
        <v>40444.0</v>
      </c>
      <c r="F18" s="265"/>
      <c r="G18" s="265"/>
      <c r="H18" s="265"/>
      <c r="I18" s="265"/>
      <c r="J18" s="265"/>
      <c r="K18" s="265"/>
      <c r="L18" s="265"/>
      <c r="M18" s="265"/>
      <c r="N18" s="265"/>
      <c r="O18" s="265"/>
      <c r="P18" s="265"/>
      <c r="Q18" s="265"/>
      <c r="R18" s="140">
        <v>28.29</v>
      </c>
      <c r="S18" s="157">
        <v>0.0</v>
      </c>
      <c r="T18" s="157">
        <v>0.0</v>
      </c>
      <c r="U18" s="157">
        <v>0.0</v>
      </c>
      <c r="V18" s="157" t="s">
        <v>354</v>
      </c>
      <c r="W18" s="157" t="s">
        <v>354</v>
      </c>
      <c r="X18" s="364" t="s">
        <v>361</v>
      </c>
      <c r="Y18" s="364" t="s">
        <v>361</v>
      </c>
      <c r="Z18" s="368" t="s">
        <v>356</v>
      </c>
      <c r="AA18" s="368" t="s">
        <v>354</v>
      </c>
      <c r="AB18" s="139" t="s">
        <v>356</v>
      </c>
      <c r="AC18" s="139" t="s">
        <v>354</v>
      </c>
      <c r="AD18" s="46">
        <f t="shared" si="1"/>
        <v>1</v>
      </c>
      <c r="AE18" s="265"/>
      <c r="AF18" s="265"/>
      <c r="AG18" s="265"/>
      <c r="AH18" s="265"/>
      <c r="AI18" s="157">
        <v>0.0</v>
      </c>
      <c r="AJ18" s="157">
        <v>0.0</v>
      </c>
      <c r="AK18" s="157">
        <v>0.0</v>
      </c>
      <c r="AL18" s="157">
        <v>0.0</v>
      </c>
      <c r="AM18" s="157">
        <v>0.0</v>
      </c>
      <c r="AN18" s="157">
        <v>0.0</v>
      </c>
      <c r="AO18" s="157">
        <v>0.0</v>
      </c>
      <c r="AP18" s="157">
        <v>0.0</v>
      </c>
      <c r="AQ18" s="265">
        <f t="shared" si="2"/>
        <v>0</v>
      </c>
      <c r="AR18" s="265">
        <f t="shared" si="3"/>
        <v>0</v>
      </c>
    </row>
    <row r="19">
      <c r="A19" s="157">
        <v>18.0</v>
      </c>
      <c r="B19" s="157" t="s">
        <v>117</v>
      </c>
      <c r="C19" s="48" t="s">
        <v>117</v>
      </c>
      <c r="D19" s="482" t="s">
        <v>546</v>
      </c>
      <c r="E19" s="631">
        <v>40444.0</v>
      </c>
      <c r="F19" s="265"/>
      <c r="G19" s="265"/>
      <c r="H19" s="265"/>
      <c r="I19" s="265"/>
      <c r="J19" s="265"/>
      <c r="K19" s="265"/>
      <c r="L19" s="265"/>
      <c r="M19" s="265"/>
      <c r="N19" s="265"/>
      <c r="O19" s="265"/>
      <c r="P19" s="265"/>
      <c r="Q19" s="265"/>
      <c r="R19" s="157">
        <v>0.0</v>
      </c>
      <c r="S19" s="157">
        <v>0.0</v>
      </c>
      <c r="T19" s="157">
        <v>0.0</v>
      </c>
      <c r="U19" s="157">
        <v>0.0</v>
      </c>
      <c r="V19" s="157" t="s">
        <v>354</v>
      </c>
      <c r="W19" s="157" t="s">
        <v>354</v>
      </c>
      <c r="X19" s="355" t="s">
        <v>365</v>
      </c>
      <c r="Y19" s="40" t="s">
        <v>357</v>
      </c>
      <c r="Z19" s="368" t="s">
        <v>356</v>
      </c>
      <c r="AA19" s="368" t="s">
        <v>354</v>
      </c>
      <c r="AB19" s="139" t="s">
        <v>356</v>
      </c>
      <c r="AC19" s="139" t="s">
        <v>354</v>
      </c>
      <c r="AD19" s="367">
        <f t="shared" si="1"/>
        <v>1</v>
      </c>
      <c r="AE19" s="265"/>
      <c r="AF19" s="265"/>
      <c r="AG19" s="265"/>
      <c r="AH19" s="265"/>
      <c r="AI19" s="157">
        <v>0.0</v>
      </c>
      <c r="AJ19" s="157">
        <v>0.0</v>
      </c>
      <c r="AK19" s="157">
        <v>0.0</v>
      </c>
      <c r="AL19" s="157">
        <v>0.0</v>
      </c>
      <c r="AM19" s="157">
        <v>0.0</v>
      </c>
      <c r="AN19" s="157">
        <v>1.0</v>
      </c>
      <c r="AO19" s="157">
        <v>0.0</v>
      </c>
      <c r="AP19" s="157">
        <v>0.0</v>
      </c>
      <c r="AQ19" s="385">
        <f t="shared" si="2"/>
        <v>1</v>
      </c>
      <c r="AR19" s="385">
        <f t="shared" si="3"/>
        <v>1</v>
      </c>
    </row>
    <row r="20">
      <c r="A20" s="157">
        <v>19.0</v>
      </c>
      <c r="B20" s="157" t="s">
        <v>120</v>
      </c>
      <c r="C20" s="46" t="s">
        <v>120</v>
      </c>
      <c r="D20" s="18" t="s">
        <v>552</v>
      </c>
      <c r="E20" s="631">
        <v>40444.0</v>
      </c>
      <c r="F20" s="265"/>
      <c r="G20" s="265"/>
      <c r="H20" s="265"/>
      <c r="I20" s="265"/>
      <c r="J20" s="265"/>
      <c r="K20" s="265"/>
      <c r="L20" s="265"/>
      <c r="M20" s="265"/>
      <c r="N20" s="265"/>
      <c r="O20" s="265"/>
      <c r="P20" s="265"/>
      <c r="Q20" s="265"/>
      <c r="R20" s="157">
        <v>0.0</v>
      </c>
      <c r="S20" s="157">
        <v>0.0</v>
      </c>
      <c r="T20" s="157">
        <v>0.0</v>
      </c>
      <c r="U20" s="157">
        <v>0.0</v>
      </c>
      <c r="V20" s="157" t="s">
        <v>354</v>
      </c>
      <c r="W20" s="157" t="s">
        <v>354</v>
      </c>
      <c r="X20" s="384" t="s">
        <v>356</v>
      </c>
      <c r="Y20" s="384" t="s">
        <v>354</v>
      </c>
      <c r="Z20" s="365" t="s">
        <v>365</v>
      </c>
      <c r="AA20" s="391" t="s">
        <v>380</v>
      </c>
      <c r="AB20" s="139" t="s">
        <v>356</v>
      </c>
      <c r="AC20" s="139" t="s">
        <v>354</v>
      </c>
      <c r="AD20" s="367">
        <f t="shared" si="1"/>
        <v>1</v>
      </c>
      <c r="AE20" s="265"/>
      <c r="AF20" s="265"/>
      <c r="AG20" s="265"/>
      <c r="AH20" s="265"/>
      <c r="AI20" s="157">
        <v>0.0</v>
      </c>
      <c r="AJ20" s="157">
        <v>0.0</v>
      </c>
      <c r="AK20" s="157">
        <v>0.0</v>
      </c>
      <c r="AL20" s="157">
        <v>0.0</v>
      </c>
      <c r="AM20" s="157">
        <v>0.0</v>
      </c>
      <c r="AN20" s="157">
        <v>0.0</v>
      </c>
      <c r="AO20" s="157">
        <v>1.0</v>
      </c>
      <c r="AP20" s="157">
        <v>0.0</v>
      </c>
      <c r="AQ20" s="385">
        <f t="shared" si="2"/>
        <v>1</v>
      </c>
      <c r="AR20" s="385">
        <f t="shared" si="3"/>
        <v>1</v>
      </c>
    </row>
    <row r="21">
      <c r="A21" s="157">
        <v>20.0</v>
      </c>
      <c r="B21" s="157" t="s">
        <v>126</v>
      </c>
      <c r="C21" s="49" t="s">
        <v>560</v>
      </c>
      <c r="D21" s="18" t="s">
        <v>561</v>
      </c>
      <c r="E21" s="631">
        <v>40444.0</v>
      </c>
      <c r="F21" s="265"/>
      <c r="G21" s="265"/>
      <c r="H21" s="265"/>
      <c r="I21" s="265"/>
      <c r="J21" s="265"/>
      <c r="K21" s="265"/>
      <c r="L21" s="265"/>
      <c r="M21" s="265"/>
      <c r="N21" s="265"/>
      <c r="O21" s="265"/>
      <c r="P21" s="265"/>
      <c r="Q21" s="265"/>
      <c r="R21" s="157">
        <v>0.0</v>
      </c>
      <c r="S21" s="157">
        <v>0.0</v>
      </c>
      <c r="T21" s="157">
        <v>0.0</v>
      </c>
      <c r="U21" s="157">
        <v>0.0</v>
      </c>
      <c r="V21" s="157" t="s">
        <v>354</v>
      </c>
      <c r="W21" s="157" t="s">
        <v>354</v>
      </c>
      <c r="X21" s="355" t="s">
        <v>365</v>
      </c>
      <c r="Y21" s="162" t="s">
        <v>363</v>
      </c>
      <c r="Z21" s="356" t="s">
        <v>365</v>
      </c>
      <c r="AA21" s="162" t="s">
        <v>363</v>
      </c>
      <c r="AB21" s="144" t="s">
        <v>365</v>
      </c>
      <c r="AC21" s="162" t="s">
        <v>363</v>
      </c>
      <c r="AD21" s="357">
        <f t="shared" si="1"/>
        <v>3</v>
      </c>
      <c r="AE21" s="265"/>
      <c r="AF21" s="265"/>
      <c r="AG21" s="265"/>
      <c r="AH21" s="265"/>
      <c r="AI21" s="157">
        <v>0.0</v>
      </c>
      <c r="AJ21" s="157">
        <v>0.0</v>
      </c>
      <c r="AK21" s="157">
        <v>0.0</v>
      </c>
      <c r="AL21" s="157">
        <v>3.0</v>
      </c>
      <c r="AM21" s="157">
        <v>0.0</v>
      </c>
      <c r="AN21" s="157">
        <v>0.0</v>
      </c>
      <c r="AO21" s="157">
        <v>0.0</v>
      </c>
      <c r="AP21" s="157">
        <v>0.0</v>
      </c>
      <c r="AQ21" s="388">
        <f t="shared" si="2"/>
        <v>3</v>
      </c>
      <c r="AR21" s="388">
        <f t="shared" si="3"/>
        <v>1</v>
      </c>
    </row>
    <row r="22">
      <c r="A22" s="157">
        <v>21.0</v>
      </c>
      <c r="B22" s="157" t="s">
        <v>129</v>
      </c>
      <c r="C22" s="46" t="s">
        <v>129</v>
      </c>
      <c r="D22" s="18" t="s">
        <v>564</v>
      </c>
      <c r="E22" s="631">
        <v>40444.0</v>
      </c>
      <c r="F22" s="265"/>
      <c r="G22" s="265"/>
      <c r="H22" s="265"/>
      <c r="I22" s="265"/>
      <c r="J22" s="265"/>
      <c r="K22" s="265"/>
      <c r="L22" s="265"/>
      <c r="M22" s="265"/>
      <c r="N22" s="265"/>
      <c r="O22" s="265"/>
      <c r="P22" s="265"/>
      <c r="Q22" s="265"/>
      <c r="R22" s="157">
        <v>0.0</v>
      </c>
      <c r="S22" s="157">
        <v>0.0</v>
      </c>
      <c r="T22" s="157">
        <v>0.0</v>
      </c>
      <c r="U22" s="157">
        <v>0.0</v>
      </c>
      <c r="V22" s="157" t="s">
        <v>354</v>
      </c>
      <c r="W22" s="157" t="s">
        <v>354</v>
      </c>
      <c r="X22" s="355" t="s">
        <v>365</v>
      </c>
      <c r="Y22" s="40" t="s">
        <v>357</v>
      </c>
      <c r="Z22" s="368" t="s">
        <v>356</v>
      </c>
      <c r="AA22" s="368" t="s">
        <v>354</v>
      </c>
      <c r="AB22" s="139" t="s">
        <v>356</v>
      </c>
      <c r="AC22" s="139" t="s">
        <v>354</v>
      </c>
      <c r="AD22" s="367">
        <f t="shared" si="1"/>
        <v>1</v>
      </c>
      <c r="AE22" s="265"/>
      <c r="AF22" s="265"/>
      <c r="AG22" s="265"/>
      <c r="AH22" s="265"/>
      <c r="AI22" s="157">
        <v>0.0</v>
      </c>
      <c r="AJ22" s="157">
        <v>0.0</v>
      </c>
      <c r="AK22" s="157">
        <v>0.0</v>
      </c>
      <c r="AL22" s="157">
        <v>0.0</v>
      </c>
      <c r="AM22" s="157">
        <v>0.0</v>
      </c>
      <c r="AN22" s="157">
        <v>1.0</v>
      </c>
      <c r="AO22" s="157">
        <v>0.0</v>
      </c>
      <c r="AP22" s="157">
        <v>0.0</v>
      </c>
      <c r="AQ22" s="385">
        <f t="shared" si="2"/>
        <v>1</v>
      </c>
      <c r="AR22" s="385">
        <f t="shared" si="3"/>
        <v>1</v>
      </c>
    </row>
    <row r="23">
      <c r="A23" s="157">
        <v>22.0</v>
      </c>
      <c r="B23" s="157" t="s">
        <v>132</v>
      </c>
      <c r="C23" s="49" t="s">
        <v>1425</v>
      </c>
      <c r="D23" s="18" t="s">
        <v>573</v>
      </c>
      <c r="E23" s="631">
        <v>40444.0</v>
      </c>
      <c r="F23" s="265"/>
      <c r="G23" s="265"/>
      <c r="H23" s="265"/>
      <c r="I23" s="265"/>
      <c r="J23" s="265"/>
      <c r="K23" s="265"/>
      <c r="L23" s="265"/>
      <c r="M23" s="265"/>
      <c r="N23" s="265"/>
      <c r="O23" s="265"/>
      <c r="P23" s="265"/>
      <c r="Q23" s="265"/>
      <c r="R23" s="157">
        <v>0.0</v>
      </c>
      <c r="S23" s="157">
        <v>0.0</v>
      </c>
      <c r="T23" s="157">
        <v>0.0</v>
      </c>
      <c r="U23" s="157">
        <v>0.0</v>
      </c>
      <c r="V23" s="157" t="s">
        <v>354</v>
      </c>
      <c r="W23" s="157" t="s">
        <v>354</v>
      </c>
      <c r="X23" s="355" t="s">
        <v>365</v>
      </c>
      <c r="Y23" s="40" t="s">
        <v>357</v>
      </c>
      <c r="Z23" s="356" t="s">
        <v>365</v>
      </c>
      <c r="AA23" s="40" t="s">
        <v>357</v>
      </c>
      <c r="AB23" s="144" t="s">
        <v>365</v>
      </c>
      <c r="AC23" s="143" t="s">
        <v>358</v>
      </c>
      <c r="AD23" s="357">
        <f t="shared" si="1"/>
        <v>3</v>
      </c>
      <c r="AE23" s="265"/>
      <c r="AF23" s="265"/>
      <c r="AG23" s="265"/>
      <c r="AH23" s="265"/>
      <c r="AI23" s="157">
        <v>0.0</v>
      </c>
      <c r="AJ23" s="157">
        <v>0.0</v>
      </c>
      <c r="AK23" s="157">
        <v>1.0</v>
      </c>
      <c r="AL23" s="157">
        <v>0.0</v>
      </c>
      <c r="AM23" s="157">
        <v>0.0</v>
      </c>
      <c r="AN23" s="157">
        <v>2.0</v>
      </c>
      <c r="AO23" s="157">
        <v>0.0</v>
      </c>
      <c r="AP23" s="157">
        <v>0.0</v>
      </c>
      <c r="AQ23" s="388">
        <f t="shared" si="2"/>
        <v>3</v>
      </c>
      <c r="AR23" s="388">
        <f t="shared" si="3"/>
        <v>2</v>
      </c>
    </row>
    <row r="24">
      <c r="A24" s="157">
        <v>23.0</v>
      </c>
      <c r="B24" s="157" t="s">
        <v>135</v>
      </c>
      <c r="C24" s="46" t="s">
        <v>135</v>
      </c>
      <c r="D24" s="18" t="s">
        <v>596</v>
      </c>
      <c r="E24" s="631">
        <v>40444.0</v>
      </c>
      <c r="F24" s="265"/>
      <c r="G24" s="265"/>
      <c r="H24" s="265"/>
      <c r="I24" s="265"/>
      <c r="J24" s="265"/>
      <c r="K24" s="265"/>
      <c r="L24" s="265"/>
      <c r="M24" s="265"/>
      <c r="N24" s="265"/>
      <c r="O24" s="265"/>
      <c r="P24" s="265"/>
      <c r="Q24" s="265"/>
      <c r="R24" s="157">
        <v>0.0</v>
      </c>
      <c r="S24" s="157">
        <v>0.0</v>
      </c>
      <c r="T24" s="157">
        <v>0.0</v>
      </c>
      <c r="U24" s="157">
        <v>0.0</v>
      </c>
      <c r="V24" s="157" t="s">
        <v>354</v>
      </c>
      <c r="W24" s="157" t="s">
        <v>354</v>
      </c>
      <c r="X24" s="355" t="s">
        <v>365</v>
      </c>
      <c r="Y24" s="40" t="s">
        <v>357</v>
      </c>
      <c r="Z24" s="356" t="s">
        <v>365</v>
      </c>
      <c r="AA24" s="40" t="s">
        <v>357</v>
      </c>
      <c r="AB24" s="144" t="s">
        <v>365</v>
      </c>
      <c r="AC24" s="40" t="s">
        <v>357</v>
      </c>
      <c r="AD24" s="357">
        <f t="shared" si="1"/>
        <v>3</v>
      </c>
      <c r="AE24" s="265"/>
      <c r="AF24" s="265"/>
      <c r="AG24" s="265"/>
      <c r="AH24" s="265"/>
      <c r="AI24" s="157">
        <v>0.0</v>
      </c>
      <c r="AJ24" s="157">
        <v>0.0</v>
      </c>
      <c r="AK24" s="157">
        <v>0.0</v>
      </c>
      <c r="AL24" s="157">
        <v>0.0</v>
      </c>
      <c r="AM24" s="157">
        <v>0.0</v>
      </c>
      <c r="AN24" s="157">
        <v>3.0</v>
      </c>
      <c r="AO24" s="157">
        <v>0.0</v>
      </c>
      <c r="AP24" s="157">
        <v>0.0</v>
      </c>
      <c r="AQ24" s="388">
        <f t="shared" si="2"/>
        <v>3</v>
      </c>
      <c r="AR24" s="388">
        <f t="shared" si="3"/>
        <v>1</v>
      </c>
    </row>
    <row r="25">
      <c r="A25" s="157">
        <v>24.0</v>
      </c>
      <c r="B25" s="157" t="s">
        <v>138</v>
      </c>
      <c r="C25" s="46" t="s">
        <v>138</v>
      </c>
      <c r="D25" s="98" t="s">
        <v>1614</v>
      </c>
      <c r="E25" s="631">
        <v>40444.0</v>
      </c>
      <c r="F25" s="265"/>
      <c r="G25" s="265"/>
      <c r="H25" s="265"/>
      <c r="I25" s="265"/>
      <c r="J25" s="265"/>
      <c r="K25" s="265"/>
      <c r="L25" s="265"/>
      <c r="M25" s="265"/>
      <c r="N25" s="265"/>
      <c r="O25" s="265"/>
      <c r="P25" s="265"/>
      <c r="Q25" s="265"/>
      <c r="R25" s="157">
        <v>0.0</v>
      </c>
      <c r="S25" s="157">
        <v>0.0</v>
      </c>
      <c r="T25" s="157">
        <v>0.0</v>
      </c>
      <c r="U25" s="157">
        <v>0.0</v>
      </c>
      <c r="V25" s="157" t="s">
        <v>354</v>
      </c>
      <c r="W25" s="157" t="s">
        <v>354</v>
      </c>
      <c r="X25" s="384" t="s">
        <v>356</v>
      </c>
      <c r="Y25" s="384" t="s">
        <v>354</v>
      </c>
      <c r="Z25" s="368" t="s">
        <v>356</v>
      </c>
      <c r="AA25" s="368" t="s">
        <v>354</v>
      </c>
      <c r="AB25" s="139" t="s">
        <v>356</v>
      </c>
      <c r="AC25" s="139" t="s">
        <v>354</v>
      </c>
      <c r="AD25" s="46">
        <f t="shared" si="1"/>
        <v>0</v>
      </c>
      <c r="AE25" s="265"/>
      <c r="AF25" s="265"/>
      <c r="AG25" s="265"/>
      <c r="AH25" s="265"/>
      <c r="AI25" s="157">
        <v>0.0</v>
      </c>
      <c r="AJ25" s="157">
        <v>0.0</v>
      </c>
      <c r="AK25" s="157">
        <v>0.0</v>
      </c>
      <c r="AL25" s="157">
        <v>0.0</v>
      </c>
      <c r="AM25" s="157">
        <v>0.0</v>
      </c>
      <c r="AN25" s="157">
        <v>0.0</v>
      </c>
      <c r="AO25" s="157">
        <v>0.0</v>
      </c>
      <c r="AP25" s="157">
        <v>0.0</v>
      </c>
      <c r="AQ25" s="265">
        <f t="shared" si="2"/>
        <v>0</v>
      </c>
      <c r="AR25" s="265">
        <f t="shared" si="3"/>
        <v>0</v>
      </c>
    </row>
    <row r="26">
      <c r="A26" s="157">
        <v>25.0</v>
      </c>
      <c r="B26" s="157" t="s">
        <v>141</v>
      </c>
      <c r="C26" s="46" t="s">
        <v>141</v>
      </c>
      <c r="D26" s="18" t="s">
        <v>609</v>
      </c>
      <c r="E26" s="631">
        <v>40444.0</v>
      </c>
      <c r="F26" s="265"/>
      <c r="G26" s="265"/>
      <c r="H26" s="265"/>
      <c r="I26" s="265"/>
      <c r="J26" s="265"/>
      <c r="K26" s="265"/>
      <c r="L26" s="265"/>
      <c r="M26" s="265"/>
      <c r="N26" s="265"/>
      <c r="O26" s="265"/>
      <c r="P26" s="265"/>
      <c r="Q26" s="265"/>
      <c r="R26" s="140">
        <v>38.21</v>
      </c>
      <c r="S26" s="157">
        <v>0.0</v>
      </c>
      <c r="T26" s="157">
        <v>0.0</v>
      </c>
      <c r="U26" s="157">
        <v>0.0</v>
      </c>
      <c r="V26" s="157" t="s">
        <v>354</v>
      </c>
      <c r="W26" s="157" t="s">
        <v>354</v>
      </c>
      <c r="X26" s="384" t="s">
        <v>356</v>
      </c>
      <c r="Y26" s="384" t="s">
        <v>354</v>
      </c>
      <c r="Z26" s="365" t="s">
        <v>365</v>
      </c>
      <c r="AA26" s="391" t="s">
        <v>380</v>
      </c>
      <c r="AB26" s="139" t="s">
        <v>356</v>
      </c>
      <c r="AC26" s="139" t="s">
        <v>354</v>
      </c>
      <c r="AD26" s="357">
        <f t="shared" si="1"/>
        <v>2</v>
      </c>
      <c r="AE26" s="265"/>
      <c r="AF26" s="265"/>
      <c r="AG26" s="265"/>
      <c r="AH26" s="265"/>
      <c r="AI26" s="157">
        <v>0.0</v>
      </c>
      <c r="AJ26" s="157">
        <v>0.0</v>
      </c>
      <c r="AK26" s="157">
        <v>0.0</v>
      </c>
      <c r="AL26" s="157">
        <v>0.0</v>
      </c>
      <c r="AM26" s="157">
        <v>0.0</v>
      </c>
      <c r="AN26" s="157">
        <v>0.0</v>
      </c>
      <c r="AO26" s="157">
        <v>1.0</v>
      </c>
      <c r="AP26" s="157">
        <v>0.0</v>
      </c>
      <c r="AQ26" s="388">
        <f t="shared" si="2"/>
        <v>1</v>
      </c>
      <c r="AR26" s="388">
        <f t="shared" si="3"/>
        <v>1</v>
      </c>
    </row>
    <row r="27">
      <c r="A27" s="157">
        <v>26.0</v>
      </c>
      <c r="B27" s="157" t="s">
        <v>144</v>
      </c>
      <c r="C27" s="49" t="s">
        <v>616</v>
      </c>
      <c r="D27" s="18" t="s">
        <v>617</v>
      </c>
      <c r="E27" s="631">
        <v>40444.0</v>
      </c>
      <c r="F27" s="265"/>
      <c r="G27" s="265"/>
      <c r="H27" s="265"/>
      <c r="I27" s="265"/>
      <c r="J27" s="265"/>
      <c r="K27" s="265"/>
      <c r="L27" s="265"/>
      <c r="M27" s="265"/>
      <c r="N27" s="265"/>
      <c r="O27" s="265"/>
      <c r="P27" s="265"/>
      <c r="Q27" s="265"/>
      <c r="R27" s="140">
        <v>30.63</v>
      </c>
      <c r="S27" s="157">
        <v>0.0</v>
      </c>
      <c r="T27" s="157">
        <v>0.0</v>
      </c>
      <c r="U27" s="157">
        <v>0.0</v>
      </c>
      <c r="V27" s="157" t="s">
        <v>354</v>
      </c>
      <c r="W27" s="157" t="s">
        <v>354</v>
      </c>
      <c r="X27" s="355" t="s">
        <v>365</v>
      </c>
      <c r="Y27" s="90" t="s">
        <v>413</v>
      </c>
      <c r="Z27" s="356" t="s">
        <v>365</v>
      </c>
      <c r="AA27" s="90" t="s">
        <v>413</v>
      </c>
      <c r="AB27" s="144" t="s">
        <v>365</v>
      </c>
      <c r="AC27" s="90" t="s">
        <v>413</v>
      </c>
      <c r="AD27" s="357">
        <f t="shared" si="1"/>
        <v>4</v>
      </c>
      <c r="AE27" s="265"/>
      <c r="AF27" s="265"/>
      <c r="AG27" s="265"/>
      <c r="AH27" s="265"/>
      <c r="AI27" s="157">
        <v>0.0</v>
      </c>
      <c r="AJ27" s="157">
        <v>0.0</v>
      </c>
      <c r="AK27" s="157">
        <v>0.0</v>
      </c>
      <c r="AL27" s="157">
        <v>0.0</v>
      </c>
      <c r="AM27" s="157">
        <v>3.0</v>
      </c>
      <c r="AN27" s="157">
        <v>0.0</v>
      </c>
      <c r="AO27" s="157">
        <v>0.0</v>
      </c>
      <c r="AP27" s="157">
        <v>0.0</v>
      </c>
      <c r="AQ27" s="388">
        <f t="shared" si="2"/>
        <v>3</v>
      </c>
      <c r="AR27" s="388">
        <f t="shared" si="3"/>
        <v>1</v>
      </c>
    </row>
    <row r="28">
      <c r="A28" s="157">
        <v>27.0</v>
      </c>
      <c r="B28" s="157" t="s">
        <v>152</v>
      </c>
      <c r="C28" s="46" t="s">
        <v>152</v>
      </c>
      <c r="D28" s="18" t="s">
        <v>629</v>
      </c>
      <c r="E28" s="631">
        <v>40444.0</v>
      </c>
      <c r="F28" s="265"/>
      <c r="G28" s="265"/>
      <c r="H28" s="265"/>
      <c r="I28" s="265"/>
      <c r="J28" s="265"/>
      <c r="K28" s="265"/>
      <c r="L28" s="265"/>
      <c r="M28" s="265"/>
      <c r="N28" s="265"/>
      <c r="O28" s="265"/>
      <c r="P28" s="265"/>
      <c r="Q28" s="265"/>
      <c r="R28" s="157">
        <v>0.0</v>
      </c>
      <c r="S28" s="157">
        <v>0.0</v>
      </c>
      <c r="T28" s="157">
        <v>0.0</v>
      </c>
      <c r="U28" s="157">
        <v>0.0</v>
      </c>
      <c r="V28" s="157" t="s">
        <v>354</v>
      </c>
      <c r="W28" s="157" t="s">
        <v>354</v>
      </c>
      <c r="X28" s="355" t="s">
        <v>365</v>
      </c>
      <c r="Y28" s="40" t="s">
        <v>357</v>
      </c>
      <c r="Z28" s="356" t="s">
        <v>365</v>
      </c>
      <c r="AA28" s="40" t="s">
        <v>357</v>
      </c>
      <c r="AB28" s="144" t="s">
        <v>365</v>
      </c>
      <c r="AC28" s="40" t="s">
        <v>357</v>
      </c>
      <c r="AD28" s="357">
        <f t="shared" si="1"/>
        <v>3</v>
      </c>
      <c r="AE28" s="265"/>
      <c r="AF28" s="265"/>
      <c r="AG28" s="265"/>
      <c r="AH28" s="265"/>
      <c r="AI28" s="157">
        <v>0.0</v>
      </c>
      <c r="AJ28" s="157">
        <v>0.0</v>
      </c>
      <c r="AK28" s="157">
        <v>0.0</v>
      </c>
      <c r="AL28" s="157">
        <v>0.0</v>
      </c>
      <c r="AM28" s="157">
        <v>0.0</v>
      </c>
      <c r="AN28" s="157">
        <v>3.0</v>
      </c>
      <c r="AO28" s="157">
        <v>0.0</v>
      </c>
      <c r="AP28" s="157">
        <v>0.0</v>
      </c>
      <c r="AQ28" s="388">
        <f t="shared" si="2"/>
        <v>3</v>
      </c>
      <c r="AR28" s="388">
        <f t="shared" si="3"/>
        <v>1</v>
      </c>
    </row>
    <row r="29">
      <c r="A29" s="157">
        <v>28.0</v>
      </c>
      <c r="B29" s="157" t="s">
        <v>158</v>
      </c>
      <c r="C29" s="46" t="s">
        <v>158</v>
      </c>
      <c r="D29" s="18" t="s">
        <v>640</v>
      </c>
      <c r="E29" s="631">
        <v>40444.0</v>
      </c>
      <c r="F29" s="265"/>
      <c r="G29" s="265"/>
      <c r="H29" s="265"/>
      <c r="I29" s="265"/>
      <c r="J29" s="265"/>
      <c r="K29" s="265"/>
      <c r="L29" s="265"/>
      <c r="M29" s="265"/>
      <c r="N29" s="265"/>
      <c r="O29" s="265"/>
      <c r="P29" s="265"/>
      <c r="Q29" s="265"/>
      <c r="R29" s="140">
        <v>34.13</v>
      </c>
      <c r="S29" s="157">
        <v>0.0</v>
      </c>
      <c r="T29" s="157">
        <v>0.0</v>
      </c>
      <c r="U29" s="157">
        <v>0.0</v>
      </c>
      <c r="V29" s="157" t="s">
        <v>354</v>
      </c>
      <c r="W29" s="157" t="s">
        <v>354</v>
      </c>
      <c r="X29" s="355" t="s">
        <v>365</v>
      </c>
      <c r="Y29" s="40" t="s">
        <v>357</v>
      </c>
      <c r="Z29" s="356" t="s">
        <v>365</v>
      </c>
      <c r="AA29" s="40" t="s">
        <v>357</v>
      </c>
      <c r="AB29" s="144" t="s">
        <v>365</v>
      </c>
      <c r="AC29" s="40" t="s">
        <v>357</v>
      </c>
      <c r="AD29" s="357">
        <f t="shared" si="1"/>
        <v>4</v>
      </c>
      <c r="AE29" s="265"/>
      <c r="AF29" s="265"/>
      <c r="AG29" s="265"/>
      <c r="AH29" s="265"/>
      <c r="AI29" s="157">
        <v>0.0</v>
      </c>
      <c r="AJ29" s="157">
        <v>0.0</v>
      </c>
      <c r="AK29" s="157">
        <v>0.0</v>
      </c>
      <c r="AL29" s="157">
        <v>0.0</v>
      </c>
      <c r="AM29" s="157">
        <v>0.0</v>
      </c>
      <c r="AN29" s="157">
        <v>3.0</v>
      </c>
      <c r="AO29" s="157">
        <v>0.0</v>
      </c>
      <c r="AP29" s="157">
        <v>0.0</v>
      </c>
      <c r="AQ29" s="388">
        <f t="shared" si="2"/>
        <v>3</v>
      </c>
      <c r="AR29" s="388">
        <f t="shared" si="3"/>
        <v>1</v>
      </c>
    </row>
    <row r="30">
      <c r="A30" s="157">
        <v>29.0</v>
      </c>
      <c r="B30" s="157" t="s">
        <v>165</v>
      </c>
      <c r="C30" s="46" t="s">
        <v>165</v>
      </c>
      <c r="D30" s="18" t="s">
        <v>650</v>
      </c>
      <c r="E30" s="631">
        <v>40444.0</v>
      </c>
      <c r="F30" s="265"/>
      <c r="G30" s="265"/>
      <c r="H30" s="265"/>
      <c r="I30" s="265"/>
      <c r="J30" s="265"/>
      <c r="K30" s="265"/>
      <c r="L30" s="265"/>
      <c r="M30" s="265"/>
      <c r="N30" s="265"/>
      <c r="O30" s="265"/>
      <c r="P30" s="265"/>
      <c r="Q30" s="265"/>
      <c r="R30" s="157">
        <v>0.0</v>
      </c>
      <c r="S30" s="157">
        <v>0.0</v>
      </c>
      <c r="T30" s="157">
        <v>0.0</v>
      </c>
      <c r="U30" s="157">
        <v>0.0</v>
      </c>
      <c r="V30" s="157" t="s">
        <v>354</v>
      </c>
      <c r="W30" s="157" t="s">
        <v>354</v>
      </c>
      <c r="X30" s="355" t="s">
        <v>365</v>
      </c>
      <c r="Y30" s="90" t="s">
        <v>413</v>
      </c>
      <c r="Z30" s="356" t="s">
        <v>365</v>
      </c>
      <c r="AA30" s="90" t="s">
        <v>413</v>
      </c>
      <c r="AB30" s="144" t="s">
        <v>365</v>
      </c>
      <c r="AC30" s="90" t="s">
        <v>413</v>
      </c>
      <c r="AD30" s="357">
        <f t="shared" si="1"/>
        <v>3</v>
      </c>
      <c r="AE30" s="265"/>
      <c r="AF30" s="265"/>
      <c r="AG30" s="265"/>
      <c r="AH30" s="265"/>
      <c r="AI30" s="157">
        <v>0.0</v>
      </c>
      <c r="AJ30" s="157">
        <v>0.0</v>
      </c>
      <c r="AK30" s="157">
        <v>0.0</v>
      </c>
      <c r="AL30" s="157">
        <v>0.0</v>
      </c>
      <c r="AM30" s="157">
        <v>3.0</v>
      </c>
      <c r="AN30" s="157">
        <v>0.0</v>
      </c>
      <c r="AO30" s="157">
        <v>0.0</v>
      </c>
      <c r="AP30" s="157">
        <v>0.0</v>
      </c>
      <c r="AQ30" s="388">
        <f t="shared" si="2"/>
        <v>3</v>
      </c>
      <c r="AR30" s="388">
        <f t="shared" si="3"/>
        <v>1</v>
      </c>
    </row>
    <row r="31">
      <c r="A31" s="157">
        <v>30.0</v>
      </c>
      <c r="B31" s="157" t="s">
        <v>168</v>
      </c>
      <c r="C31" s="46" t="s">
        <v>168</v>
      </c>
      <c r="D31" s="18" t="s">
        <v>656</v>
      </c>
      <c r="E31" s="631">
        <v>40444.0</v>
      </c>
      <c r="F31" s="265"/>
      <c r="G31" s="265"/>
      <c r="H31" s="265"/>
      <c r="I31" s="265"/>
      <c r="J31" s="265"/>
      <c r="K31" s="265"/>
      <c r="L31" s="265"/>
      <c r="M31" s="265"/>
      <c r="N31" s="265"/>
      <c r="O31" s="265"/>
      <c r="P31" s="265"/>
      <c r="Q31" s="265"/>
      <c r="R31" s="157">
        <v>0.0</v>
      </c>
      <c r="S31" s="157">
        <v>0.0</v>
      </c>
      <c r="T31" s="157">
        <v>0.0</v>
      </c>
      <c r="U31" s="157">
        <v>0.0</v>
      </c>
      <c r="V31" s="157" t="s">
        <v>354</v>
      </c>
      <c r="W31" s="157" t="s">
        <v>354</v>
      </c>
      <c r="X31" s="384" t="s">
        <v>356</v>
      </c>
      <c r="Y31" s="384" t="s">
        <v>354</v>
      </c>
      <c r="Z31" s="368" t="s">
        <v>356</v>
      </c>
      <c r="AA31" s="368" t="s">
        <v>354</v>
      </c>
      <c r="AB31" s="139" t="s">
        <v>356</v>
      </c>
      <c r="AC31" s="139" t="s">
        <v>354</v>
      </c>
      <c r="AD31" s="46">
        <f t="shared" si="1"/>
        <v>0</v>
      </c>
      <c r="AE31" s="265"/>
      <c r="AF31" s="265"/>
      <c r="AG31" s="265"/>
      <c r="AH31" s="265"/>
      <c r="AI31" s="157">
        <v>0.0</v>
      </c>
      <c r="AJ31" s="157">
        <v>0.0</v>
      </c>
      <c r="AK31" s="157">
        <v>0.0</v>
      </c>
      <c r="AL31" s="157">
        <v>0.0</v>
      </c>
      <c r="AM31" s="157">
        <v>0.0</v>
      </c>
      <c r="AN31" s="157">
        <v>0.0</v>
      </c>
      <c r="AO31" s="157">
        <v>0.0</v>
      </c>
      <c r="AP31" s="157">
        <v>0.0</v>
      </c>
      <c r="AQ31" s="265">
        <f t="shared" si="2"/>
        <v>0</v>
      </c>
      <c r="AR31" s="265">
        <f t="shared" si="3"/>
        <v>0</v>
      </c>
    </row>
    <row r="32">
      <c r="A32" s="157">
        <v>31.0</v>
      </c>
      <c r="B32" s="157" t="s">
        <v>171</v>
      </c>
      <c r="C32" s="46" t="s">
        <v>171</v>
      </c>
      <c r="D32" s="18" t="s">
        <v>658</v>
      </c>
      <c r="E32" s="631">
        <v>40444.0</v>
      </c>
      <c r="F32" s="265"/>
      <c r="G32" s="265"/>
      <c r="H32" s="265"/>
      <c r="I32" s="265"/>
      <c r="J32" s="265"/>
      <c r="K32" s="265"/>
      <c r="L32" s="265"/>
      <c r="M32" s="265"/>
      <c r="N32" s="265"/>
      <c r="O32" s="265"/>
      <c r="P32" s="265"/>
      <c r="Q32" s="265"/>
      <c r="R32" s="157">
        <v>0.0</v>
      </c>
      <c r="S32" s="157">
        <v>0.0</v>
      </c>
      <c r="T32" s="157">
        <v>0.0</v>
      </c>
      <c r="U32" s="157">
        <v>0.0</v>
      </c>
      <c r="V32" s="157" t="s">
        <v>354</v>
      </c>
      <c r="W32" s="157" t="s">
        <v>354</v>
      </c>
      <c r="X32" s="364" t="s">
        <v>361</v>
      </c>
      <c r="Y32" s="364" t="s">
        <v>361</v>
      </c>
      <c r="Z32" s="368" t="s">
        <v>356</v>
      </c>
      <c r="AA32" s="368" t="s">
        <v>354</v>
      </c>
      <c r="AB32" s="139" t="s">
        <v>356</v>
      </c>
      <c r="AC32" s="139" t="s">
        <v>354</v>
      </c>
      <c r="AD32" s="46">
        <f t="shared" si="1"/>
        <v>0</v>
      </c>
      <c r="AE32" s="265"/>
      <c r="AF32" s="265"/>
      <c r="AG32" s="265"/>
      <c r="AH32" s="265"/>
      <c r="AI32" s="157">
        <v>0.0</v>
      </c>
      <c r="AJ32" s="157">
        <v>0.0</v>
      </c>
      <c r="AK32" s="157">
        <v>0.0</v>
      </c>
      <c r="AL32" s="157">
        <v>0.0</v>
      </c>
      <c r="AM32" s="157">
        <v>0.0</v>
      </c>
      <c r="AN32" s="157">
        <v>0.0</v>
      </c>
      <c r="AO32" s="157">
        <v>0.0</v>
      </c>
      <c r="AP32" s="157">
        <v>0.0</v>
      </c>
      <c r="AQ32" s="265">
        <f t="shared" si="2"/>
        <v>0</v>
      </c>
      <c r="AR32" s="265">
        <f t="shared" si="3"/>
        <v>0</v>
      </c>
    </row>
    <row r="33">
      <c r="A33" s="157">
        <v>32.0</v>
      </c>
      <c r="B33" s="157" t="s">
        <v>177</v>
      </c>
      <c r="C33" s="49" t="s">
        <v>675</v>
      </c>
      <c r="D33" s="18" t="s">
        <v>676</v>
      </c>
      <c r="E33" s="631">
        <v>40444.0</v>
      </c>
      <c r="F33" s="265"/>
      <c r="G33" s="265"/>
      <c r="H33" s="265"/>
      <c r="I33" s="265"/>
      <c r="J33" s="265"/>
      <c r="K33" s="265"/>
      <c r="L33" s="265"/>
      <c r="M33" s="265"/>
      <c r="N33" s="265"/>
      <c r="O33" s="265"/>
      <c r="P33" s="265"/>
      <c r="Q33" s="265"/>
      <c r="R33" s="157">
        <v>0.0</v>
      </c>
      <c r="S33" s="157">
        <v>0.0</v>
      </c>
      <c r="T33" s="157">
        <v>0.0</v>
      </c>
      <c r="U33" s="157">
        <v>0.0</v>
      </c>
      <c r="V33" s="157" t="s">
        <v>354</v>
      </c>
      <c r="W33" s="157" t="s">
        <v>354</v>
      </c>
      <c r="X33" s="364" t="s">
        <v>361</v>
      </c>
      <c r="Y33" s="364" t="s">
        <v>361</v>
      </c>
      <c r="Z33" s="356" t="s">
        <v>365</v>
      </c>
      <c r="AA33" s="40" t="s">
        <v>357</v>
      </c>
      <c r="AB33" s="144" t="s">
        <v>365</v>
      </c>
      <c r="AC33" s="40" t="s">
        <v>357</v>
      </c>
      <c r="AD33" s="357">
        <f t="shared" si="1"/>
        <v>2</v>
      </c>
      <c r="AE33" s="265"/>
      <c r="AF33" s="265"/>
      <c r="AG33" s="265"/>
      <c r="AH33" s="265"/>
      <c r="AI33" s="157">
        <v>0.0</v>
      </c>
      <c r="AJ33" s="157">
        <v>0.0</v>
      </c>
      <c r="AK33" s="157">
        <v>0.0</v>
      </c>
      <c r="AL33" s="157">
        <v>0.0</v>
      </c>
      <c r="AM33" s="157">
        <v>0.0</v>
      </c>
      <c r="AN33" s="157">
        <v>2.0</v>
      </c>
      <c r="AO33" s="157">
        <v>0.0</v>
      </c>
      <c r="AP33" s="157">
        <v>0.0</v>
      </c>
      <c r="AQ33" s="388">
        <f t="shared" si="2"/>
        <v>2</v>
      </c>
      <c r="AR33" s="388">
        <f t="shared" si="3"/>
        <v>1</v>
      </c>
    </row>
    <row r="34">
      <c r="A34" s="157">
        <v>33.0</v>
      </c>
      <c r="B34" s="157" t="s">
        <v>183</v>
      </c>
      <c r="C34" s="49" t="s">
        <v>694</v>
      </c>
      <c r="D34" s="18" t="s">
        <v>695</v>
      </c>
      <c r="E34" s="631">
        <v>40444.0</v>
      </c>
      <c r="F34" s="265"/>
      <c r="G34" s="265"/>
      <c r="H34" s="265"/>
      <c r="I34" s="265"/>
      <c r="J34" s="265"/>
      <c r="K34" s="265"/>
      <c r="L34" s="265"/>
      <c r="M34" s="265"/>
      <c r="N34" s="265"/>
      <c r="O34" s="265"/>
      <c r="P34" s="265"/>
      <c r="Q34" s="265"/>
      <c r="R34" s="140">
        <v>30.46</v>
      </c>
      <c r="S34" s="157">
        <v>0.0</v>
      </c>
      <c r="T34" s="157">
        <v>0.0</v>
      </c>
      <c r="U34" s="157">
        <v>0.0</v>
      </c>
      <c r="V34" s="157" t="s">
        <v>354</v>
      </c>
      <c r="W34" s="157" t="s">
        <v>354</v>
      </c>
      <c r="X34" s="355" t="s">
        <v>365</v>
      </c>
      <c r="Y34" s="40" t="s">
        <v>357</v>
      </c>
      <c r="Z34" s="356" t="s">
        <v>365</v>
      </c>
      <c r="AA34" s="40" t="s">
        <v>357</v>
      </c>
      <c r="AB34" s="144" t="s">
        <v>365</v>
      </c>
      <c r="AC34" s="40" t="s">
        <v>357</v>
      </c>
      <c r="AD34" s="357">
        <f t="shared" si="1"/>
        <v>4</v>
      </c>
      <c r="AE34" s="265"/>
      <c r="AF34" s="265"/>
      <c r="AG34" s="265"/>
      <c r="AH34" s="265"/>
      <c r="AI34" s="157">
        <v>0.0</v>
      </c>
      <c r="AJ34" s="157">
        <v>0.0</v>
      </c>
      <c r="AK34" s="157">
        <v>0.0</v>
      </c>
      <c r="AL34" s="157">
        <v>0.0</v>
      </c>
      <c r="AM34" s="157">
        <v>0.0</v>
      </c>
      <c r="AN34" s="157">
        <v>3.0</v>
      </c>
      <c r="AO34" s="157">
        <v>0.0</v>
      </c>
      <c r="AP34" s="157">
        <v>0.0</v>
      </c>
      <c r="AQ34" s="388">
        <f t="shared" si="2"/>
        <v>3</v>
      </c>
      <c r="AR34" s="388">
        <f t="shared" si="3"/>
        <v>1</v>
      </c>
    </row>
    <row r="35">
      <c r="A35" s="157">
        <v>34.0</v>
      </c>
      <c r="B35" s="157" t="s">
        <v>189</v>
      </c>
      <c r="C35" s="48" t="s">
        <v>189</v>
      </c>
      <c r="D35" s="98" t="s">
        <v>703</v>
      </c>
      <c r="E35" s="631">
        <v>40444.0</v>
      </c>
      <c r="F35" s="265"/>
      <c r="G35" s="265"/>
      <c r="H35" s="265"/>
      <c r="I35" s="265"/>
      <c r="J35" s="265"/>
      <c r="K35" s="265"/>
      <c r="L35" s="265"/>
      <c r="M35" s="265"/>
      <c r="N35" s="265"/>
      <c r="O35" s="265"/>
      <c r="P35" s="265"/>
      <c r="Q35" s="265"/>
      <c r="R35" s="140">
        <v>29.62</v>
      </c>
      <c r="S35" s="157">
        <v>0.0</v>
      </c>
      <c r="T35" s="157">
        <v>0.0</v>
      </c>
      <c r="U35" s="157">
        <v>0.0</v>
      </c>
      <c r="V35" s="157" t="s">
        <v>354</v>
      </c>
      <c r="W35" s="157" t="s">
        <v>354</v>
      </c>
      <c r="X35" s="355" t="s">
        <v>365</v>
      </c>
      <c r="Y35" s="40" t="s">
        <v>357</v>
      </c>
      <c r="Z35" s="356" t="s">
        <v>365</v>
      </c>
      <c r="AA35" s="40" t="s">
        <v>357</v>
      </c>
      <c r="AB35" s="144" t="s">
        <v>365</v>
      </c>
      <c r="AC35" s="40" t="s">
        <v>357</v>
      </c>
      <c r="AD35" s="357">
        <f t="shared" si="1"/>
        <v>4</v>
      </c>
      <c r="AE35" s="265"/>
      <c r="AF35" s="265"/>
      <c r="AG35" s="265"/>
      <c r="AH35" s="265"/>
      <c r="AI35" s="157">
        <v>0.0</v>
      </c>
      <c r="AJ35" s="157">
        <v>0.0</v>
      </c>
      <c r="AK35" s="157">
        <v>0.0</v>
      </c>
      <c r="AL35" s="157">
        <v>0.0</v>
      </c>
      <c r="AM35" s="157">
        <v>0.0</v>
      </c>
      <c r="AN35" s="157">
        <v>3.0</v>
      </c>
      <c r="AO35" s="157">
        <v>0.0</v>
      </c>
      <c r="AP35" s="157">
        <v>0.0</v>
      </c>
      <c r="AQ35" s="388">
        <f t="shared" si="2"/>
        <v>3</v>
      </c>
      <c r="AR35" s="388">
        <f t="shared" si="3"/>
        <v>1</v>
      </c>
    </row>
    <row r="36">
      <c r="A36" s="157">
        <v>35.0</v>
      </c>
      <c r="B36" s="157" t="s">
        <v>195</v>
      </c>
      <c r="C36" s="46" t="s">
        <v>195</v>
      </c>
      <c r="D36" s="18" t="s">
        <v>707</v>
      </c>
      <c r="E36" s="631">
        <v>40444.0</v>
      </c>
      <c r="F36" s="265"/>
      <c r="G36" s="265"/>
      <c r="H36" s="265"/>
      <c r="I36" s="265"/>
      <c r="J36" s="265"/>
      <c r="K36" s="265"/>
      <c r="L36" s="265"/>
      <c r="M36" s="265"/>
      <c r="N36" s="265"/>
      <c r="O36" s="265"/>
      <c r="P36" s="265"/>
      <c r="Q36" s="265"/>
      <c r="R36" s="157">
        <v>0.0</v>
      </c>
      <c r="S36" s="157">
        <v>0.0</v>
      </c>
      <c r="T36" s="157">
        <v>0.0</v>
      </c>
      <c r="U36" s="157">
        <v>0.0</v>
      </c>
      <c r="V36" s="157" t="s">
        <v>354</v>
      </c>
      <c r="W36" s="157" t="s">
        <v>354</v>
      </c>
      <c r="X36" s="355" t="s">
        <v>365</v>
      </c>
      <c r="Y36" s="40" t="s">
        <v>357</v>
      </c>
      <c r="Z36" s="356" t="s">
        <v>365</v>
      </c>
      <c r="AA36" s="40" t="s">
        <v>357</v>
      </c>
      <c r="AB36" s="144" t="s">
        <v>365</v>
      </c>
      <c r="AC36" s="40" t="s">
        <v>357</v>
      </c>
      <c r="AD36" s="357">
        <f t="shared" si="1"/>
        <v>3</v>
      </c>
      <c r="AE36" s="265"/>
      <c r="AF36" s="265"/>
      <c r="AG36" s="265"/>
      <c r="AH36" s="265"/>
      <c r="AI36" s="157">
        <v>0.0</v>
      </c>
      <c r="AJ36" s="157">
        <v>0.0</v>
      </c>
      <c r="AK36" s="157">
        <v>0.0</v>
      </c>
      <c r="AL36" s="157">
        <v>0.0</v>
      </c>
      <c r="AM36" s="157">
        <v>0.0</v>
      </c>
      <c r="AN36" s="157">
        <v>3.0</v>
      </c>
      <c r="AO36" s="157">
        <v>0.0</v>
      </c>
      <c r="AP36" s="157">
        <v>0.0</v>
      </c>
      <c r="AQ36" s="388">
        <f t="shared" si="2"/>
        <v>3</v>
      </c>
      <c r="AR36" s="388">
        <f t="shared" si="3"/>
        <v>1</v>
      </c>
    </row>
    <row r="37">
      <c r="A37" s="157">
        <v>36.0</v>
      </c>
      <c r="B37" s="157" t="s">
        <v>198</v>
      </c>
      <c r="C37" s="49" t="s">
        <v>712</v>
      </c>
      <c r="D37" s="18" t="s">
        <v>1171</v>
      </c>
      <c r="E37" s="631">
        <v>40444.0</v>
      </c>
      <c r="F37" s="265"/>
      <c r="G37" s="265"/>
      <c r="H37" s="265"/>
      <c r="I37" s="265"/>
      <c r="J37" s="265"/>
      <c r="K37" s="265"/>
      <c r="L37" s="265"/>
      <c r="M37" s="265"/>
      <c r="N37" s="265"/>
      <c r="O37" s="265"/>
      <c r="P37" s="265"/>
      <c r="Q37" s="265"/>
      <c r="R37" s="157">
        <v>0.0</v>
      </c>
      <c r="S37" s="157">
        <v>0.0</v>
      </c>
      <c r="T37" s="157">
        <v>0.0</v>
      </c>
      <c r="U37" s="157">
        <v>0.0</v>
      </c>
      <c r="V37" s="157" t="s">
        <v>354</v>
      </c>
      <c r="W37" s="157" t="s">
        <v>354</v>
      </c>
      <c r="X37" s="364" t="s">
        <v>407</v>
      </c>
      <c r="Y37" s="364" t="s">
        <v>407</v>
      </c>
      <c r="Z37" s="368" t="s">
        <v>356</v>
      </c>
      <c r="AA37" s="368" t="s">
        <v>354</v>
      </c>
      <c r="AB37" s="139" t="s">
        <v>356</v>
      </c>
      <c r="AC37" s="139" t="s">
        <v>354</v>
      </c>
      <c r="AD37" s="46">
        <f t="shared" si="1"/>
        <v>0</v>
      </c>
      <c r="AE37" s="265"/>
      <c r="AF37" s="265"/>
      <c r="AG37" s="265"/>
      <c r="AH37" s="265"/>
      <c r="AI37" s="157">
        <v>0.0</v>
      </c>
      <c r="AJ37" s="157">
        <v>0.0</v>
      </c>
      <c r="AK37" s="157">
        <v>0.0</v>
      </c>
      <c r="AL37" s="157">
        <v>0.0</v>
      </c>
      <c r="AM37" s="157">
        <v>0.0</v>
      </c>
      <c r="AN37" s="157">
        <v>0.0</v>
      </c>
      <c r="AO37" s="157">
        <v>0.0</v>
      </c>
      <c r="AP37" s="157">
        <v>0.0</v>
      </c>
      <c r="AQ37" s="265">
        <f t="shared" si="2"/>
        <v>0</v>
      </c>
      <c r="AR37" s="265">
        <f t="shared" si="3"/>
        <v>0</v>
      </c>
    </row>
    <row r="38">
      <c r="A38" s="157">
        <v>37.0</v>
      </c>
      <c r="B38" s="157" t="s">
        <v>201</v>
      </c>
      <c r="C38" s="46" t="s">
        <v>201</v>
      </c>
      <c r="D38" s="18" t="s">
        <v>1622</v>
      </c>
      <c r="E38" s="631">
        <v>40444.0</v>
      </c>
      <c r="F38" s="265"/>
      <c r="G38" s="265"/>
      <c r="H38" s="265"/>
      <c r="I38" s="265"/>
      <c r="J38" s="265"/>
      <c r="K38" s="265"/>
      <c r="L38" s="265"/>
      <c r="M38" s="265"/>
      <c r="N38" s="265"/>
      <c r="O38" s="265"/>
      <c r="P38" s="265"/>
      <c r="Q38" s="265"/>
      <c r="R38" s="157">
        <v>0.0</v>
      </c>
      <c r="S38" s="157">
        <v>0.0</v>
      </c>
      <c r="T38" s="157">
        <v>0.0</v>
      </c>
      <c r="U38" s="157">
        <v>0.0</v>
      </c>
      <c r="V38" s="157" t="s">
        <v>354</v>
      </c>
      <c r="W38" s="157" t="s">
        <v>354</v>
      </c>
      <c r="X38" s="364" t="s">
        <v>361</v>
      </c>
      <c r="Y38" s="364" t="s">
        <v>361</v>
      </c>
      <c r="Z38" s="368" t="s">
        <v>356</v>
      </c>
      <c r="AA38" s="368" t="s">
        <v>354</v>
      </c>
      <c r="AB38" s="139" t="s">
        <v>356</v>
      </c>
      <c r="AC38" s="139" t="s">
        <v>354</v>
      </c>
      <c r="AD38" s="46">
        <f t="shared" si="1"/>
        <v>0</v>
      </c>
      <c r="AE38" s="265"/>
      <c r="AF38" s="265"/>
      <c r="AG38" s="265"/>
      <c r="AH38" s="265"/>
      <c r="AI38" s="157">
        <v>0.0</v>
      </c>
      <c r="AJ38" s="157">
        <v>0.0</v>
      </c>
      <c r="AK38" s="157">
        <v>0.0</v>
      </c>
      <c r="AL38" s="157">
        <v>0.0</v>
      </c>
      <c r="AM38" s="157">
        <v>0.0</v>
      </c>
      <c r="AN38" s="157">
        <v>0.0</v>
      </c>
      <c r="AO38" s="157">
        <v>0.0</v>
      </c>
      <c r="AP38" s="157">
        <v>0.0</v>
      </c>
      <c r="AQ38" s="265">
        <f t="shared" si="2"/>
        <v>0</v>
      </c>
      <c r="AR38" s="265">
        <f t="shared" si="3"/>
        <v>0</v>
      </c>
    </row>
    <row r="39">
      <c r="A39" s="157">
        <v>38.0</v>
      </c>
      <c r="B39" s="157" t="s">
        <v>204</v>
      </c>
      <c r="C39" s="46" t="s">
        <v>204</v>
      </c>
      <c r="D39" s="18" t="s">
        <v>725</v>
      </c>
      <c r="E39" s="631">
        <v>40444.0</v>
      </c>
      <c r="F39" s="265"/>
      <c r="G39" s="265"/>
      <c r="H39" s="265"/>
      <c r="I39" s="265"/>
      <c r="J39" s="265"/>
      <c r="K39" s="265"/>
      <c r="L39" s="265"/>
      <c r="M39" s="265"/>
      <c r="N39" s="265"/>
      <c r="O39" s="265"/>
      <c r="P39" s="265"/>
      <c r="Q39" s="265"/>
      <c r="R39" s="157">
        <v>0.0</v>
      </c>
      <c r="S39" s="157">
        <v>0.0</v>
      </c>
      <c r="T39" s="157">
        <v>0.0</v>
      </c>
      <c r="U39" s="157">
        <v>0.0</v>
      </c>
      <c r="V39" s="157" t="s">
        <v>354</v>
      </c>
      <c r="W39" s="157" t="s">
        <v>354</v>
      </c>
      <c r="X39" s="384" t="s">
        <v>356</v>
      </c>
      <c r="Y39" s="384" t="s">
        <v>354</v>
      </c>
      <c r="Z39" s="356" t="s">
        <v>365</v>
      </c>
      <c r="AA39" s="90" t="s">
        <v>413</v>
      </c>
      <c r="AB39" s="144" t="s">
        <v>365</v>
      </c>
      <c r="AC39" s="90" t="s">
        <v>413</v>
      </c>
      <c r="AD39" s="357">
        <f t="shared" si="1"/>
        <v>2</v>
      </c>
      <c r="AE39" s="265"/>
      <c r="AF39" s="265"/>
      <c r="AG39" s="265"/>
      <c r="AH39" s="265"/>
      <c r="AI39" s="157">
        <v>0.0</v>
      </c>
      <c r="AJ39" s="157">
        <v>0.0</v>
      </c>
      <c r="AK39" s="157">
        <v>0.0</v>
      </c>
      <c r="AL39" s="157">
        <v>0.0</v>
      </c>
      <c r="AM39" s="157">
        <v>2.0</v>
      </c>
      <c r="AN39" s="157">
        <v>0.0</v>
      </c>
      <c r="AO39" s="157">
        <v>0.0</v>
      </c>
      <c r="AP39" s="157">
        <v>0.0</v>
      </c>
      <c r="AQ39" s="388">
        <f t="shared" si="2"/>
        <v>2</v>
      </c>
      <c r="AR39" s="388">
        <f t="shared" si="3"/>
        <v>1</v>
      </c>
    </row>
    <row r="40">
      <c r="A40" s="157">
        <v>39.0</v>
      </c>
      <c r="B40" s="157" t="s">
        <v>210</v>
      </c>
      <c r="C40" s="48" t="s">
        <v>210</v>
      </c>
      <c r="D40" s="482" t="s">
        <v>748</v>
      </c>
      <c r="E40" s="631">
        <v>40444.0</v>
      </c>
      <c r="F40" s="265"/>
      <c r="G40" s="265"/>
      <c r="H40" s="265"/>
      <c r="I40" s="265"/>
      <c r="J40" s="265"/>
      <c r="K40" s="265"/>
      <c r="L40" s="265"/>
      <c r="M40" s="265"/>
      <c r="N40" s="265"/>
      <c r="O40" s="265"/>
      <c r="P40" s="265"/>
      <c r="Q40" s="265"/>
      <c r="R40" s="157">
        <v>0.0</v>
      </c>
      <c r="S40" s="157">
        <v>0.0</v>
      </c>
      <c r="T40" s="157">
        <v>0.0</v>
      </c>
      <c r="U40" s="157">
        <v>0.0</v>
      </c>
      <c r="V40" s="157" t="s">
        <v>354</v>
      </c>
      <c r="W40" s="157" t="s">
        <v>354</v>
      </c>
      <c r="X40" s="384" t="s">
        <v>356</v>
      </c>
      <c r="Y40" s="384" t="s">
        <v>354</v>
      </c>
      <c r="Z40" s="356" t="s">
        <v>365</v>
      </c>
      <c r="AA40" s="40" t="s">
        <v>357</v>
      </c>
      <c r="AB40" s="144" t="s">
        <v>365</v>
      </c>
      <c r="AC40" s="40" t="s">
        <v>357</v>
      </c>
      <c r="AD40" s="357">
        <f t="shared" si="1"/>
        <v>2</v>
      </c>
      <c r="AE40" s="265"/>
      <c r="AF40" s="265"/>
      <c r="AG40" s="265"/>
      <c r="AH40" s="265"/>
      <c r="AI40" s="157">
        <v>0.0</v>
      </c>
      <c r="AJ40" s="157">
        <v>0.0</v>
      </c>
      <c r="AK40" s="157">
        <v>0.0</v>
      </c>
      <c r="AL40" s="157">
        <v>0.0</v>
      </c>
      <c r="AM40" s="157">
        <v>0.0</v>
      </c>
      <c r="AN40" s="157">
        <v>2.0</v>
      </c>
      <c r="AO40" s="157">
        <v>0.0</v>
      </c>
      <c r="AP40" s="157">
        <v>0.0</v>
      </c>
      <c r="AQ40" s="388">
        <f t="shared" si="2"/>
        <v>2</v>
      </c>
      <c r="AR40" s="388">
        <f t="shared" si="3"/>
        <v>1</v>
      </c>
    </row>
    <row r="41">
      <c r="A41" s="157">
        <v>40.0</v>
      </c>
      <c r="B41" s="157" t="s">
        <v>213</v>
      </c>
      <c r="C41" s="46" t="s">
        <v>213</v>
      </c>
      <c r="D41" s="18" t="s">
        <v>753</v>
      </c>
      <c r="E41" s="631">
        <v>40444.0</v>
      </c>
      <c r="F41" s="265"/>
      <c r="G41" s="265"/>
      <c r="H41" s="265"/>
      <c r="I41" s="265"/>
      <c r="J41" s="265"/>
      <c r="K41" s="265"/>
      <c r="L41" s="265"/>
      <c r="M41" s="265"/>
      <c r="N41" s="265"/>
      <c r="O41" s="265"/>
      <c r="P41" s="265"/>
      <c r="Q41" s="265"/>
      <c r="R41" s="157">
        <v>0.0</v>
      </c>
      <c r="S41" s="157">
        <v>0.0</v>
      </c>
      <c r="T41" s="157">
        <v>0.0</v>
      </c>
      <c r="U41" s="157">
        <v>0.0</v>
      </c>
      <c r="V41" s="157" t="s">
        <v>354</v>
      </c>
      <c r="W41" s="157" t="s">
        <v>354</v>
      </c>
      <c r="X41" s="355" t="s">
        <v>365</v>
      </c>
      <c r="Y41" s="90" t="s">
        <v>413</v>
      </c>
      <c r="Z41" s="356" t="s">
        <v>365</v>
      </c>
      <c r="AA41" s="90" t="s">
        <v>413</v>
      </c>
      <c r="AB41" s="144" t="s">
        <v>365</v>
      </c>
      <c r="AC41" s="90" t="s">
        <v>413</v>
      </c>
      <c r="AD41" s="357">
        <f t="shared" si="1"/>
        <v>3</v>
      </c>
      <c r="AE41" s="265"/>
      <c r="AF41" s="265"/>
      <c r="AG41" s="265"/>
      <c r="AH41" s="265"/>
      <c r="AI41" s="157">
        <v>0.0</v>
      </c>
      <c r="AJ41" s="157">
        <v>0.0</v>
      </c>
      <c r="AK41" s="157">
        <v>0.0</v>
      </c>
      <c r="AL41" s="157">
        <v>0.0</v>
      </c>
      <c r="AM41" s="157">
        <v>3.0</v>
      </c>
      <c r="AN41" s="157">
        <v>0.0</v>
      </c>
      <c r="AO41" s="157">
        <v>0.0</v>
      </c>
      <c r="AP41" s="157">
        <v>0.0</v>
      </c>
      <c r="AQ41" s="388">
        <f t="shared" si="2"/>
        <v>3</v>
      </c>
      <c r="AR41" s="388">
        <f t="shared" si="3"/>
        <v>1</v>
      </c>
    </row>
    <row r="42">
      <c r="A42" s="157">
        <v>41.0</v>
      </c>
      <c r="B42" s="157" t="s">
        <v>216</v>
      </c>
      <c r="C42" s="46" t="s">
        <v>216</v>
      </c>
      <c r="D42" s="18" t="s">
        <v>764</v>
      </c>
      <c r="E42" s="631">
        <v>40444.0</v>
      </c>
      <c r="F42" s="265"/>
      <c r="G42" s="265"/>
      <c r="H42" s="265"/>
      <c r="I42" s="265"/>
      <c r="J42" s="265"/>
      <c r="K42" s="265"/>
      <c r="L42" s="265"/>
      <c r="M42" s="265"/>
      <c r="N42" s="265"/>
      <c r="O42" s="265"/>
      <c r="P42" s="265"/>
      <c r="Q42" s="265"/>
      <c r="R42" s="157">
        <v>0.0</v>
      </c>
      <c r="S42" s="157">
        <v>0.0</v>
      </c>
      <c r="T42" s="157">
        <v>0.0</v>
      </c>
      <c r="U42" s="157">
        <v>0.0</v>
      </c>
      <c r="V42" s="157" t="s">
        <v>354</v>
      </c>
      <c r="W42" s="157" t="s">
        <v>354</v>
      </c>
      <c r="X42" s="355" t="s">
        <v>365</v>
      </c>
      <c r="Y42" s="143" t="s">
        <v>358</v>
      </c>
      <c r="Z42" s="368" t="s">
        <v>356</v>
      </c>
      <c r="AA42" s="368" t="s">
        <v>354</v>
      </c>
      <c r="AB42" s="144" t="s">
        <v>365</v>
      </c>
      <c r="AC42" s="143" t="s">
        <v>358</v>
      </c>
      <c r="AD42" s="357">
        <f t="shared" si="1"/>
        <v>2</v>
      </c>
      <c r="AE42" s="265"/>
      <c r="AF42" s="265"/>
      <c r="AG42" s="265"/>
      <c r="AH42" s="265"/>
      <c r="AI42" s="157">
        <v>0.0</v>
      </c>
      <c r="AJ42" s="157">
        <v>0.0</v>
      </c>
      <c r="AK42" s="157">
        <v>2.0</v>
      </c>
      <c r="AL42" s="157">
        <v>0.0</v>
      </c>
      <c r="AM42" s="157">
        <v>0.0</v>
      </c>
      <c r="AN42" s="157">
        <v>0.0</v>
      </c>
      <c r="AO42" s="157">
        <v>0.0</v>
      </c>
      <c r="AP42" s="157">
        <v>0.0</v>
      </c>
      <c r="AQ42" s="388">
        <f t="shared" si="2"/>
        <v>2</v>
      </c>
      <c r="AR42" s="388">
        <f t="shared" si="3"/>
        <v>1</v>
      </c>
    </row>
    <row r="43">
      <c r="A43" s="157">
        <v>42.0</v>
      </c>
      <c r="B43" s="157" t="s">
        <v>219</v>
      </c>
      <c r="C43" s="46" t="s">
        <v>219</v>
      </c>
      <c r="D43" s="98" t="s">
        <v>769</v>
      </c>
      <c r="E43" s="631">
        <v>40444.0</v>
      </c>
      <c r="F43" s="265"/>
      <c r="G43" s="265"/>
      <c r="H43" s="265"/>
      <c r="I43" s="265"/>
      <c r="J43" s="265"/>
      <c r="K43" s="265"/>
      <c r="L43" s="265"/>
      <c r="M43" s="265"/>
      <c r="N43" s="265"/>
      <c r="O43" s="265"/>
      <c r="P43" s="265"/>
      <c r="Q43" s="265"/>
      <c r="R43" s="157">
        <v>0.0</v>
      </c>
      <c r="S43" s="157">
        <v>0.0</v>
      </c>
      <c r="T43" s="157">
        <v>0.0</v>
      </c>
      <c r="U43" s="157">
        <v>0.0</v>
      </c>
      <c r="V43" s="157" t="s">
        <v>354</v>
      </c>
      <c r="W43" s="157" t="s">
        <v>354</v>
      </c>
      <c r="X43" s="355" t="s">
        <v>365</v>
      </c>
      <c r="Y43" s="90" t="s">
        <v>413</v>
      </c>
      <c r="Z43" s="356" t="s">
        <v>365</v>
      </c>
      <c r="AA43" s="90" t="s">
        <v>413</v>
      </c>
      <c r="AB43" s="144" t="s">
        <v>365</v>
      </c>
      <c r="AC43" s="90" t="s">
        <v>413</v>
      </c>
      <c r="AD43" s="357">
        <f t="shared" si="1"/>
        <v>3</v>
      </c>
      <c r="AE43" s="265"/>
      <c r="AF43" s="265"/>
      <c r="AG43" s="265"/>
      <c r="AH43" s="265"/>
      <c r="AI43" s="157">
        <v>0.0</v>
      </c>
      <c r="AJ43" s="157">
        <v>0.0</v>
      </c>
      <c r="AK43" s="157">
        <v>0.0</v>
      </c>
      <c r="AL43" s="157">
        <v>0.0</v>
      </c>
      <c r="AM43" s="157">
        <v>3.0</v>
      </c>
      <c r="AN43" s="157">
        <v>0.0</v>
      </c>
      <c r="AO43" s="157">
        <v>0.0</v>
      </c>
      <c r="AP43" s="157">
        <v>0.0</v>
      </c>
      <c r="AQ43" s="388">
        <f t="shared" si="2"/>
        <v>3</v>
      </c>
      <c r="AR43" s="388">
        <f t="shared" si="3"/>
        <v>1</v>
      </c>
    </row>
    <row r="44">
      <c r="A44" s="157">
        <v>43.0</v>
      </c>
      <c r="B44" s="157" t="s">
        <v>222</v>
      </c>
      <c r="C44" s="49" t="s">
        <v>1422</v>
      </c>
      <c r="D44" s="18" t="s">
        <v>775</v>
      </c>
      <c r="E44" s="631">
        <v>40444.0</v>
      </c>
      <c r="F44" s="265"/>
      <c r="G44" s="265"/>
      <c r="H44" s="265"/>
      <c r="I44" s="265"/>
      <c r="J44" s="265"/>
      <c r="K44" s="265"/>
      <c r="L44" s="265"/>
      <c r="M44" s="265"/>
      <c r="N44" s="265"/>
      <c r="O44" s="265"/>
      <c r="P44" s="265"/>
      <c r="Q44" s="265"/>
      <c r="R44" s="157">
        <v>0.0</v>
      </c>
      <c r="S44" s="157">
        <v>0.0</v>
      </c>
      <c r="T44" s="157">
        <v>0.0</v>
      </c>
      <c r="U44" s="157">
        <v>0.0</v>
      </c>
      <c r="V44" s="157" t="s">
        <v>354</v>
      </c>
      <c r="W44" s="157" t="s">
        <v>354</v>
      </c>
      <c r="X44" s="355" t="s">
        <v>365</v>
      </c>
      <c r="Y44" s="40" t="s">
        <v>357</v>
      </c>
      <c r="Z44" s="356" t="s">
        <v>365</v>
      </c>
      <c r="AA44" s="40" t="s">
        <v>357</v>
      </c>
      <c r="AB44" s="144" t="s">
        <v>365</v>
      </c>
      <c r="AC44" s="40" t="s">
        <v>357</v>
      </c>
      <c r="AD44" s="357">
        <f t="shared" si="1"/>
        <v>3</v>
      </c>
      <c r="AE44" s="265"/>
      <c r="AF44" s="265"/>
      <c r="AG44" s="265"/>
      <c r="AH44" s="265"/>
      <c r="AI44" s="157">
        <v>0.0</v>
      </c>
      <c r="AJ44" s="157">
        <v>0.0</v>
      </c>
      <c r="AK44" s="157">
        <v>0.0</v>
      </c>
      <c r="AL44" s="157">
        <v>0.0</v>
      </c>
      <c r="AM44" s="157">
        <v>0.0</v>
      </c>
      <c r="AN44" s="157">
        <v>3.0</v>
      </c>
      <c r="AO44" s="157">
        <v>0.0</v>
      </c>
      <c r="AP44" s="157">
        <v>0.0</v>
      </c>
      <c r="AQ44" s="388">
        <f t="shared" si="2"/>
        <v>3</v>
      </c>
      <c r="AR44" s="388">
        <f t="shared" si="3"/>
        <v>1</v>
      </c>
    </row>
    <row r="45">
      <c r="A45" s="157">
        <v>44.0</v>
      </c>
      <c r="B45" s="157" t="s">
        <v>225</v>
      </c>
      <c r="C45" s="46" t="s">
        <v>225</v>
      </c>
      <c r="D45" s="83" t="s">
        <v>789</v>
      </c>
      <c r="E45" s="631">
        <v>40444.0</v>
      </c>
      <c r="F45" s="265"/>
      <c r="G45" s="265"/>
      <c r="H45" s="265"/>
      <c r="I45" s="265"/>
      <c r="J45" s="265"/>
      <c r="K45" s="265"/>
      <c r="L45" s="265"/>
      <c r="M45" s="265"/>
      <c r="N45" s="265"/>
      <c r="O45" s="265"/>
      <c r="P45" s="265"/>
      <c r="Q45" s="265"/>
      <c r="R45" s="140">
        <v>32.21</v>
      </c>
      <c r="S45" s="157">
        <v>0.0</v>
      </c>
      <c r="T45" s="157">
        <v>0.0</v>
      </c>
      <c r="U45" s="157">
        <v>0.0</v>
      </c>
      <c r="V45" s="157" t="s">
        <v>354</v>
      </c>
      <c r="W45" s="157" t="s">
        <v>354</v>
      </c>
      <c r="X45" s="355" t="s">
        <v>365</v>
      </c>
      <c r="Y45" s="143" t="s">
        <v>358</v>
      </c>
      <c r="Z45" s="365" t="s">
        <v>365</v>
      </c>
      <c r="AA45" s="391" t="s">
        <v>380</v>
      </c>
      <c r="AB45" s="144" t="s">
        <v>365</v>
      </c>
      <c r="AC45" s="143" t="s">
        <v>358</v>
      </c>
      <c r="AD45" s="357">
        <f t="shared" si="1"/>
        <v>4</v>
      </c>
      <c r="AE45" s="265"/>
      <c r="AF45" s="265"/>
      <c r="AG45" s="265"/>
      <c r="AH45" s="265"/>
      <c r="AI45" s="157">
        <v>0.0</v>
      </c>
      <c r="AJ45" s="157">
        <v>0.0</v>
      </c>
      <c r="AK45" s="157">
        <v>2.0</v>
      </c>
      <c r="AL45" s="157">
        <v>0.0</v>
      </c>
      <c r="AM45" s="157">
        <v>0.0</v>
      </c>
      <c r="AN45" s="157">
        <v>0.0</v>
      </c>
      <c r="AO45" s="157">
        <v>1.0</v>
      </c>
      <c r="AP45" s="157">
        <v>0.0</v>
      </c>
      <c r="AQ45" s="388">
        <f t="shared" si="2"/>
        <v>3</v>
      </c>
      <c r="AR45" s="388">
        <f t="shared" si="3"/>
        <v>2</v>
      </c>
    </row>
    <row r="46">
      <c r="A46" s="157">
        <v>45.0</v>
      </c>
      <c r="B46" s="157" t="s">
        <v>228</v>
      </c>
      <c r="C46" s="46" t="s">
        <v>228</v>
      </c>
      <c r="D46" s="18" t="s">
        <v>1623</v>
      </c>
      <c r="E46" s="631">
        <v>40444.0</v>
      </c>
      <c r="F46" s="265"/>
      <c r="G46" s="265"/>
      <c r="H46" s="265"/>
      <c r="I46" s="265"/>
      <c r="J46" s="265"/>
      <c r="K46" s="265"/>
      <c r="L46" s="265"/>
      <c r="M46" s="265"/>
      <c r="N46" s="265"/>
      <c r="O46" s="265"/>
      <c r="P46" s="265"/>
      <c r="Q46" s="265"/>
      <c r="R46" s="157">
        <v>0.0</v>
      </c>
      <c r="S46" s="157">
        <v>0.0</v>
      </c>
      <c r="T46" s="157">
        <v>0.0</v>
      </c>
      <c r="U46" s="157">
        <v>0.0</v>
      </c>
      <c r="V46" s="157" t="s">
        <v>354</v>
      </c>
      <c r="W46" s="157" t="s">
        <v>354</v>
      </c>
      <c r="X46" s="355" t="s">
        <v>365</v>
      </c>
      <c r="Y46" s="40" t="s">
        <v>357</v>
      </c>
      <c r="Z46" s="356" t="s">
        <v>365</v>
      </c>
      <c r="AA46" s="40" t="s">
        <v>357</v>
      </c>
      <c r="AB46" s="144" t="s">
        <v>365</v>
      </c>
      <c r="AC46" s="40" t="s">
        <v>357</v>
      </c>
      <c r="AD46" s="357">
        <f t="shared" si="1"/>
        <v>3</v>
      </c>
      <c r="AE46" s="265"/>
      <c r="AF46" s="265"/>
      <c r="AG46" s="265"/>
      <c r="AH46" s="265"/>
      <c r="AI46" s="157">
        <v>0.0</v>
      </c>
      <c r="AJ46" s="157">
        <v>0.0</v>
      </c>
      <c r="AK46" s="157">
        <v>0.0</v>
      </c>
      <c r="AL46" s="157">
        <v>0.0</v>
      </c>
      <c r="AM46" s="157">
        <v>0.0</v>
      </c>
      <c r="AN46" s="157">
        <v>3.0</v>
      </c>
      <c r="AO46" s="157">
        <v>0.0</v>
      </c>
      <c r="AP46" s="157">
        <v>0.0</v>
      </c>
      <c r="AQ46" s="388">
        <f t="shared" si="2"/>
        <v>3</v>
      </c>
      <c r="AR46" s="388">
        <f t="shared" si="3"/>
        <v>1</v>
      </c>
    </row>
    <row r="47">
      <c r="A47" s="157">
        <v>46.0</v>
      </c>
      <c r="B47" s="638" t="s">
        <v>231</v>
      </c>
      <c r="C47" s="622" t="s">
        <v>231</v>
      </c>
      <c r="D47" s="602" t="s">
        <v>808</v>
      </c>
      <c r="E47" s="631">
        <v>40444.0</v>
      </c>
      <c r="F47" s="265"/>
      <c r="G47" s="265"/>
      <c r="H47" s="265"/>
      <c r="I47" s="265"/>
      <c r="J47" s="265"/>
      <c r="K47" s="265"/>
      <c r="L47" s="265"/>
      <c r="M47" s="265"/>
      <c r="N47" s="265"/>
      <c r="O47" s="265"/>
      <c r="P47" s="265"/>
      <c r="Q47" s="265"/>
      <c r="R47" s="157">
        <v>0.0</v>
      </c>
      <c r="S47" s="157">
        <v>0.0</v>
      </c>
      <c r="T47" s="157">
        <v>0.0</v>
      </c>
      <c r="U47" s="140">
        <v>34.96</v>
      </c>
      <c r="V47" s="157" t="s">
        <v>356</v>
      </c>
      <c r="W47" s="157" t="s">
        <v>354</v>
      </c>
      <c r="X47" s="364" t="s">
        <v>361</v>
      </c>
      <c r="Y47" s="364" t="s">
        <v>361</v>
      </c>
      <c r="Z47" s="368" t="s">
        <v>356</v>
      </c>
      <c r="AA47" s="368" t="s">
        <v>354</v>
      </c>
      <c r="AB47" s="139" t="s">
        <v>356</v>
      </c>
      <c r="AC47" s="139" t="s">
        <v>354</v>
      </c>
      <c r="AD47" s="46">
        <f t="shared" si="1"/>
        <v>0</v>
      </c>
      <c r="AE47" s="265"/>
      <c r="AF47" s="265"/>
      <c r="AG47" s="265"/>
      <c r="AH47" s="265"/>
      <c r="AI47" s="157">
        <v>0.0</v>
      </c>
      <c r="AJ47" s="157">
        <v>0.0</v>
      </c>
      <c r="AK47" s="157">
        <v>0.0</v>
      </c>
      <c r="AL47" s="157">
        <v>0.0</v>
      </c>
      <c r="AM47" s="157">
        <v>0.0</v>
      </c>
      <c r="AN47" s="157">
        <v>0.0</v>
      </c>
      <c r="AO47" s="157">
        <v>0.0</v>
      </c>
      <c r="AP47" s="157">
        <v>0.0</v>
      </c>
      <c r="AQ47" s="265">
        <f t="shared" si="2"/>
        <v>0</v>
      </c>
      <c r="AR47" s="265">
        <f t="shared" si="3"/>
        <v>0</v>
      </c>
    </row>
    <row r="48">
      <c r="A48" s="157">
        <v>47.0</v>
      </c>
      <c r="B48" s="157" t="s">
        <v>238</v>
      </c>
      <c r="C48" s="46" t="s">
        <v>238</v>
      </c>
      <c r="D48" s="18" t="s">
        <v>844</v>
      </c>
      <c r="E48" s="631">
        <v>40444.0</v>
      </c>
      <c r="F48" s="265"/>
      <c r="G48" s="265"/>
      <c r="H48" s="265"/>
      <c r="I48" s="265"/>
      <c r="J48" s="265"/>
      <c r="K48" s="265"/>
      <c r="L48" s="265"/>
      <c r="M48" s="265"/>
      <c r="N48" s="265"/>
      <c r="O48" s="265"/>
      <c r="P48" s="265"/>
      <c r="Q48" s="265"/>
      <c r="R48" s="157">
        <v>0.0</v>
      </c>
      <c r="S48" s="157">
        <v>0.0</v>
      </c>
      <c r="T48" s="157">
        <v>0.0</v>
      </c>
      <c r="U48" s="157">
        <v>0.0</v>
      </c>
      <c r="V48" s="157" t="s">
        <v>354</v>
      </c>
      <c r="W48" s="157" t="s">
        <v>354</v>
      </c>
      <c r="X48" s="364" t="s">
        <v>361</v>
      </c>
      <c r="Y48" s="364" t="s">
        <v>361</v>
      </c>
      <c r="Z48" s="368" t="s">
        <v>356</v>
      </c>
      <c r="AA48" s="368" t="s">
        <v>354</v>
      </c>
      <c r="AB48" s="139" t="s">
        <v>356</v>
      </c>
      <c r="AC48" s="139" t="s">
        <v>354</v>
      </c>
      <c r="AD48" s="46">
        <f t="shared" si="1"/>
        <v>0</v>
      </c>
      <c r="AE48" s="265"/>
      <c r="AF48" s="265"/>
      <c r="AG48" s="265"/>
      <c r="AH48" s="265"/>
      <c r="AI48" s="157">
        <v>0.0</v>
      </c>
      <c r="AJ48" s="157">
        <v>0.0</v>
      </c>
      <c r="AK48" s="157">
        <v>0.0</v>
      </c>
      <c r="AL48" s="157">
        <v>0.0</v>
      </c>
      <c r="AM48" s="157">
        <v>0.0</v>
      </c>
      <c r="AN48" s="157">
        <v>0.0</v>
      </c>
      <c r="AO48" s="157">
        <v>0.0</v>
      </c>
      <c r="AP48" s="157">
        <v>0.0</v>
      </c>
      <c r="AQ48" s="265">
        <f t="shared" si="2"/>
        <v>0</v>
      </c>
      <c r="AR48" s="265">
        <f t="shared" si="3"/>
        <v>0</v>
      </c>
    </row>
    <row r="49">
      <c r="A49" s="157">
        <v>48.0</v>
      </c>
      <c r="B49" s="157" t="s">
        <v>241</v>
      </c>
      <c r="C49" s="46" t="s">
        <v>241</v>
      </c>
      <c r="D49" s="98" t="s">
        <v>853</v>
      </c>
      <c r="E49" s="631">
        <v>40444.0</v>
      </c>
      <c r="F49" s="265"/>
      <c r="G49" s="265"/>
      <c r="H49" s="265"/>
      <c r="I49" s="265"/>
      <c r="J49" s="265"/>
      <c r="K49" s="265"/>
      <c r="L49" s="265"/>
      <c r="M49" s="265"/>
      <c r="N49" s="265"/>
      <c r="O49" s="265"/>
      <c r="P49" s="265"/>
      <c r="Q49" s="265"/>
      <c r="R49" s="157">
        <v>0.0</v>
      </c>
      <c r="S49" s="157">
        <v>0.0</v>
      </c>
      <c r="T49" s="157">
        <v>0.0</v>
      </c>
      <c r="U49" s="157">
        <v>0.0</v>
      </c>
      <c r="V49" s="157" t="s">
        <v>354</v>
      </c>
      <c r="W49" s="157" t="s">
        <v>354</v>
      </c>
      <c r="X49" s="384" t="s">
        <v>356</v>
      </c>
      <c r="Y49" s="384" t="s">
        <v>354</v>
      </c>
      <c r="Z49" s="356" t="s">
        <v>365</v>
      </c>
      <c r="AA49" s="40" t="s">
        <v>357</v>
      </c>
      <c r="AB49" s="144" t="s">
        <v>365</v>
      </c>
      <c r="AC49" s="40" t="s">
        <v>357</v>
      </c>
      <c r="AD49" s="357">
        <f t="shared" si="1"/>
        <v>2</v>
      </c>
      <c r="AE49" s="265"/>
      <c r="AF49" s="265"/>
      <c r="AG49" s="265"/>
      <c r="AH49" s="265"/>
      <c r="AI49" s="157">
        <v>0.0</v>
      </c>
      <c r="AJ49" s="157">
        <v>0.0</v>
      </c>
      <c r="AK49" s="157">
        <v>0.0</v>
      </c>
      <c r="AL49" s="157">
        <v>0.0</v>
      </c>
      <c r="AM49" s="157">
        <v>0.0</v>
      </c>
      <c r="AN49" s="157">
        <v>2.0</v>
      </c>
      <c r="AO49" s="157">
        <v>0.0</v>
      </c>
      <c r="AP49" s="157">
        <v>0.0</v>
      </c>
      <c r="AQ49" s="388">
        <f t="shared" si="2"/>
        <v>2</v>
      </c>
      <c r="AR49" s="388">
        <f t="shared" si="3"/>
        <v>1</v>
      </c>
    </row>
    <row r="50">
      <c r="A50" s="157">
        <v>49.0</v>
      </c>
      <c r="B50" s="157" t="s">
        <v>244</v>
      </c>
      <c r="C50" s="46" t="s">
        <v>244</v>
      </c>
      <c r="D50" s="18" t="s">
        <v>856</v>
      </c>
      <c r="E50" s="631">
        <v>40444.0</v>
      </c>
      <c r="F50" s="265"/>
      <c r="G50" s="265"/>
      <c r="H50" s="265"/>
      <c r="I50" s="265"/>
      <c r="J50" s="265"/>
      <c r="K50" s="265"/>
      <c r="L50" s="265"/>
      <c r="M50" s="265"/>
      <c r="N50" s="265"/>
      <c r="O50" s="265"/>
      <c r="P50" s="265"/>
      <c r="Q50" s="265"/>
      <c r="R50" s="157">
        <v>0.0</v>
      </c>
      <c r="S50" s="157">
        <v>0.0</v>
      </c>
      <c r="T50" s="157">
        <v>0.0</v>
      </c>
      <c r="U50" s="157">
        <v>0.0</v>
      </c>
      <c r="V50" s="157" t="s">
        <v>354</v>
      </c>
      <c r="W50" s="157" t="s">
        <v>354</v>
      </c>
      <c r="X50" s="384" t="s">
        <v>356</v>
      </c>
      <c r="Y50" s="384" t="s">
        <v>354</v>
      </c>
      <c r="Z50" s="356" t="s">
        <v>365</v>
      </c>
      <c r="AA50" s="40" t="s">
        <v>357</v>
      </c>
      <c r="AB50" s="139" t="s">
        <v>356</v>
      </c>
      <c r="AC50" s="139" t="s">
        <v>354</v>
      </c>
      <c r="AD50" s="367">
        <f t="shared" si="1"/>
        <v>1</v>
      </c>
      <c r="AE50" s="265"/>
      <c r="AF50" s="265"/>
      <c r="AG50" s="265"/>
      <c r="AH50" s="265"/>
      <c r="AI50" s="157">
        <v>0.0</v>
      </c>
      <c r="AJ50" s="157">
        <v>0.0</v>
      </c>
      <c r="AK50" s="157">
        <v>0.0</v>
      </c>
      <c r="AL50" s="157">
        <v>0.0</v>
      </c>
      <c r="AM50" s="157">
        <v>0.0</v>
      </c>
      <c r="AN50" s="157">
        <v>1.0</v>
      </c>
      <c r="AO50" s="157">
        <v>0.0</v>
      </c>
      <c r="AP50" s="157">
        <v>0.0</v>
      </c>
      <c r="AQ50" s="385">
        <f t="shared" si="2"/>
        <v>1</v>
      </c>
      <c r="AR50" s="385">
        <f t="shared" si="3"/>
        <v>1</v>
      </c>
    </row>
    <row r="51">
      <c r="A51" s="157">
        <v>50.0</v>
      </c>
      <c r="B51" s="157" t="s">
        <v>250</v>
      </c>
      <c r="C51" s="46" t="s">
        <v>250</v>
      </c>
      <c r="D51" s="18" t="s">
        <v>874</v>
      </c>
      <c r="E51" s="631">
        <v>40444.0</v>
      </c>
      <c r="F51" s="265"/>
      <c r="G51" s="265"/>
      <c r="H51" s="265"/>
      <c r="I51" s="265"/>
      <c r="J51" s="265"/>
      <c r="K51" s="265"/>
      <c r="L51" s="265"/>
      <c r="M51" s="265"/>
      <c r="N51" s="265"/>
      <c r="O51" s="265"/>
      <c r="P51" s="265"/>
      <c r="Q51" s="265"/>
      <c r="R51" s="157">
        <v>0.0</v>
      </c>
      <c r="S51" s="157">
        <v>0.0</v>
      </c>
      <c r="T51" s="157">
        <v>0.0</v>
      </c>
      <c r="U51" s="157">
        <v>0.0</v>
      </c>
      <c r="V51" s="157" t="s">
        <v>354</v>
      </c>
      <c r="W51" s="157" t="s">
        <v>354</v>
      </c>
      <c r="X51" s="384" t="s">
        <v>356</v>
      </c>
      <c r="Y51" s="384" t="s">
        <v>354</v>
      </c>
      <c r="Z51" s="368" t="s">
        <v>356</v>
      </c>
      <c r="AA51" s="368" t="s">
        <v>354</v>
      </c>
      <c r="AB51" s="139" t="s">
        <v>356</v>
      </c>
      <c r="AC51" s="139" t="s">
        <v>354</v>
      </c>
      <c r="AD51" s="46">
        <f t="shared" si="1"/>
        <v>0</v>
      </c>
      <c r="AE51" s="265"/>
      <c r="AF51" s="265"/>
      <c r="AG51" s="265"/>
      <c r="AH51" s="265"/>
      <c r="AI51" s="157">
        <v>0.0</v>
      </c>
      <c r="AJ51" s="157">
        <v>0.0</v>
      </c>
      <c r="AK51" s="157">
        <v>0.0</v>
      </c>
      <c r="AL51" s="157">
        <v>0.0</v>
      </c>
      <c r="AM51" s="157">
        <v>0.0</v>
      </c>
      <c r="AN51" s="157">
        <v>0.0</v>
      </c>
      <c r="AO51" s="157">
        <v>0.0</v>
      </c>
      <c r="AP51" s="157">
        <v>0.0</v>
      </c>
      <c r="AQ51" s="265">
        <f t="shared" si="2"/>
        <v>0</v>
      </c>
      <c r="AR51" s="265">
        <f t="shared" si="3"/>
        <v>0</v>
      </c>
    </row>
    <row r="52">
      <c r="A52" s="157">
        <v>51.0</v>
      </c>
      <c r="B52" s="157" t="s">
        <v>253</v>
      </c>
      <c r="C52" s="49" t="s">
        <v>881</v>
      </c>
      <c r="D52" s="18" t="s">
        <v>882</v>
      </c>
      <c r="E52" s="631">
        <v>40444.0</v>
      </c>
      <c r="F52" s="265"/>
      <c r="G52" s="265"/>
      <c r="H52" s="265"/>
      <c r="I52" s="265"/>
      <c r="J52" s="265"/>
      <c r="K52" s="265"/>
      <c r="L52" s="265"/>
      <c r="M52" s="265"/>
      <c r="N52" s="265"/>
      <c r="O52" s="265"/>
      <c r="P52" s="265"/>
      <c r="Q52" s="265"/>
      <c r="R52" s="77">
        <v>41.05</v>
      </c>
      <c r="S52" s="157">
        <v>0.0</v>
      </c>
      <c r="T52" s="157">
        <v>0.0</v>
      </c>
      <c r="U52" s="157">
        <v>0.0</v>
      </c>
      <c r="V52" s="157" t="s">
        <v>354</v>
      </c>
      <c r="W52" s="157" t="s">
        <v>354</v>
      </c>
      <c r="X52" s="355" t="s">
        <v>365</v>
      </c>
      <c r="Y52" s="90" t="s">
        <v>413</v>
      </c>
      <c r="Z52" s="356" t="s">
        <v>365</v>
      </c>
      <c r="AA52" s="90" t="s">
        <v>413</v>
      </c>
      <c r="AB52" s="144" t="s">
        <v>365</v>
      </c>
      <c r="AC52" s="90" t="s">
        <v>413</v>
      </c>
      <c r="AD52" s="357">
        <f t="shared" si="1"/>
        <v>4</v>
      </c>
      <c r="AE52" s="265"/>
      <c r="AF52" s="265"/>
      <c r="AG52" s="265"/>
      <c r="AH52" s="265"/>
      <c r="AI52" s="157">
        <v>0.0</v>
      </c>
      <c r="AJ52" s="157">
        <v>0.0</v>
      </c>
      <c r="AK52" s="157">
        <v>0.0</v>
      </c>
      <c r="AL52" s="157">
        <v>0.0</v>
      </c>
      <c r="AM52" s="157">
        <v>3.0</v>
      </c>
      <c r="AN52" s="157">
        <v>0.0</v>
      </c>
      <c r="AO52" s="157">
        <v>0.0</v>
      </c>
      <c r="AP52" s="157">
        <v>0.0</v>
      </c>
      <c r="AQ52" s="388">
        <f t="shared" si="2"/>
        <v>3</v>
      </c>
      <c r="AR52" s="388">
        <f t="shared" si="3"/>
        <v>1</v>
      </c>
    </row>
    <row r="53">
      <c r="A53" s="157">
        <v>52.0</v>
      </c>
      <c r="B53" s="157" t="s">
        <v>262</v>
      </c>
      <c r="C53" s="49" t="s">
        <v>899</v>
      </c>
      <c r="D53" s="18" t="s">
        <v>900</v>
      </c>
      <c r="E53" s="631">
        <v>40444.0</v>
      </c>
      <c r="F53" s="265"/>
      <c r="G53" s="265"/>
      <c r="H53" s="265"/>
      <c r="I53" s="265"/>
      <c r="J53" s="265"/>
      <c r="K53" s="265"/>
      <c r="L53" s="265"/>
      <c r="M53" s="265"/>
      <c r="N53" s="265"/>
      <c r="O53" s="265"/>
      <c r="P53" s="265"/>
      <c r="Q53" s="265"/>
      <c r="R53" s="157">
        <v>0.0</v>
      </c>
      <c r="S53" s="157">
        <v>0.0</v>
      </c>
      <c r="T53" s="157">
        <v>0.0</v>
      </c>
      <c r="U53" s="157">
        <v>0.0</v>
      </c>
      <c r="V53" s="157" t="s">
        <v>354</v>
      </c>
      <c r="W53" s="157" t="s">
        <v>354</v>
      </c>
      <c r="X53" s="364" t="s">
        <v>361</v>
      </c>
      <c r="Y53" s="364" t="s">
        <v>361</v>
      </c>
      <c r="Z53" s="368" t="s">
        <v>356</v>
      </c>
      <c r="AA53" s="368" t="s">
        <v>354</v>
      </c>
      <c r="AB53" s="139" t="s">
        <v>356</v>
      </c>
      <c r="AC53" s="139" t="s">
        <v>354</v>
      </c>
      <c r="AD53" s="46">
        <f t="shared" si="1"/>
        <v>0</v>
      </c>
      <c r="AE53" s="265"/>
      <c r="AF53" s="265"/>
      <c r="AG53" s="265"/>
      <c r="AH53" s="265"/>
      <c r="AI53" s="157">
        <v>0.0</v>
      </c>
      <c r="AJ53" s="157">
        <v>0.0</v>
      </c>
      <c r="AK53" s="157">
        <v>0.0</v>
      </c>
      <c r="AL53" s="157">
        <v>0.0</v>
      </c>
      <c r="AM53" s="157">
        <v>0.0</v>
      </c>
      <c r="AN53" s="157">
        <v>0.0</v>
      </c>
      <c r="AO53" s="157">
        <v>0.0</v>
      </c>
      <c r="AP53" s="157">
        <v>0.0</v>
      </c>
      <c r="AQ53" s="265">
        <f t="shared" si="2"/>
        <v>0</v>
      </c>
      <c r="AR53" s="265">
        <f t="shared" si="3"/>
        <v>0</v>
      </c>
    </row>
    <row r="54">
      <c r="A54" s="157">
        <v>53.0</v>
      </c>
      <c r="B54" s="157" t="s">
        <v>265</v>
      </c>
      <c r="C54" s="49" t="s">
        <v>906</v>
      </c>
      <c r="D54" s="18" t="s">
        <v>907</v>
      </c>
      <c r="E54" s="631">
        <v>40444.0</v>
      </c>
      <c r="F54" s="265"/>
      <c r="G54" s="265"/>
      <c r="H54" s="265"/>
      <c r="I54" s="265"/>
      <c r="J54" s="265"/>
      <c r="K54" s="265"/>
      <c r="L54" s="265"/>
      <c r="M54" s="265"/>
      <c r="N54" s="265"/>
      <c r="O54" s="265"/>
      <c r="P54" s="265"/>
      <c r="Q54" s="265"/>
      <c r="R54" s="157">
        <v>0.0</v>
      </c>
      <c r="S54" s="157">
        <v>0.0</v>
      </c>
      <c r="T54" s="157">
        <v>0.0</v>
      </c>
      <c r="U54" s="157">
        <v>0.0</v>
      </c>
      <c r="V54" s="157" t="s">
        <v>354</v>
      </c>
      <c r="W54" s="157" t="s">
        <v>354</v>
      </c>
      <c r="X54" s="384" t="s">
        <v>356</v>
      </c>
      <c r="Y54" s="384" t="s">
        <v>354</v>
      </c>
      <c r="Z54" s="368" t="s">
        <v>356</v>
      </c>
      <c r="AA54" s="368" t="s">
        <v>354</v>
      </c>
      <c r="AB54" s="139" t="s">
        <v>356</v>
      </c>
      <c r="AC54" s="139" t="s">
        <v>354</v>
      </c>
      <c r="AD54" s="46">
        <f t="shared" si="1"/>
        <v>0</v>
      </c>
      <c r="AE54" s="265"/>
      <c r="AF54" s="265"/>
      <c r="AG54" s="265"/>
      <c r="AH54" s="265"/>
      <c r="AI54" s="157">
        <v>0.0</v>
      </c>
      <c r="AJ54" s="157">
        <v>0.0</v>
      </c>
      <c r="AK54" s="157">
        <v>0.0</v>
      </c>
      <c r="AL54" s="157">
        <v>0.0</v>
      </c>
      <c r="AM54" s="157">
        <v>0.0</v>
      </c>
      <c r="AN54" s="157">
        <v>0.0</v>
      </c>
      <c r="AO54" s="157">
        <v>0.0</v>
      </c>
      <c r="AP54" s="157">
        <v>0.0</v>
      </c>
      <c r="AQ54" s="265">
        <f t="shared" si="2"/>
        <v>0</v>
      </c>
      <c r="AR54" s="265">
        <f t="shared" si="3"/>
        <v>0</v>
      </c>
    </row>
    <row r="55">
      <c r="A55" s="157">
        <v>54.0</v>
      </c>
      <c r="B55" s="157" t="s">
        <v>268</v>
      </c>
      <c r="C55" s="46" t="s">
        <v>268</v>
      </c>
      <c r="D55" s="18" t="s">
        <v>1626</v>
      </c>
      <c r="E55" s="631">
        <v>40444.0</v>
      </c>
      <c r="F55" s="265"/>
      <c r="G55" s="265"/>
      <c r="H55" s="265"/>
      <c r="I55" s="265"/>
      <c r="J55" s="265"/>
      <c r="K55" s="265"/>
      <c r="L55" s="265"/>
      <c r="M55" s="265"/>
      <c r="N55" s="265"/>
      <c r="O55" s="265"/>
      <c r="P55" s="265"/>
      <c r="Q55" s="265"/>
      <c r="R55" s="157">
        <v>0.0</v>
      </c>
      <c r="S55" s="157">
        <v>0.0</v>
      </c>
      <c r="T55" s="157">
        <v>0.0</v>
      </c>
      <c r="U55" s="157">
        <v>0.0</v>
      </c>
      <c r="V55" s="157" t="s">
        <v>354</v>
      </c>
      <c r="W55" s="157" t="s">
        <v>354</v>
      </c>
      <c r="X55" s="355" t="s">
        <v>365</v>
      </c>
      <c r="Y55" s="40" t="s">
        <v>357</v>
      </c>
      <c r="Z55" s="356" t="s">
        <v>365</v>
      </c>
      <c r="AA55" s="40" t="s">
        <v>357</v>
      </c>
      <c r="AB55" s="144" t="s">
        <v>365</v>
      </c>
      <c r="AC55" s="40" t="s">
        <v>357</v>
      </c>
      <c r="AD55" s="357">
        <f t="shared" si="1"/>
        <v>3</v>
      </c>
      <c r="AE55" s="265"/>
      <c r="AF55" s="265"/>
      <c r="AG55" s="265"/>
      <c r="AH55" s="265"/>
      <c r="AI55" s="157">
        <v>0.0</v>
      </c>
      <c r="AJ55" s="157">
        <v>0.0</v>
      </c>
      <c r="AK55" s="157">
        <v>0.0</v>
      </c>
      <c r="AL55" s="157">
        <v>0.0</v>
      </c>
      <c r="AM55" s="157">
        <v>0.0</v>
      </c>
      <c r="AN55" s="157">
        <v>3.0</v>
      </c>
      <c r="AO55" s="157">
        <v>0.0</v>
      </c>
      <c r="AP55" s="157">
        <v>0.0</v>
      </c>
      <c r="AQ55" s="388">
        <f t="shared" si="2"/>
        <v>3</v>
      </c>
      <c r="AR55" s="388">
        <f t="shared" si="3"/>
        <v>1</v>
      </c>
    </row>
    <row r="56">
      <c r="A56" s="157">
        <v>55.0</v>
      </c>
      <c r="B56" s="157" t="s">
        <v>236</v>
      </c>
      <c r="C56" s="46" t="s">
        <v>234</v>
      </c>
      <c r="D56" s="18" t="s">
        <v>1625</v>
      </c>
      <c r="E56" s="631">
        <v>40444.0</v>
      </c>
      <c r="F56" s="265"/>
      <c r="G56" s="265"/>
      <c r="H56" s="265"/>
      <c r="I56" s="265"/>
      <c r="J56" s="265"/>
      <c r="K56" s="265"/>
      <c r="L56" s="265"/>
      <c r="M56" s="265"/>
      <c r="N56" s="265"/>
      <c r="O56" s="265"/>
      <c r="P56" s="265"/>
      <c r="Q56" s="265"/>
      <c r="R56" s="157">
        <v>0.0</v>
      </c>
      <c r="S56" s="157">
        <v>0.0</v>
      </c>
      <c r="T56" s="157">
        <v>0.0</v>
      </c>
      <c r="U56" s="157">
        <v>0.0</v>
      </c>
      <c r="V56" s="157" t="s">
        <v>354</v>
      </c>
      <c r="W56" s="157" t="s">
        <v>354</v>
      </c>
      <c r="X56" s="364" t="s">
        <v>361</v>
      </c>
      <c r="Y56" s="364" t="s">
        <v>361</v>
      </c>
      <c r="Z56" s="368" t="s">
        <v>356</v>
      </c>
      <c r="AA56" s="368" t="s">
        <v>354</v>
      </c>
      <c r="AB56" s="139" t="s">
        <v>356</v>
      </c>
      <c r="AC56" s="139" t="s">
        <v>354</v>
      </c>
      <c r="AD56" s="46">
        <f t="shared" si="1"/>
        <v>0</v>
      </c>
      <c r="AE56" s="265"/>
      <c r="AF56" s="265"/>
      <c r="AG56" s="265"/>
      <c r="AH56" s="265"/>
      <c r="AI56" s="157">
        <v>0.0</v>
      </c>
      <c r="AJ56" s="157">
        <v>0.0</v>
      </c>
      <c r="AK56" s="157">
        <v>0.0</v>
      </c>
      <c r="AL56" s="157">
        <v>0.0</v>
      </c>
      <c r="AM56" s="157">
        <v>0.0</v>
      </c>
      <c r="AN56" s="157">
        <v>0.0</v>
      </c>
      <c r="AO56" s="157">
        <v>0.0</v>
      </c>
      <c r="AP56" s="157">
        <v>0.0</v>
      </c>
      <c r="AQ56" s="265">
        <f t="shared" si="2"/>
        <v>0</v>
      </c>
      <c r="AR56" s="265">
        <f t="shared" si="3"/>
        <v>0</v>
      </c>
    </row>
    <row r="57">
      <c r="A57" s="157">
        <v>56.0</v>
      </c>
      <c r="B57" s="157" t="s">
        <v>24</v>
      </c>
      <c r="C57" s="48" t="s">
        <v>24</v>
      </c>
      <c r="D57" s="482" t="s">
        <v>391</v>
      </c>
      <c r="E57" s="631">
        <v>40444.0</v>
      </c>
      <c r="F57" s="265"/>
      <c r="G57" s="265"/>
      <c r="H57" s="265"/>
      <c r="I57" s="265"/>
      <c r="J57" s="265"/>
      <c r="K57" s="265"/>
      <c r="L57" s="265"/>
      <c r="M57" s="265"/>
      <c r="N57" s="265"/>
      <c r="O57" s="265"/>
      <c r="P57" s="265"/>
      <c r="Q57" s="265"/>
      <c r="R57" s="157">
        <v>0.0</v>
      </c>
      <c r="S57" s="157">
        <v>0.0</v>
      </c>
      <c r="T57" s="157">
        <v>0.0</v>
      </c>
      <c r="U57" s="157">
        <v>0.0</v>
      </c>
      <c r="V57" s="157" t="s">
        <v>354</v>
      </c>
      <c r="W57" s="157" t="s">
        <v>354</v>
      </c>
      <c r="X57" s="364" t="s">
        <v>361</v>
      </c>
      <c r="Y57" s="364" t="s">
        <v>361</v>
      </c>
      <c r="Z57" s="356" t="s">
        <v>365</v>
      </c>
      <c r="AA57" s="40" t="s">
        <v>357</v>
      </c>
      <c r="AB57" s="144" t="s">
        <v>365</v>
      </c>
      <c r="AC57" s="40" t="s">
        <v>357</v>
      </c>
      <c r="AD57" s="357">
        <f t="shared" si="1"/>
        <v>2</v>
      </c>
      <c r="AE57" s="265"/>
      <c r="AF57" s="265"/>
      <c r="AG57" s="265"/>
      <c r="AH57" s="265"/>
      <c r="AI57" s="157">
        <v>0.0</v>
      </c>
      <c r="AJ57" s="157">
        <v>0.0</v>
      </c>
      <c r="AK57" s="157">
        <v>0.0</v>
      </c>
      <c r="AL57" s="157">
        <v>0.0</v>
      </c>
      <c r="AM57" s="157">
        <v>0.0</v>
      </c>
      <c r="AN57" s="157">
        <v>2.0</v>
      </c>
      <c r="AO57" s="157">
        <v>0.0</v>
      </c>
      <c r="AP57" s="157">
        <v>0.0</v>
      </c>
      <c r="AQ57" s="388">
        <f t="shared" si="2"/>
        <v>2</v>
      </c>
      <c r="AR57" s="388">
        <f t="shared" si="3"/>
        <v>1</v>
      </c>
    </row>
    <row r="58">
      <c r="A58" s="157">
        <v>57.0</v>
      </c>
      <c r="B58" s="157" t="s">
        <v>42</v>
      </c>
      <c r="C58" s="46" t="s">
        <v>42</v>
      </c>
      <c r="D58" s="18" t="s">
        <v>421</v>
      </c>
      <c r="E58" s="631">
        <v>40444.0</v>
      </c>
      <c r="F58" s="265"/>
      <c r="G58" s="265"/>
      <c r="H58" s="265"/>
      <c r="I58" s="265"/>
      <c r="J58" s="265"/>
      <c r="K58" s="265"/>
      <c r="L58" s="265"/>
      <c r="M58" s="265"/>
      <c r="N58" s="265"/>
      <c r="O58" s="265"/>
      <c r="P58" s="265"/>
      <c r="Q58" s="265"/>
      <c r="R58" s="157">
        <v>0.0</v>
      </c>
      <c r="S58" s="157">
        <v>0.0</v>
      </c>
      <c r="T58" s="157">
        <v>0.0</v>
      </c>
      <c r="U58" s="157">
        <v>0.0</v>
      </c>
      <c r="V58" s="157" t="s">
        <v>354</v>
      </c>
      <c r="W58" s="157" t="s">
        <v>354</v>
      </c>
      <c r="X58" s="384" t="s">
        <v>356</v>
      </c>
      <c r="Y58" s="384" t="s">
        <v>354</v>
      </c>
      <c r="Z58" s="392" t="s">
        <v>361</v>
      </c>
      <c r="AA58" s="392" t="s">
        <v>361</v>
      </c>
      <c r="AB58" s="139" t="s">
        <v>356</v>
      </c>
      <c r="AC58" s="139" t="s">
        <v>354</v>
      </c>
      <c r="AD58" s="46">
        <f t="shared" si="1"/>
        <v>0</v>
      </c>
      <c r="AE58" s="265"/>
      <c r="AF58" s="265"/>
      <c r="AG58" s="265"/>
      <c r="AH58" s="265"/>
      <c r="AI58" s="157">
        <v>0.0</v>
      </c>
      <c r="AJ58" s="157">
        <v>0.0</v>
      </c>
      <c r="AK58" s="157">
        <v>0.0</v>
      </c>
      <c r="AL58" s="157">
        <v>0.0</v>
      </c>
      <c r="AM58" s="157">
        <v>0.0</v>
      </c>
      <c r="AN58" s="157">
        <v>0.0</v>
      </c>
      <c r="AO58" s="157">
        <v>0.0</v>
      </c>
      <c r="AP58" s="157">
        <v>0.0</v>
      </c>
      <c r="AQ58" s="265">
        <f t="shared" si="2"/>
        <v>0</v>
      </c>
      <c r="AR58" s="265">
        <f t="shared" si="3"/>
        <v>0</v>
      </c>
    </row>
    <row r="59">
      <c r="A59" s="157">
        <v>58.0</v>
      </c>
      <c r="B59" s="157" t="s">
        <v>19</v>
      </c>
      <c r="C59" s="46" t="s">
        <v>19</v>
      </c>
      <c r="D59" s="18" t="s">
        <v>383</v>
      </c>
      <c r="E59" s="631">
        <v>40444.0</v>
      </c>
      <c r="F59" s="265"/>
      <c r="G59" s="265"/>
      <c r="H59" s="265"/>
      <c r="I59" s="265"/>
      <c r="J59" s="265"/>
      <c r="K59" s="265"/>
      <c r="L59" s="265"/>
      <c r="M59" s="265"/>
      <c r="N59" s="265"/>
      <c r="O59" s="265"/>
      <c r="P59" s="265"/>
      <c r="Q59" s="265"/>
      <c r="R59" s="157">
        <v>0.0</v>
      </c>
      <c r="S59" s="157">
        <v>0.0</v>
      </c>
      <c r="T59" s="157">
        <v>0.0</v>
      </c>
      <c r="U59" s="157">
        <v>0.0</v>
      </c>
      <c r="V59" s="157" t="s">
        <v>354</v>
      </c>
      <c r="W59" s="157" t="s">
        <v>354</v>
      </c>
      <c r="X59" s="384" t="s">
        <v>356</v>
      </c>
      <c r="Y59" s="384" t="s">
        <v>354</v>
      </c>
      <c r="Z59" s="368" t="s">
        <v>356</v>
      </c>
      <c r="AA59" s="368" t="s">
        <v>354</v>
      </c>
      <c r="AB59" s="139" t="s">
        <v>356</v>
      </c>
      <c r="AC59" s="139" t="s">
        <v>354</v>
      </c>
      <c r="AD59" s="46">
        <f t="shared" si="1"/>
        <v>0</v>
      </c>
      <c r="AE59" s="265"/>
      <c r="AF59" s="265"/>
      <c r="AG59" s="265"/>
      <c r="AH59" s="265"/>
      <c r="AI59" s="157">
        <v>0.0</v>
      </c>
      <c r="AJ59" s="157">
        <v>0.0</v>
      </c>
      <c r="AK59" s="157">
        <v>0.0</v>
      </c>
      <c r="AL59" s="157">
        <v>0.0</v>
      </c>
      <c r="AM59" s="157">
        <v>0.0</v>
      </c>
      <c r="AN59" s="157">
        <v>0.0</v>
      </c>
      <c r="AO59" s="157">
        <v>0.0</v>
      </c>
      <c r="AP59" s="157">
        <v>0.0</v>
      </c>
      <c r="AQ59" s="265">
        <f t="shared" si="2"/>
        <v>0</v>
      </c>
      <c r="AR59" s="265">
        <f t="shared" si="3"/>
        <v>0</v>
      </c>
    </row>
    <row r="60">
      <c r="A60" s="157">
        <v>59.0</v>
      </c>
      <c r="B60" s="157" t="s">
        <v>29</v>
      </c>
      <c r="C60" s="46" t="s">
        <v>29</v>
      </c>
      <c r="D60" s="18" t="s">
        <v>401</v>
      </c>
      <c r="E60" s="631">
        <v>40444.0</v>
      </c>
      <c r="F60" s="265"/>
      <c r="G60" s="265"/>
      <c r="H60" s="265"/>
      <c r="I60" s="265"/>
      <c r="J60" s="265"/>
      <c r="K60" s="265"/>
      <c r="L60" s="265"/>
      <c r="M60" s="265"/>
      <c r="N60" s="265"/>
      <c r="O60" s="265"/>
      <c r="P60" s="265"/>
      <c r="Q60" s="265"/>
      <c r="R60" s="157">
        <v>0.0</v>
      </c>
      <c r="S60" s="157">
        <v>0.0</v>
      </c>
      <c r="T60" s="157">
        <v>0.0</v>
      </c>
      <c r="U60" s="157">
        <v>0.0</v>
      </c>
      <c r="V60" s="157" t="s">
        <v>354</v>
      </c>
      <c r="W60" s="157" t="s">
        <v>354</v>
      </c>
      <c r="X60" s="355" t="s">
        <v>365</v>
      </c>
      <c r="Y60" s="40" t="s">
        <v>357</v>
      </c>
      <c r="Z60" s="356" t="s">
        <v>365</v>
      </c>
      <c r="AA60" s="40" t="s">
        <v>357</v>
      </c>
      <c r="AB60" s="144" t="s">
        <v>365</v>
      </c>
      <c r="AC60" s="40" t="s">
        <v>357</v>
      </c>
      <c r="AD60" s="357">
        <f t="shared" si="1"/>
        <v>3</v>
      </c>
      <c r="AE60" s="265"/>
      <c r="AF60" s="265"/>
      <c r="AG60" s="265"/>
      <c r="AH60" s="265"/>
      <c r="AI60" s="157">
        <v>0.0</v>
      </c>
      <c r="AJ60" s="157">
        <v>0.0</v>
      </c>
      <c r="AK60" s="157">
        <v>0.0</v>
      </c>
      <c r="AL60" s="157">
        <v>0.0</v>
      </c>
      <c r="AM60" s="157">
        <v>0.0</v>
      </c>
      <c r="AN60" s="157">
        <v>3.0</v>
      </c>
      <c r="AO60" s="157">
        <v>0.0</v>
      </c>
      <c r="AP60" s="157">
        <v>0.0</v>
      </c>
      <c r="AQ60" s="388">
        <f t="shared" si="2"/>
        <v>3</v>
      </c>
      <c r="AR60" s="388">
        <f t="shared" si="3"/>
        <v>1</v>
      </c>
    </row>
    <row r="61">
      <c r="A61" s="157">
        <v>60.0</v>
      </c>
      <c r="B61" s="157" t="s">
        <v>36</v>
      </c>
      <c r="C61" s="46" t="s">
        <v>36</v>
      </c>
      <c r="D61" s="18" t="s">
        <v>411</v>
      </c>
      <c r="E61" s="631">
        <v>40444.0</v>
      </c>
      <c r="F61" s="265"/>
      <c r="G61" s="265"/>
      <c r="H61" s="265"/>
      <c r="I61" s="265"/>
      <c r="J61" s="265"/>
      <c r="K61" s="265"/>
      <c r="L61" s="265"/>
      <c r="M61" s="265"/>
      <c r="N61" s="265"/>
      <c r="O61" s="265"/>
      <c r="P61" s="265"/>
      <c r="Q61" s="265"/>
      <c r="R61" s="140">
        <v>33.18</v>
      </c>
      <c r="S61" s="157">
        <v>0.0</v>
      </c>
      <c r="T61" s="157">
        <v>0.0</v>
      </c>
      <c r="U61" s="157">
        <v>0.0</v>
      </c>
      <c r="V61" s="157" t="s">
        <v>354</v>
      </c>
      <c r="W61" s="157" t="s">
        <v>354</v>
      </c>
      <c r="X61" s="355" t="s">
        <v>365</v>
      </c>
      <c r="Y61" s="90" t="s">
        <v>413</v>
      </c>
      <c r="Z61" s="356" t="s">
        <v>365</v>
      </c>
      <c r="AA61" s="90" t="s">
        <v>413</v>
      </c>
      <c r="AB61" s="144" t="s">
        <v>365</v>
      </c>
      <c r="AC61" s="90" t="s">
        <v>413</v>
      </c>
      <c r="AD61" s="357">
        <f t="shared" si="1"/>
        <v>4</v>
      </c>
      <c r="AE61" s="265"/>
      <c r="AF61" s="265"/>
      <c r="AG61" s="265"/>
      <c r="AH61" s="265"/>
      <c r="AI61" s="157">
        <v>0.0</v>
      </c>
      <c r="AJ61" s="157">
        <v>0.0</v>
      </c>
      <c r="AK61" s="157">
        <v>0.0</v>
      </c>
      <c r="AL61" s="157">
        <v>0.0</v>
      </c>
      <c r="AM61" s="157">
        <v>3.0</v>
      </c>
      <c r="AN61" s="157">
        <v>0.0</v>
      </c>
      <c r="AO61" s="157">
        <v>0.0</v>
      </c>
      <c r="AP61" s="157">
        <v>0.0</v>
      </c>
      <c r="AQ61" s="388">
        <f t="shared" si="2"/>
        <v>3</v>
      </c>
      <c r="AR61" s="388">
        <f t="shared" si="3"/>
        <v>1</v>
      </c>
    </row>
    <row r="62">
      <c r="A62" s="157">
        <v>61.0</v>
      </c>
      <c r="B62" s="157" t="s">
        <v>6</v>
      </c>
      <c r="C62" s="48" t="s">
        <v>6</v>
      </c>
      <c r="D62" s="482" t="s">
        <v>1599</v>
      </c>
      <c r="E62" s="631">
        <v>40444.0</v>
      </c>
      <c r="F62" s="265"/>
      <c r="G62" s="265"/>
      <c r="H62" s="265"/>
      <c r="I62" s="265"/>
      <c r="J62" s="265"/>
      <c r="K62" s="265"/>
      <c r="L62" s="265"/>
      <c r="M62" s="265"/>
      <c r="N62" s="265"/>
      <c r="O62" s="265"/>
      <c r="P62" s="265"/>
      <c r="Q62" s="265"/>
      <c r="R62" s="140">
        <v>29.05</v>
      </c>
      <c r="S62" s="157">
        <v>0.0</v>
      </c>
      <c r="T62" s="157">
        <v>0.0</v>
      </c>
      <c r="U62" s="157">
        <v>0.0</v>
      </c>
      <c r="V62" s="157" t="s">
        <v>354</v>
      </c>
      <c r="W62" s="157" t="s">
        <v>354</v>
      </c>
      <c r="X62" s="355" t="s">
        <v>365</v>
      </c>
      <c r="Y62" s="40" t="s">
        <v>357</v>
      </c>
      <c r="Z62" s="356" t="s">
        <v>365</v>
      </c>
      <c r="AA62" s="40" t="s">
        <v>357</v>
      </c>
      <c r="AB62" s="144" t="s">
        <v>365</v>
      </c>
      <c r="AC62" s="40" t="s">
        <v>357</v>
      </c>
      <c r="AD62" s="357">
        <f t="shared" si="1"/>
        <v>4</v>
      </c>
      <c r="AE62" s="265"/>
      <c r="AF62" s="265"/>
      <c r="AG62" s="265"/>
      <c r="AH62" s="265"/>
      <c r="AI62" s="157">
        <v>0.0</v>
      </c>
      <c r="AJ62" s="157">
        <v>0.0</v>
      </c>
      <c r="AK62" s="157">
        <v>0.0</v>
      </c>
      <c r="AL62" s="157">
        <v>0.0</v>
      </c>
      <c r="AM62" s="157">
        <v>0.0</v>
      </c>
      <c r="AN62" s="157">
        <v>3.0</v>
      </c>
      <c r="AO62" s="157">
        <v>0.0</v>
      </c>
      <c r="AP62" s="157">
        <v>0.0</v>
      </c>
      <c r="AQ62" s="388">
        <f t="shared" si="2"/>
        <v>3</v>
      </c>
      <c r="AR62" s="388">
        <f t="shared" si="3"/>
        <v>1</v>
      </c>
    </row>
    <row r="63">
      <c r="A63" s="157">
        <v>62.0</v>
      </c>
      <c r="B63" s="157" t="s">
        <v>314</v>
      </c>
      <c r="C63" s="49" t="s">
        <v>835</v>
      </c>
      <c r="D63" s="18" t="s">
        <v>1661</v>
      </c>
      <c r="E63" s="631">
        <v>40444.0</v>
      </c>
      <c r="F63" s="265"/>
      <c r="G63" s="265"/>
      <c r="H63" s="265"/>
      <c r="I63" s="265"/>
      <c r="J63" s="265"/>
      <c r="K63" s="265"/>
      <c r="L63" s="265"/>
      <c r="M63" s="265"/>
      <c r="N63" s="265"/>
      <c r="O63" s="265"/>
      <c r="P63" s="265"/>
      <c r="Q63" s="265"/>
      <c r="R63" s="157">
        <v>0.0</v>
      </c>
      <c r="S63" s="157">
        <v>0.0</v>
      </c>
      <c r="T63" s="157">
        <v>0.0</v>
      </c>
      <c r="U63" s="157">
        <v>0.0</v>
      </c>
      <c r="V63" s="157" t="s">
        <v>354</v>
      </c>
      <c r="W63" s="157" t="s">
        <v>354</v>
      </c>
      <c r="X63" s="364" t="s">
        <v>407</v>
      </c>
      <c r="Y63" s="364" t="s">
        <v>407</v>
      </c>
      <c r="Z63" s="368" t="s">
        <v>356</v>
      </c>
      <c r="AA63" s="368" t="s">
        <v>354</v>
      </c>
      <c r="AB63" s="139" t="s">
        <v>356</v>
      </c>
      <c r="AC63" s="139" t="s">
        <v>354</v>
      </c>
      <c r="AD63" s="46">
        <f t="shared" si="1"/>
        <v>0</v>
      </c>
      <c r="AE63" s="265"/>
      <c r="AF63" s="265"/>
      <c r="AG63" s="265"/>
      <c r="AH63" s="265"/>
      <c r="AI63" s="157">
        <v>0.0</v>
      </c>
      <c r="AJ63" s="157">
        <v>0.0</v>
      </c>
      <c r="AK63" s="157">
        <v>0.0</v>
      </c>
      <c r="AL63" s="157">
        <v>0.0</v>
      </c>
      <c r="AM63" s="157">
        <v>0.0</v>
      </c>
      <c r="AN63" s="157">
        <v>0.0</v>
      </c>
      <c r="AO63" s="157">
        <v>0.0</v>
      </c>
      <c r="AP63" s="157">
        <v>0.0</v>
      </c>
      <c r="AQ63" s="265">
        <f t="shared" si="2"/>
        <v>0</v>
      </c>
      <c r="AR63" s="265">
        <f t="shared" si="3"/>
        <v>0</v>
      </c>
    </row>
    <row r="64">
      <c r="A64" s="157">
        <v>63.0</v>
      </c>
      <c r="B64" s="157" t="s">
        <v>318</v>
      </c>
      <c r="C64" s="49" t="s">
        <v>863</v>
      </c>
      <c r="D64" s="18" t="s">
        <v>864</v>
      </c>
      <c r="E64" s="631">
        <v>40444.0</v>
      </c>
      <c r="F64" s="265"/>
      <c r="G64" s="265"/>
      <c r="H64" s="265"/>
      <c r="I64" s="265"/>
      <c r="J64" s="265"/>
      <c r="K64" s="265"/>
      <c r="L64" s="265"/>
      <c r="M64" s="265"/>
      <c r="N64" s="265"/>
      <c r="O64" s="265"/>
      <c r="P64" s="265"/>
      <c r="Q64" s="265"/>
      <c r="R64" s="157">
        <v>0.0</v>
      </c>
      <c r="S64" s="157">
        <v>0.0</v>
      </c>
      <c r="T64" s="157">
        <v>0.0</v>
      </c>
      <c r="U64" s="157">
        <v>0.0</v>
      </c>
      <c r="V64" s="157" t="s">
        <v>354</v>
      </c>
      <c r="W64" s="157" t="s">
        <v>354</v>
      </c>
      <c r="X64" s="384" t="s">
        <v>356</v>
      </c>
      <c r="Y64" s="384" t="s">
        <v>354</v>
      </c>
      <c r="Z64" s="368" t="s">
        <v>356</v>
      </c>
      <c r="AA64" s="368" t="s">
        <v>354</v>
      </c>
      <c r="AB64" s="139" t="s">
        <v>356</v>
      </c>
      <c r="AC64" s="139" t="s">
        <v>354</v>
      </c>
      <c r="AD64" s="46">
        <f t="shared" si="1"/>
        <v>0</v>
      </c>
      <c r="AE64" s="265"/>
      <c r="AF64" s="265"/>
      <c r="AG64" s="265"/>
      <c r="AH64" s="265"/>
      <c r="AI64" s="157">
        <v>0.0</v>
      </c>
      <c r="AJ64" s="157">
        <v>0.0</v>
      </c>
      <c r="AK64" s="157">
        <v>0.0</v>
      </c>
      <c r="AL64" s="157">
        <v>0.0</v>
      </c>
      <c r="AM64" s="157">
        <v>0.0</v>
      </c>
      <c r="AN64" s="157">
        <v>0.0</v>
      </c>
      <c r="AO64" s="157">
        <v>0.0</v>
      </c>
      <c r="AP64" s="157">
        <v>0.0</v>
      </c>
      <c r="AQ64" s="265">
        <f t="shared" si="2"/>
        <v>0</v>
      </c>
      <c r="AR64" s="265">
        <f t="shared" si="3"/>
        <v>0</v>
      </c>
    </row>
    <row r="65">
      <c r="A65" s="157">
        <v>64.0</v>
      </c>
      <c r="B65" s="157" t="s">
        <v>308</v>
      </c>
      <c r="C65" s="49" t="s">
        <v>587</v>
      </c>
      <c r="D65" s="18" t="s">
        <v>588</v>
      </c>
      <c r="E65" s="631">
        <v>40444.0</v>
      </c>
      <c r="F65" s="265"/>
      <c r="G65" s="265"/>
      <c r="H65" s="265"/>
      <c r="I65" s="265"/>
      <c r="J65" s="265"/>
      <c r="K65" s="265"/>
      <c r="L65" s="265"/>
      <c r="M65" s="265"/>
      <c r="N65" s="265"/>
      <c r="O65" s="265"/>
      <c r="P65" s="265"/>
      <c r="Q65" s="265"/>
      <c r="R65" s="157">
        <v>0.0</v>
      </c>
      <c r="S65" s="157">
        <v>0.0</v>
      </c>
      <c r="T65" s="157">
        <v>0.0</v>
      </c>
      <c r="U65" s="157">
        <v>0.0</v>
      </c>
      <c r="V65" s="157" t="s">
        <v>354</v>
      </c>
      <c r="W65" s="157" t="s">
        <v>354</v>
      </c>
      <c r="X65" s="384" t="s">
        <v>356</v>
      </c>
      <c r="Y65" s="384" t="s">
        <v>354</v>
      </c>
      <c r="Z65" s="368" t="s">
        <v>356</v>
      </c>
      <c r="AA65" s="368" t="s">
        <v>354</v>
      </c>
      <c r="AB65" s="139" t="s">
        <v>356</v>
      </c>
      <c r="AC65" s="139" t="s">
        <v>354</v>
      </c>
      <c r="AD65" s="46">
        <f t="shared" si="1"/>
        <v>0</v>
      </c>
      <c r="AE65" s="265"/>
      <c r="AF65" s="265"/>
      <c r="AG65" s="265"/>
      <c r="AH65" s="265"/>
      <c r="AI65" s="157">
        <v>0.0</v>
      </c>
      <c r="AJ65" s="157">
        <v>0.0</v>
      </c>
      <c r="AK65" s="157">
        <v>0.0</v>
      </c>
      <c r="AL65" s="157">
        <v>0.0</v>
      </c>
      <c r="AM65" s="157">
        <v>0.0</v>
      </c>
      <c r="AN65" s="157">
        <v>0.0</v>
      </c>
      <c r="AO65" s="157">
        <v>0.0</v>
      </c>
      <c r="AP65" s="157">
        <v>0.0</v>
      </c>
      <c r="AQ65" s="265">
        <f t="shared" si="2"/>
        <v>0</v>
      </c>
      <c r="AR65" s="265">
        <f t="shared" si="3"/>
        <v>0</v>
      </c>
    </row>
    <row r="66">
      <c r="A66" s="157">
        <v>65.0</v>
      </c>
      <c r="B66" s="157" t="s">
        <v>328</v>
      </c>
      <c r="C66" s="57" t="s">
        <v>531</v>
      </c>
      <c r="D66" s="18" t="s">
        <v>532</v>
      </c>
      <c r="E66" s="631">
        <v>40444.0</v>
      </c>
      <c r="F66" s="265"/>
      <c r="G66" s="265"/>
      <c r="H66" s="265"/>
      <c r="I66" s="265"/>
      <c r="J66" s="265"/>
      <c r="K66" s="265"/>
      <c r="L66" s="265"/>
      <c r="M66" s="265"/>
      <c r="N66" s="265"/>
      <c r="O66" s="265"/>
      <c r="P66" s="265"/>
      <c r="Q66" s="265"/>
      <c r="R66" s="157">
        <v>0.0</v>
      </c>
      <c r="S66" s="157">
        <v>0.0</v>
      </c>
      <c r="T66" s="157">
        <v>0.0</v>
      </c>
      <c r="U66" s="157">
        <v>0.0</v>
      </c>
      <c r="V66" s="157" t="s">
        <v>354</v>
      </c>
      <c r="W66" s="157" t="s">
        <v>354</v>
      </c>
      <c r="X66" s="384" t="s">
        <v>356</v>
      </c>
      <c r="Y66" s="384" t="s">
        <v>354</v>
      </c>
      <c r="Z66" s="365" t="s">
        <v>365</v>
      </c>
      <c r="AA66" s="391" t="s">
        <v>380</v>
      </c>
      <c r="AB66" s="139" t="s">
        <v>356</v>
      </c>
      <c r="AC66" s="139" t="s">
        <v>354</v>
      </c>
      <c r="AD66" s="367">
        <f t="shared" si="1"/>
        <v>1</v>
      </c>
      <c r="AE66" s="265"/>
      <c r="AF66" s="265"/>
      <c r="AG66" s="265"/>
      <c r="AH66" s="265"/>
      <c r="AI66" s="157">
        <v>0.0</v>
      </c>
      <c r="AJ66" s="157">
        <v>0.0</v>
      </c>
      <c r="AK66" s="157">
        <v>0.0</v>
      </c>
      <c r="AL66" s="157">
        <v>0.0</v>
      </c>
      <c r="AM66" s="157">
        <v>0.0</v>
      </c>
      <c r="AN66" s="157">
        <v>0.0</v>
      </c>
      <c r="AO66" s="157">
        <v>1.0</v>
      </c>
      <c r="AP66" s="157">
        <v>0.0</v>
      </c>
      <c r="AQ66" s="385">
        <f t="shared" si="2"/>
        <v>1</v>
      </c>
      <c r="AR66" s="385">
        <f t="shared" si="3"/>
        <v>1</v>
      </c>
    </row>
    <row r="67">
      <c r="A67" s="157">
        <v>66.0</v>
      </c>
      <c r="B67" s="157" t="s">
        <v>321</v>
      </c>
      <c r="C67" s="49" t="s">
        <v>1667</v>
      </c>
      <c r="D67" s="191" t="s">
        <v>783</v>
      </c>
      <c r="E67" s="631">
        <v>40444.0</v>
      </c>
      <c r="F67" s="265"/>
      <c r="G67" s="265"/>
      <c r="H67" s="265"/>
      <c r="I67" s="265"/>
      <c r="J67" s="265"/>
      <c r="K67" s="265"/>
      <c r="L67" s="265"/>
      <c r="M67" s="265"/>
      <c r="N67" s="265"/>
      <c r="O67" s="265"/>
      <c r="P67" s="265"/>
      <c r="Q67" s="265"/>
      <c r="R67" s="157">
        <v>0.0</v>
      </c>
      <c r="S67" s="157">
        <v>0.0</v>
      </c>
      <c r="T67" s="157">
        <v>0.0</v>
      </c>
      <c r="U67" s="157">
        <v>0.0</v>
      </c>
      <c r="V67" s="157" t="s">
        <v>354</v>
      </c>
      <c r="W67" s="157" t="s">
        <v>354</v>
      </c>
      <c r="X67" s="355" t="s">
        <v>365</v>
      </c>
      <c r="Y67" s="90" t="s">
        <v>413</v>
      </c>
      <c r="Z67" s="392" t="s">
        <v>361</v>
      </c>
      <c r="AA67" s="392" t="s">
        <v>361</v>
      </c>
      <c r="AB67" s="139" t="s">
        <v>356</v>
      </c>
      <c r="AC67" s="139" t="s">
        <v>354</v>
      </c>
      <c r="AD67" s="367">
        <f t="shared" si="1"/>
        <v>1</v>
      </c>
      <c r="AE67" s="265"/>
      <c r="AF67" s="265"/>
      <c r="AG67" s="265"/>
      <c r="AH67" s="265"/>
      <c r="AI67" s="157">
        <v>0.0</v>
      </c>
      <c r="AJ67" s="157">
        <v>0.0</v>
      </c>
      <c r="AK67" s="157">
        <v>0.0</v>
      </c>
      <c r="AL67" s="157">
        <v>0.0</v>
      </c>
      <c r="AM67" s="157">
        <v>1.0</v>
      </c>
      <c r="AN67" s="157">
        <v>0.0</v>
      </c>
      <c r="AO67" s="157">
        <v>0.0</v>
      </c>
      <c r="AP67" s="157">
        <v>0.0</v>
      </c>
      <c r="AQ67" s="385">
        <f t="shared" si="2"/>
        <v>1</v>
      </c>
      <c r="AR67" s="385">
        <f t="shared" si="3"/>
        <v>1</v>
      </c>
    </row>
    <row r="68">
      <c r="A68" s="157">
        <v>67.0</v>
      </c>
      <c r="B68" s="157" t="s">
        <v>304</v>
      </c>
      <c r="C68" s="49" t="s">
        <v>666</v>
      </c>
      <c r="D68" s="18" t="s">
        <v>667</v>
      </c>
      <c r="E68" s="631">
        <v>40444.0</v>
      </c>
      <c r="F68" s="265"/>
      <c r="G68" s="265"/>
      <c r="H68" s="265"/>
      <c r="I68" s="265"/>
      <c r="J68" s="265"/>
      <c r="K68" s="265"/>
      <c r="L68" s="265"/>
      <c r="M68" s="265"/>
      <c r="N68" s="265"/>
      <c r="O68" s="265"/>
      <c r="P68" s="265"/>
      <c r="Q68" s="265"/>
      <c r="R68" s="157">
        <v>0.0</v>
      </c>
      <c r="S68" s="157">
        <v>0.0</v>
      </c>
      <c r="T68" s="157">
        <v>0.0</v>
      </c>
      <c r="U68" s="157">
        <v>0.0</v>
      </c>
      <c r="V68" s="157" t="s">
        <v>354</v>
      </c>
      <c r="W68" s="157" t="s">
        <v>354</v>
      </c>
      <c r="X68" s="364" t="s">
        <v>361</v>
      </c>
      <c r="Y68" s="364" t="s">
        <v>361</v>
      </c>
      <c r="Z68" s="368" t="s">
        <v>356</v>
      </c>
      <c r="AA68" s="368" t="s">
        <v>354</v>
      </c>
      <c r="AB68" s="139" t="s">
        <v>356</v>
      </c>
      <c r="AC68" s="139" t="s">
        <v>354</v>
      </c>
      <c r="AD68" s="46">
        <f t="shared" si="1"/>
        <v>0</v>
      </c>
      <c r="AE68" s="265"/>
      <c r="AF68" s="265"/>
      <c r="AG68" s="265"/>
      <c r="AH68" s="265"/>
      <c r="AI68" s="157">
        <v>0.0</v>
      </c>
      <c r="AJ68" s="157">
        <v>0.0</v>
      </c>
      <c r="AK68" s="157">
        <v>0.0</v>
      </c>
      <c r="AL68" s="157">
        <v>0.0</v>
      </c>
      <c r="AM68" s="157">
        <v>0.0</v>
      </c>
      <c r="AN68" s="157">
        <v>0.0</v>
      </c>
      <c r="AO68" s="157">
        <v>0.0</v>
      </c>
      <c r="AP68" s="157">
        <v>0.0</v>
      </c>
      <c r="AQ68" s="265">
        <f t="shared" si="2"/>
        <v>0</v>
      </c>
      <c r="AR68" s="265">
        <f t="shared" si="3"/>
        <v>0</v>
      </c>
    </row>
    <row r="69">
      <c r="A69" s="157">
        <v>68.0</v>
      </c>
      <c r="B69" s="157" t="s">
        <v>326</v>
      </c>
      <c r="C69" s="49" t="s">
        <v>947</v>
      </c>
      <c r="D69" s="18" t="s">
        <v>1665</v>
      </c>
      <c r="E69" s="631">
        <v>40444.0</v>
      </c>
      <c r="F69" s="265"/>
      <c r="G69" s="265"/>
      <c r="H69" s="265"/>
      <c r="I69" s="265"/>
      <c r="J69" s="265"/>
      <c r="K69" s="265"/>
      <c r="L69" s="265"/>
      <c r="M69" s="265"/>
      <c r="N69" s="265"/>
      <c r="O69" s="265"/>
      <c r="P69" s="265"/>
      <c r="Q69" s="265"/>
      <c r="R69" s="157">
        <v>0.0</v>
      </c>
      <c r="S69" s="157">
        <v>0.0</v>
      </c>
      <c r="T69" s="157">
        <v>0.0</v>
      </c>
      <c r="U69" s="157">
        <v>0.0</v>
      </c>
      <c r="V69" s="157" t="s">
        <v>354</v>
      </c>
      <c r="W69" s="157" t="s">
        <v>354</v>
      </c>
      <c r="X69" s="364" t="s">
        <v>361</v>
      </c>
      <c r="Y69" s="364" t="s">
        <v>361</v>
      </c>
      <c r="Z69" s="368" t="s">
        <v>356</v>
      </c>
      <c r="AA69" s="368" t="s">
        <v>354</v>
      </c>
      <c r="AB69" s="139" t="s">
        <v>356</v>
      </c>
      <c r="AC69" s="139" t="s">
        <v>354</v>
      </c>
      <c r="AD69" s="46">
        <f t="shared" si="1"/>
        <v>0</v>
      </c>
      <c r="AE69" s="265"/>
      <c r="AF69" s="265"/>
      <c r="AG69" s="265"/>
      <c r="AI69" s="157">
        <v>0.0</v>
      </c>
      <c r="AJ69" s="157">
        <v>0.0</v>
      </c>
      <c r="AK69" s="157">
        <v>0.0</v>
      </c>
      <c r="AL69" s="157">
        <v>0.0</v>
      </c>
      <c r="AM69" s="157">
        <v>0.0</v>
      </c>
      <c r="AN69" s="157">
        <v>0.0</v>
      </c>
      <c r="AO69" s="157">
        <v>0.0</v>
      </c>
      <c r="AP69" s="157">
        <v>0.0</v>
      </c>
      <c r="AQ69" s="265">
        <f t="shared" si="2"/>
        <v>0</v>
      </c>
      <c r="AR69" s="265">
        <f t="shared" si="3"/>
        <v>0</v>
      </c>
    </row>
    <row r="70">
      <c r="A70" s="157">
        <v>69.0</v>
      </c>
      <c r="B70" s="157" t="s">
        <v>293</v>
      </c>
      <c r="C70" s="49" t="s">
        <v>816</v>
      </c>
      <c r="D70" s="18" t="s">
        <v>817</v>
      </c>
      <c r="E70" s="631">
        <v>40444.0</v>
      </c>
      <c r="F70" s="265"/>
      <c r="G70" s="265"/>
      <c r="H70" s="265"/>
      <c r="I70" s="265"/>
      <c r="J70" s="265"/>
      <c r="K70" s="265"/>
      <c r="L70" s="265"/>
      <c r="M70" s="265"/>
      <c r="N70" s="265"/>
      <c r="O70" s="265"/>
      <c r="P70" s="265"/>
      <c r="Q70" s="265"/>
      <c r="R70" s="157">
        <v>0.0</v>
      </c>
      <c r="S70" s="157">
        <v>0.0</v>
      </c>
      <c r="T70" s="157">
        <v>0.0</v>
      </c>
      <c r="U70" s="157">
        <v>0.0</v>
      </c>
      <c r="V70" s="157" t="s">
        <v>354</v>
      </c>
      <c r="W70" s="157" t="s">
        <v>354</v>
      </c>
      <c r="X70" s="384" t="s">
        <v>356</v>
      </c>
      <c r="Y70" s="384" t="s">
        <v>354</v>
      </c>
      <c r="Z70" s="368" t="s">
        <v>356</v>
      </c>
      <c r="AA70" s="368" t="s">
        <v>354</v>
      </c>
      <c r="AB70" s="139" t="s">
        <v>356</v>
      </c>
      <c r="AC70" s="139" t="s">
        <v>354</v>
      </c>
      <c r="AD70" s="46">
        <f t="shared" si="1"/>
        <v>0</v>
      </c>
      <c r="AE70" s="265"/>
      <c r="AF70" s="265"/>
      <c r="AG70" s="265"/>
      <c r="AI70" s="157">
        <v>0.0</v>
      </c>
      <c r="AJ70" s="157">
        <v>0.0</v>
      </c>
      <c r="AK70" s="157">
        <v>0.0</v>
      </c>
      <c r="AL70" s="157">
        <v>0.0</v>
      </c>
      <c r="AM70" s="157">
        <v>0.0</v>
      </c>
      <c r="AN70" s="157">
        <v>0.0</v>
      </c>
      <c r="AO70" s="157">
        <v>0.0</v>
      </c>
      <c r="AP70" s="157">
        <v>0.0</v>
      </c>
      <c r="AQ70" s="265">
        <f t="shared" si="2"/>
        <v>0</v>
      </c>
      <c r="AR70" s="265">
        <f t="shared" si="3"/>
        <v>0</v>
      </c>
    </row>
    <row r="71">
      <c r="A71" s="235" t="s">
        <v>356</v>
      </c>
      <c r="B71" s="235" t="s">
        <v>354</v>
      </c>
      <c r="C71" s="235" t="s">
        <v>354</v>
      </c>
      <c r="D71" s="235" t="s">
        <v>354</v>
      </c>
      <c r="E71" s="157" t="s">
        <v>354</v>
      </c>
      <c r="F71" s="265"/>
      <c r="G71" s="265"/>
      <c r="H71" s="265"/>
      <c r="I71" s="265"/>
      <c r="J71" s="265"/>
      <c r="K71" s="265"/>
      <c r="L71" s="265"/>
      <c r="M71" s="265"/>
      <c r="N71" s="265"/>
      <c r="O71" s="265"/>
      <c r="P71" s="265"/>
      <c r="Q71" s="265"/>
      <c r="R71" s="157">
        <v>0.0</v>
      </c>
      <c r="S71" s="157">
        <v>0.0</v>
      </c>
      <c r="T71" s="157">
        <v>0.0</v>
      </c>
      <c r="U71" s="157">
        <v>0.0</v>
      </c>
      <c r="V71" s="157" t="s">
        <v>354</v>
      </c>
      <c r="W71" s="157" t="s">
        <v>354</v>
      </c>
      <c r="X71" s="384" t="s">
        <v>356</v>
      </c>
      <c r="Y71" s="384" t="s">
        <v>354</v>
      </c>
      <c r="Z71" s="368" t="s">
        <v>356</v>
      </c>
      <c r="AA71" s="368" t="s">
        <v>354</v>
      </c>
      <c r="AB71" s="139" t="s">
        <v>356</v>
      </c>
      <c r="AC71" s="139" t="s">
        <v>354</v>
      </c>
      <c r="AD71" s="46">
        <f t="shared" si="1"/>
        <v>0</v>
      </c>
      <c r="AE71" s="265"/>
      <c r="AF71" s="265"/>
      <c r="AG71" s="265"/>
      <c r="AH71" s="235" t="s">
        <v>1507</v>
      </c>
      <c r="AI71" s="265">
        <f t="shared" ref="AI71:AP71" si="4">sum(AI2:AI70)</f>
        <v>0</v>
      </c>
      <c r="AJ71" s="265">
        <f t="shared" si="4"/>
        <v>0</v>
      </c>
      <c r="AK71" s="265">
        <f t="shared" si="4"/>
        <v>7</v>
      </c>
      <c r="AL71" s="265">
        <f t="shared" si="4"/>
        <v>4</v>
      </c>
      <c r="AM71" s="265">
        <f t="shared" si="4"/>
        <v>33</v>
      </c>
      <c r="AN71" s="265">
        <f t="shared" si="4"/>
        <v>54</v>
      </c>
      <c r="AO71" s="265">
        <f t="shared" si="4"/>
        <v>8</v>
      </c>
      <c r="AP71" s="265">
        <f t="shared" si="4"/>
        <v>0</v>
      </c>
      <c r="AQ71" s="265">
        <f t="shared" si="2"/>
        <v>106</v>
      </c>
      <c r="AR71" s="265"/>
    </row>
    <row r="72">
      <c r="A72" s="235" t="s">
        <v>365</v>
      </c>
      <c r="B72" s="235" t="s">
        <v>354</v>
      </c>
      <c r="C72" s="235" t="s">
        <v>354</v>
      </c>
      <c r="D72" s="235" t="s">
        <v>354</v>
      </c>
      <c r="E72" s="157" t="s">
        <v>354</v>
      </c>
      <c r="F72" s="265"/>
      <c r="G72" s="265"/>
      <c r="H72" s="265"/>
      <c r="I72" s="265"/>
      <c r="J72" s="265"/>
      <c r="K72" s="265"/>
      <c r="L72" s="265"/>
      <c r="M72" s="265"/>
      <c r="N72" s="265"/>
      <c r="O72" s="265"/>
      <c r="P72" s="265"/>
      <c r="Q72" s="265"/>
      <c r="R72" s="140">
        <v>16.88</v>
      </c>
      <c r="S72" s="140">
        <v>28.31</v>
      </c>
      <c r="T72" s="140">
        <v>19.47</v>
      </c>
      <c r="U72" s="140">
        <v>33.86</v>
      </c>
      <c r="V72" s="140" t="s">
        <v>365</v>
      </c>
      <c r="W72" s="157" t="s">
        <v>1399</v>
      </c>
      <c r="X72" s="355" t="s">
        <v>365</v>
      </c>
      <c r="Y72" s="359" t="s">
        <v>1400</v>
      </c>
      <c r="Z72" s="356" t="s">
        <v>365</v>
      </c>
      <c r="AA72" s="368" t="s">
        <v>1400</v>
      </c>
      <c r="AB72" s="144" t="s">
        <v>365</v>
      </c>
      <c r="AC72" s="139" t="s">
        <v>1400</v>
      </c>
      <c r="AD72" s="46">
        <f t="shared" si="1"/>
        <v>4</v>
      </c>
      <c r="AE72" s="265"/>
      <c r="AF72" s="265"/>
      <c r="AG72" s="265"/>
      <c r="AH72" s="235" t="s">
        <v>1406</v>
      </c>
      <c r="AI72" s="381">
        <f t="shared" ref="AI72:AP72" si="5">AI71/$AQ$71</f>
        <v>0</v>
      </c>
      <c r="AJ72" s="381">
        <f t="shared" si="5"/>
        <v>0</v>
      </c>
      <c r="AK72" s="381">
        <f t="shared" si="5"/>
        <v>0.06603773585</v>
      </c>
      <c r="AL72" s="381">
        <f t="shared" si="5"/>
        <v>0.03773584906</v>
      </c>
      <c r="AM72" s="381">
        <f t="shared" si="5"/>
        <v>0.3113207547</v>
      </c>
      <c r="AN72" s="381">
        <f t="shared" si="5"/>
        <v>0.5094339623</v>
      </c>
      <c r="AO72" s="381">
        <f t="shared" si="5"/>
        <v>0.07547169811</v>
      </c>
      <c r="AP72" s="381">
        <f t="shared" si="5"/>
        <v>0</v>
      </c>
      <c r="AQ72" s="381">
        <f t="shared" si="2"/>
        <v>1</v>
      </c>
      <c r="AR72" s="381"/>
    </row>
    <row r="73">
      <c r="A73" s="265"/>
      <c r="B73" s="265"/>
      <c r="C73" s="265"/>
      <c r="D73" s="265"/>
      <c r="E73" s="265"/>
      <c r="F73" s="265"/>
      <c r="G73" s="265"/>
      <c r="H73" s="265"/>
      <c r="I73" s="265"/>
      <c r="J73" s="265"/>
      <c r="K73" s="265"/>
      <c r="L73" s="265"/>
      <c r="M73" s="265"/>
      <c r="N73" s="265"/>
      <c r="O73" s="265"/>
      <c r="P73" s="265"/>
      <c r="Q73" s="265"/>
      <c r="R73" s="265"/>
      <c r="S73" s="265"/>
      <c r="T73" s="265"/>
      <c r="U73" s="265"/>
      <c r="V73" s="265"/>
      <c r="W73" s="265"/>
      <c r="X73" s="265"/>
      <c r="Y73" s="265"/>
      <c r="Z73" s="265"/>
      <c r="AA73" s="265"/>
      <c r="AB73" s="265"/>
      <c r="AC73" s="265"/>
      <c r="AD73" s="265"/>
      <c r="AE73" s="265"/>
      <c r="AF73" s="265"/>
      <c r="AG73" s="265"/>
      <c r="AH73" s="265"/>
      <c r="AI73" s="265"/>
      <c r="AJ73" s="265"/>
      <c r="AK73" s="265"/>
      <c r="AL73" s="265"/>
      <c r="AM73" s="265"/>
      <c r="AN73" s="265"/>
      <c r="AO73" s="265"/>
      <c r="AP73" s="265"/>
      <c r="AQ73" s="265"/>
      <c r="AR73" s="265"/>
    </row>
    <row r="74">
      <c r="A74" s="265"/>
      <c r="B74" s="265"/>
      <c r="C74" s="265"/>
      <c r="D74" s="265"/>
      <c r="E74" s="265"/>
      <c r="F74" s="265"/>
      <c r="G74" s="265"/>
      <c r="H74" s="265"/>
      <c r="I74" s="265"/>
      <c r="J74" s="265"/>
      <c r="K74" s="265"/>
      <c r="L74" s="265"/>
      <c r="M74" s="265"/>
      <c r="N74" s="265"/>
      <c r="O74" s="265"/>
      <c r="P74" s="265"/>
      <c r="Q74" s="265"/>
      <c r="R74" s="46">
        <f>COUNTIF(R2:R70,"&gt;0")</f>
        <v>15</v>
      </c>
      <c r="S74" s="265"/>
      <c r="T74" s="265"/>
      <c r="U74" s="46">
        <f>COUNTIF(U2:U70,"&gt;0")</f>
        <v>2</v>
      </c>
      <c r="V74" s="46"/>
      <c r="W74" s="46"/>
      <c r="X74" s="46">
        <f>COUNTIF(X2:X70,"POS")</f>
        <v>31</v>
      </c>
      <c r="Y74" s="46"/>
      <c r="Z74" s="46">
        <f>COUNTIF(Z2:Z70,"POS")</f>
        <v>39</v>
      </c>
      <c r="AA74" s="46"/>
      <c r="AB74" s="46">
        <f>COUNTIF(AB2:AB70,"POS")</f>
        <v>36</v>
      </c>
      <c r="AC74" s="46"/>
      <c r="AD74" s="372">
        <f>COUNTIF($AD$2:$AD$70,"&gt;0")-2</f>
        <v>44</v>
      </c>
      <c r="AE74" s="372">
        <f>COUNTIF($AD$2:$AD$70,"&gt;1")</f>
        <v>36</v>
      </c>
      <c r="AF74" s="372">
        <f>COUNTIF($AD$2:$AD$70,"&gt;2")</f>
        <v>27</v>
      </c>
      <c r="AG74" s="372">
        <f>COUNTIF($AD$2:$AD$70,"&gt;3")</f>
        <v>12</v>
      </c>
      <c r="AH74" s="373">
        <f>countif(AR2:AR70,"&gt;1")</f>
        <v>5</v>
      </c>
      <c r="AI74" s="157">
        <v>0.0</v>
      </c>
      <c r="AJ74" s="157">
        <v>0.0</v>
      </c>
      <c r="AK74" s="157">
        <v>1.0</v>
      </c>
      <c r="AL74" s="157">
        <v>1.0</v>
      </c>
      <c r="AM74" s="157">
        <v>12.0</v>
      </c>
      <c r="AN74" s="157">
        <v>20.0</v>
      </c>
      <c r="AO74" s="157">
        <v>5.0</v>
      </c>
      <c r="AP74" s="157">
        <v>0.0</v>
      </c>
      <c r="AQ74" s="265"/>
      <c r="AR74" s="265"/>
    </row>
    <row r="75">
      <c r="A75" s="265"/>
      <c r="B75" s="265"/>
      <c r="C75" s="265"/>
      <c r="D75" s="265"/>
      <c r="E75" s="265"/>
      <c r="F75" s="265"/>
      <c r="G75" s="265"/>
      <c r="H75" s="265"/>
      <c r="I75" s="265"/>
      <c r="J75" s="265"/>
      <c r="K75" s="265"/>
      <c r="L75" s="265"/>
      <c r="M75" s="265"/>
      <c r="N75" s="265"/>
      <c r="O75" s="265"/>
      <c r="P75" s="265"/>
      <c r="Q75" s="265"/>
      <c r="R75" s="46">
        <f>COUNT($A$2:$A$70)</f>
        <v>69</v>
      </c>
      <c r="S75" s="265"/>
      <c r="T75" s="265"/>
      <c r="U75" s="46">
        <f>COUNT($A$2:$A$70)</f>
        <v>69</v>
      </c>
      <c r="V75" s="46"/>
      <c r="W75" s="46"/>
      <c r="X75" s="46">
        <f>COUNT($A$2:$A$70)</f>
        <v>69</v>
      </c>
      <c r="Y75" s="46"/>
      <c r="Z75" s="46">
        <f>COUNT($A$2:$A$70)</f>
        <v>69</v>
      </c>
      <c r="AA75" s="46"/>
      <c r="AB75" s="46">
        <f>COUNT($A$2:$A$70)</f>
        <v>69</v>
      </c>
      <c r="AC75" s="46"/>
      <c r="AD75" s="372">
        <f t="shared" ref="AD75:AH75" si="6">COUNT($A$2:$A$70)</f>
        <v>69</v>
      </c>
      <c r="AE75" s="372">
        <f t="shared" si="6"/>
        <v>69</v>
      </c>
      <c r="AF75" s="372">
        <f t="shared" si="6"/>
        <v>69</v>
      </c>
      <c r="AG75" s="372">
        <f t="shared" si="6"/>
        <v>69</v>
      </c>
      <c r="AH75" s="372">
        <f t="shared" si="6"/>
        <v>69</v>
      </c>
      <c r="AI75" s="265"/>
      <c r="AJ75" s="265"/>
      <c r="AK75" s="265"/>
      <c r="AL75" s="265"/>
      <c r="AM75" s="265"/>
      <c r="AN75" s="265"/>
      <c r="AO75" s="265"/>
      <c r="AP75" s="265"/>
      <c r="AQ75" s="265"/>
      <c r="AR75" s="265"/>
    </row>
    <row r="76">
      <c r="A76" s="265"/>
      <c r="B76" s="265"/>
      <c r="C76" s="265"/>
      <c r="D76" s="265"/>
      <c r="E76" s="265"/>
      <c r="F76" s="265"/>
      <c r="G76" s="265"/>
      <c r="H76" s="265"/>
      <c r="I76" s="265"/>
      <c r="J76" s="265"/>
      <c r="K76" s="265"/>
      <c r="L76" s="265"/>
      <c r="M76" s="265"/>
      <c r="N76" s="265"/>
      <c r="O76" s="265"/>
      <c r="P76" s="265"/>
      <c r="Q76" s="265"/>
      <c r="R76" s="374">
        <f>R74/R75</f>
        <v>0.2173913043</v>
      </c>
      <c r="S76" s="265"/>
      <c r="T76" s="265"/>
      <c r="U76" s="374">
        <f>U74/U75</f>
        <v>0.02898550725</v>
      </c>
      <c r="V76" s="374"/>
      <c r="W76" s="374"/>
      <c r="X76" s="374">
        <f>X74/X75</f>
        <v>0.4492753623</v>
      </c>
      <c r="Y76" s="46"/>
      <c r="Z76" s="374">
        <f>Z74/Z75</f>
        <v>0.5652173913</v>
      </c>
      <c r="AA76" s="46"/>
      <c r="AB76" s="374">
        <f>AB74/AB75</f>
        <v>0.5217391304</v>
      </c>
      <c r="AC76" s="46"/>
      <c r="AD76" s="564">
        <f t="shared" ref="AD76:AH76" si="7">AD74/AD75</f>
        <v>0.6376811594</v>
      </c>
      <c r="AE76" s="564">
        <f t="shared" si="7"/>
        <v>0.5217391304</v>
      </c>
      <c r="AF76" s="641">
        <f t="shared" si="7"/>
        <v>0.3913043478</v>
      </c>
      <c r="AG76" s="641">
        <f t="shared" si="7"/>
        <v>0.1739130435</v>
      </c>
      <c r="AH76" s="621">
        <f t="shared" si="7"/>
        <v>0.07246376812</v>
      </c>
      <c r="AI76" s="265"/>
      <c r="AJ76" s="265"/>
      <c r="AK76" s="265"/>
      <c r="AL76" s="265"/>
      <c r="AM76" s="265"/>
      <c r="AN76" s="265"/>
      <c r="AO76" s="265"/>
      <c r="AP76" s="265"/>
      <c r="AQ76" s="265"/>
      <c r="AR76" s="265"/>
    </row>
    <row r="77">
      <c r="A77" s="265"/>
      <c r="B77" s="265"/>
      <c r="C77" s="265"/>
      <c r="D77" s="265"/>
      <c r="E77" s="265"/>
      <c r="F77" s="265"/>
      <c r="G77" s="265"/>
      <c r="H77" s="265"/>
      <c r="I77" s="265"/>
      <c r="J77" s="265"/>
      <c r="K77" s="265"/>
      <c r="L77" s="265"/>
      <c r="M77" s="265"/>
      <c r="N77" s="265"/>
      <c r="O77" s="265"/>
      <c r="P77" s="265"/>
      <c r="Q77" s="265"/>
      <c r="R77" s="265"/>
      <c r="S77" s="265"/>
      <c r="T77" s="265"/>
      <c r="U77" s="46"/>
      <c r="V77" s="46"/>
      <c r="W77" s="46"/>
      <c r="X77" s="46"/>
      <c r="Y77" s="46"/>
      <c r="Z77" s="46"/>
      <c r="AA77" s="46"/>
      <c r="AB77" s="46"/>
      <c r="AC77" s="46"/>
      <c r="AD77" s="372" t="s">
        <v>1401</v>
      </c>
      <c r="AE77" s="372" t="s">
        <v>1402</v>
      </c>
      <c r="AF77" s="372" t="s">
        <v>1403</v>
      </c>
      <c r="AG77" s="378" t="s">
        <v>1404</v>
      </c>
      <c r="AH77" s="373" t="s">
        <v>1376</v>
      </c>
      <c r="AI77" s="265"/>
      <c r="AJ77" s="265"/>
      <c r="AK77" s="265"/>
      <c r="AL77" s="265"/>
      <c r="AM77" s="265"/>
      <c r="AN77" s="265"/>
      <c r="AO77" s="265"/>
      <c r="AP77" s="265"/>
      <c r="AQ77" s="265"/>
      <c r="AR77" s="265"/>
    </row>
    <row r="78">
      <c r="A78" s="265"/>
      <c r="B78" s="265"/>
      <c r="C78" s="265"/>
      <c r="D78" s="265"/>
      <c r="E78" s="265"/>
      <c r="F78" s="265"/>
      <c r="G78" s="265"/>
      <c r="H78" s="265"/>
      <c r="I78" s="265"/>
      <c r="J78" s="265"/>
      <c r="K78" s="265"/>
      <c r="L78" s="265"/>
      <c r="M78" s="265"/>
      <c r="N78" s="265"/>
      <c r="O78" s="265"/>
      <c r="P78" s="265"/>
      <c r="Q78" s="265"/>
      <c r="R78" s="265"/>
      <c r="S78" s="265"/>
      <c r="T78" s="265"/>
      <c r="U78" s="265"/>
      <c r="V78" s="265"/>
      <c r="W78" s="265"/>
      <c r="X78" s="265"/>
      <c r="Y78" s="265"/>
      <c r="Z78" s="265"/>
      <c r="AA78" s="265"/>
      <c r="AB78" s="265"/>
      <c r="AC78" s="265"/>
      <c r="AD78" s="265"/>
      <c r="AE78" s="265"/>
      <c r="AF78" s="265"/>
      <c r="AG78" s="265"/>
      <c r="AH78" s="265"/>
      <c r="AI78" s="265"/>
      <c r="AJ78" s="265"/>
      <c r="AK78" s="265"/>
      <c r="AL78" s="265"/>
      <c r="AM78" s="265"/>
      <c r="AN78" s="265"/>
      <c r="AO78" s="265"/>
      <c r="AP78" s="265"/>
      <c r="AQ78" s="265"/>
      <c r="AR78" s="265"/>
    </row>
    <row r="79">
      <c r="A79" s="265"/>
      <c r="B79" s="265"/>
      <c r="C79" s="265"/>
      <c r="H79" s="331" t="s">
        <v>1497</v>
      </c>
      <c r="I79" s="345" t="s">
        <v>389</v>
      </c>
      <c r="J79" s="346" t="s">
        <v>420</v>
      </c>
      <c r="K79" s="347" t="s">
        <v>358</v>
      </c>
      <c r="L79" s="348" t="s">
        <v>363</v>
      </c>
      <c r="M79" s="349" t="s">
        <v>413</v>
      </c>
      <c r="N79" s="350" t="s">
        <v>357</v>
      </c>
      <c r="O79" s="351" t="s">
        <v>380</v>
      </c>
      <c r="P79" s="352" t="s">
        <v>387</v>
      </c>
      <c r="Q79" s="642" t="s">
        <v>1427</v>
      </c>
      <c r="R79" s="643" t="s">
        <v>1190</v>
      </c>
      <c r="S79" s="644" t="s">
        <v>1214</v>
      </c>
      <c r="T79" s="645" t="s">
        <v>1120</v>
      </c>
      <c r="U79" s="646" t="s">
        <v>1188</v>
      </c>
      <c r="V79" s="647" t="s">
        <v>1428</v>
      </c>
      <c r="W79" s="648" t="s">
        <v>1429</v>
      </c>
      <c r="X79" s="649" t="s">
        <v>1178</v>
      </c>
      <c r="Y79" s="650" t="s">
        <v>1145</v>
      </c>
      <c r="Z79" s="651" t="s">
        <v>1301</v>
      </c>
      <c r="AA79" s="652" t="s">
        <v>1130</v>
      </c>
      <c r="AB79" s="653" t="s">
        <v>1314</v>
      </c>
      <c r="AC79" s="654" t="s">
        <v>1431</v>
      </c>
      <c r="AD79" s="655" t="s">
        <v>1095</v>
      </c>
      <c r="AE79" s="656" t="s">
        <v>1103</v>
      </c>
      <c r="AF79" s="657" t="s">
        <v>1090</v>
      </c>
      <c r="AG79" s="658" t="s">
        <v>1296</v>
      </c>
      <c r="AH79" s="659" t="s">
        <v>1270</v>
      </c>
      <c r="AI79" s="660" t="s">
        <v>1115</v>
      </c>
      <c r="AJ79" s="661" t="s">
        <v>1089</v>
      </c>
      <c r="AK79" s="662" t="s">
        <v>1182</v>
      </c>
      <c r="AL79" s="663" t="s">
        <v>1298</v>
      </c>
      <c r="AM79" s="664" t="s">
        <v>1163</v>
      </c>
      <c r="AN79" s="665" t="s">
        <v>1223</v>
      </c>
      <c r="AO79" s="666" t="s">
        <v>1441</v>
      </c>
      <c r="AP79" s="667" t="s">
        <v>1129</v>
      </c>
      <c r="AQ79" s="668" t="s">
        <v>1447</v>
      </c>
      <c r="AR79" s="669" t="s">
        <v>1454</v>
      </c>
    </row>
    <row r="80">
      <c r="A80" s="265"/>
      <c r="B80" s="265"/>
      <c r="C80" s="265"/>
      <c r="H80" s="468">
        <f>correl(I80:P80,AI71:AP71)</f>
        <v>0.974962522</v>
      </c>
      <c r="I80" s="80">
        <f t="shared" ref="I80:P80" si="8">countif(AI2:AI70,"&gt;0")</f>
        <v>0</v>
      </c>
      <c r="J80" s="80">
        <f t="shared" si="8"/>
        <v>0</v>
      </c>
      <c r="K80" s="80">
        <f t="shared" si="8"/>
        <v>4</v>
      </c>
      <c r="L80" s="80">
        <f t="shared" si="8"/>
        <v>2</v>
      </c>
      <c r="M80" s="80">
        <f t="shared" si="8"/>
        <v>12</v>
      </c>
      <c r="N80" s="80">
        <f t="shared" si="8"/>
        <v>23</v>
      </c>
      <c r="O80" s="80">
        <f t="shared" si="8"/>
        <v>8</v>
      </c>
      <c r="P80" s="80">
        <f t="shared" si="8"/>
        <v>0</v>
      </c>
      <c r="Q80" s="80">
        <f t="shared" ref="Q80:W80" si="9">countifs($AI$2:$AI$70,"&gt;0",AJ2:AJ70,"&gt;0")</f>
        <v>0</v>
      </c>
      <c r="R80" s="80">
        <f t="shared" si="9"/>
        <v>0</v>
      </c>
      <c r="S80" s="80">
        <f t="shared" si="9"/>
        <v>0</v>
      </c>
      <c r="T80" s="80">
        <f t="shared" si="9"/>
        <v>0</v>
      </c>
      <c r="U80" s="80">
        <f t="shared" si="9"/>
        <v>0</v>
      </c>
      <c r="V80" s="80">
        <f t="shared" si="9"/>
        <v>0</v>
      </c>
      <c r="W80" s="80">
        <f t="shared" si="9"/>
        <v>0</v>
      </c>
      <c r="X80" s="80">
        <f t="shared" ref="X80:AC80" si="10">countifs($AJ$2:$AJ$70,"&gt;0",AK2:AK70,"&gt;0")</f>
        <v>0</v>
      </c>
      <c r="Y80" s="80">
        <f t="shared" si="10"/>
        <v>0</v>
      </c>
      <c r="Z80" s="80">
        <f t="shared" si="10"/>
        <v>0</v>
      </c>
      <c r="AA80" s="80">
        <f t="shared" si="10"/>
        <v>0</v>
      </c>
      <c r="AB80" s="80">
        <f t="shared" si="10"/>
        <v>0</v>
      </c>
      <c r="AC80" s="80">
        <f t="shared" si="10"/>
        <v>0</v>
      </c>
      <c r="AD80" s="80">
        <f t="shared" ref="AD80:AH80" si="11">countifs($AK$2:$AK$70,"&gt;0",AL2:AL70,"&gt;0")</f>
        <v>0</v>
      </c>
      <c r="AE80" s="80">
        <f t="shared" si="11"/>
        <v>0</v>
      </c>
      <c r="AF80" s="670">
        <f t="shared" si="11"/>
        <v>1</v>
      </c>
      <c r="AG80" s="670">
        <f t="shared" si="11"/>
        <v>2</v>
      </c>
      <c r="AH80" s="80">
        <f t="shared" si="11"/>
        <v>0</v>
      </c>
      <c r="AI80" s="80">
        <f t="shared" ref="AI80:AL80" si="12">countifs($AL$2:$AL$70,"&gt;0",AM2:AM70,"&gt;0")</f>
        <v>0</v>
      </c>
      <c r="AJ80" s="670">
        <f t="shared" si="12"/>
        <v>1</v>
      </c>
      <c r="AK80" s="80">
        <f t="shared" si="12"/>
        <v>0</v>
      </c>
      <c r="AL80" s="80">
        <f t="shared" si="12"/>
        <v>0</v>
      </c>
      <c r="AM80" s="80">
        <f t="shared" ref="AM80:AO80" si="13">countifs($AM$2:$AM$70,"&gt;0",AN2:AN70,"&gt;0")</f>
        <v>0</v>
      </c>
      <c r="AN80" s="80">
        <f t="shared" si="13"/>
        <v>0</v>
      </c>
      <c r="AO80" s="80">
        <f t="shared" si="13"/>
        <v>0</v>
      </c>
      <c r="AP80" s="670">
        <f t="shared" ref="AP80:AQ80" si="14">countifs($AN$2:$AN$70,"&gt;0",AO2:AO70,"&gt;0")</f>
        <v>1</v>
      </c>
      <c r="AQ80" s="80">
        <f t="shared" si="14"/>
        <v>0</v>
      </c>
      <c r="AR80" s="80">
        <f>countifs($AO$2:$AO$70,"&gt;0",AP2:AP70,"&gt;0")</f>
        <v>0</v>
      </c>
    </row>
    <row r="81">
      <c r="A81" s="265"/>
      <c r="B81" s="265"/>
      <c r="C81" s="265"/>
      <c r="I81" s="76">
        <f t="shared" ref="I81:P81" si="15">I80/sum($I$80:$P$80)</f>
        <v>0</v>
      </c>
      <c r="J81" s="76">
        <f t="shared" si="15"/>
        <v>0</v>
      </c>
      <c r="K81" s="76">
        <f t="shared" si="15"/>
        <v>0.08163265306</v>
      </c>
      <c r="L81" s="76">
        <f t="shared" si="15"/>
        <v>0.04081632653</v>
      </c>
      <c r="M81" s="76">
        <f t="shared" si="15"/>
        <v>0.2448979592</v>
      </c>
      <c r="N81" s="76">
        <f t="shared" si="15"/>
        <v>0.4693877551</v>
      </c>
      <c r="O81" s="76">
        <f t="shared" si="15"/>
        <v>0.1632653061</v>
      </c>
      <c r="P81" s="76">
        <f t="shared" si="15"/>
        <v>0</v>
      </c>
      <c r="Q81" s="80"/>
      <c r="R81" s="80"/>
      <c r="S81" s="80"/>
      <c r="T81" s="80"/>
      <c r="U81" s="80"/>
      <c r="V81" s="80"/>
      <c r="W81" s="80"/>
      <c r="X81" s="80"/>
      <c r="Y81" s="80"/>
      <c r="Z81" s="80"/>
      <c r="AA81" s="80"/>
      <c r="AB81" s="80"/>
      <c r="AC81" s="80"/>
      <c r="AD81" s="80"/>
      <c r="AE81" s="80"/>
      <c r="AF81" s="80"/>
      <c r="AG81" s="80"/>
      <c r="AH81" s="80"/>
      <c r="AI81" s="80"/>
      <c r="AJ81" s="80"/>
      <c r="AK81" s="80"/>
      <c r="AL81" s="80"/>
      <c r="AM81" s="80"/>
      <c r="AN81" s="80"/>
      <c r="AO81" s="80"/>
      <c r="AP81" s="80"/>
      <c r="AQ81" s="80"/>
      <c r="AR81" s="8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7.29" defaultRowHeight="15.0"/>
  <cols>
    <col customWidth="1" min="3" max="3" width="26.0"/>
    <col customWidth="1" min="12" max="12" width="8.29"/>
    <col customWidth="1" min="13" max="13" width="6.71"/>
    <col customWidth="1" min="14" max="14" width="8.43"/>
    <col customWidth="1" min="15" max="15" width="7.86"/>
    <col customWidth="1" min="16" max="16" width="9.57"/>
    <col customWidth="1" min="17" max="17" width="10.57"/>
    <col customWidth="1" min="18" max="18" width="19.43"/>
    <col customWidth="1" min="19" max="19" width="16.0"/>
    <col customWidth="1" min="20" max="20" width="22.71"/>
    <col customWidth="1" min="21" max="21" width="25.86"/>
    <col customWidth="1" min="22" max="22" width="25.71"/>
    <col customWidth="1" min="23" max="23" width="14.14"/>
    <col customWidth="1" min="24" max="24" width="16.0"/>
    <col customWidth="1" min="25" max="25" width="23.43"/>
    <col customWidth="1" min="26" max="26" width="18.43"/>
    <col customWidth="1" min="27" max="27" width="14.57"/>
    <col customWidth="1" min="28" max="28" width="9.71"/>
    <col customWidth="1" min="29" max="29" width="14.86"/>
    <col customWidth="1" min="30" max="30" width="26.86"/>
    <col customWidth="1" min="31" max="31" width="12.0"/>
    <col customWidth="1" min="32" max="32" width="18.43"/>
    <col customWidth="1" min="33" max="33" width="8.71"/>
    <col customWidth="1" min="34" max="36" width="9.43"/>
    <col customWidth="1" min="37" max="37" width="8.71"/>
    <col customWidth="1" min="38" max="39" width="8.14"/>
    <col customWidth="1" min="40" max="41" width="8.71"/>
    <col customWidth="1" min="42" max="42" width="8.14"/>
    <col customWidth="1" min="43" max="44" width="8.71"/>
    <col customWidth="1" min="45" max="46" width="9.14"/>
    <col customWidth="1" min="47" max="47" width="11.29"/>
  </cols>
  <sheetData>
    <row r="1">
      <c r="A1" s="340" t="s">
        <v>1355</v>
      </c>
      <c r="B1" s="309" t="s">
        <v>1356</v>
      </c>
      <c r="C1" s="309" t="s">
        <v>1246</v>
      </c>
      <c r="D1" s="310" t="s">
        <v>331</v>
      </c>
      <c r="E1" s="543" t="s">
        <v>1357</v>
      </c>
      <c r="F1" s="372" t="s">
        <v>1</v>
      </c>
      <c r="G1" s="372" t="s">
        <v>4</v>
      </c>
      <c r="H1" s="340" t="s">
        <v>1358</v>
      </c>
      <c r="I1" s="310" t="s">
        <v>1359</v>
      </c>
      <c r="J1" s="310" t="s">
        <v>336</v>
      </c>
      <c r="K1" s="310" t="s">
        <v>337</v>
      </c>
      <c r="L1" s="311" t="s">
        <v>332</v>
      </c>
      <c r="M1" s="311" t="s">
        <v>1360</v>
      </c>
      <c r="N1" s="311" t="s">
        <v>1593</v>
      </c>
      <c r="O1" s="311" t="s">
        <v>1594</v>
      </c>
      <c r="P1" s="311" t="s">
        <v>1595</v>
      </c>
      <c r="Q1" s="543" t="s">
        <v>339</v>
      </c>
      <c r="R1" s="339" t="s">
        <v>1361</v>
      </c>
      <c r="S1" s="339" t="s">
        <v>1362</v>
      </c>
      <c r="T1" s="339" t="s">
        <v>1363</v>
      </c>
      <c r="U1" s="339" t="s">
        <v>1627</v>
      </c>
      <c r="V1" s="339" t="s">
        <v>1628</v>
      </c>
      <c r="W1" s="339" t="s">
        <v>1364</v>
      </c>
      <c r="X1" s="340" t="s">
        <v>1668</v>
      </c>
      <c r="Y1" s="340" t="s">
        <v>1366</v>
      </c>
      <c r="Z1" s="340" t="s">
        <v>1367</v>
      </c>
      <c r="AA1" s="341" t="s">
        <v>1368</v>
      </c>
      <c r="AB1" s="341" t="s">
        <v>1369</v>
      </c>
      <c r="AC1" s="342" t="s">
        <v>1370</v>
      </c>
      <c r="AD1" s="342" t="s">
        <v>1371</v>
      </c>
      <c r="AE1" s="343" t="s">
        <v>1372</v>
      </c>
      <c r="AF1" s="344" t="s">
        <v>1373</v>
      </c>
      <c r="AG1" s="310" t="s">
        <v>1374</v>
      </c>
      <c r="AH1" s="182"/>
      <c r="AI1" s="265"/>
      <c r="AJ1" s="265"/>
      <c r="AK1" s="265"/>
      <c r="AL1" s="345" t="s">
        <v>389</v>
      </c>
      <c r="AM1" s="346" t="s">
        <v>420</v>
      </c>
      <c r="AN1" s="347" t="s">
        <v>358</v>
      </c>
      <c r="AO1" s="348" t="s">
        <v>363</v>
      </c>
      <c r="AP1" s="349" t="s">
        <v>413</v>
      </c>
      <c r="AQ1" s="350" t="s">
        <v>357</v>
      </c>
      <c r="AR1" s="351" t="s">
        <v>380</v>
      </c>
      <c r="AS1" s="352" t="s">
        <v>387</v>
      </c>
      <c r="AT1" s="353" t="s">
        <v>1375</v>
      </c>
      <c r="AU1" s="353" t="s">
        <v>1376</v>
      </c>
    </row>
    <row r="2">
      <c r="A2" s="157">
        <v>1.0</v>
      </c>
      <c r="B2" s="157" t="s">
        <v>280</v>
      </c>
      <c r="C2" s="46" t="s">
        <v>276</v>
      </c>
      <c r="D2" s="98" t="s">
        <v>932</v>
      </c>
      <c r="E2" s="631">
        <v>40487.0</v>
      </c>
      <c r="F2" s="265"/>
      <c r="G2" s="265"/>
      <c r="H2" s="265"/>
      <c r="I2" s="265"/>
      <c r="J2" s="265"/>
      <c r="K2" s="265"/>
      <c r="L2" s="265"/>
      <c r="M2" s="265"/>
      <c r="N2" s="265"/>
      <c r="O2" s="265"/>
      <c r="P2" s="265"/>
      <c r="Q2" s="265"/>
      <c r="R2" s="140">
        <v>30.14</v>
      </c>
      <c r="S2" s="157">
        <v>0.0</v>
      </c>
      <c r="T2" s="551" t="s">
        <v>354</v>
      </c>
      <c r="U2" s="551" t="s">
        <v>354</v>
      </c>
      <c r="V2" s="551" t="s">
        <v>354</v>
      </c>
      <c r="W2" s="157">
        <v>0.0</v>
      </c>
      <c r="X2" s="157">
        <v>0.0</v>
      </c>
      <c r="Y2" s="157" t="s">
        <v>354</v>
      </c>
      <c r="Z2" s="157" t="s">
        <v>354</v>
      </c>
      <c r="AA2" s="355" t="s">
        <v>365</v>
      </c>
      <c r="AB2" s="90" t="s">
        <v>413</v>
      </c>
      <c r="AC2" s="356" t="s">
        <v>365</v>
      </c>
      <c r="AD2" s="90" t="s">
        <v>413</v>
      </c>
      <c r="AE2" s="144" t="s">
        <v>365</v>
      </c>
      <c r="AF2" s="90" t="s">
        <v>413</v>
      </c>
      <c r="AG2" s="357">
        <f t="shared" ref="AG2:AG70" si="1">sum(COUNTIF(AA2:AF2,"POS"),countif(R2,"&gt;0"))</f>
        <v>4</v>
      </c>
      <c r="AH2" s="265"/>
      <c r="AI2" s="265"/>
      <c r="AJ2" s="265"/>
      <c r="AK2" s="265"/>
      <c r="AL2" s="157">
        <v>0.0</v>
      </c>
      <c r="AM2" s="157">
        <v>0.0</v>
      </c>
      <c r="AN2" s="157">
        <v>0.0</v>
      </c>
      <c r="AO2" s="157">
        <v>0.0</v>
      </c>
      <c r="AP2" s="157">
        <v>3.0</v>
      </c>
      <c r="AQ2" s="157">
        <v>0.0</v>
      </c>
      <c r="AR2" s="157">
        <v>0.0</v>
      </c>
      <c r="AS2" s="157">
        <v>0.0</v>
      </c>
      <c r="AT2" s="388">
        <f t="shared" ref="AT2:AT70" si="2">sum(AL2:AS2)</f>
        <v>3</v>
      </c>
      <c r="AU2" s="388">
        <f t="shared" ref="AU2:AU68" si="3">countif(AL2:AS2,"&gt;0")</f>
        <v>1</v>
      </c>
    </row>
    <row r="3">
      <c r="A3" s="157">
        <v>2.0</v>
      </c>
      <c r="B3" s="157" t="s">
        <v>92</v>
      </c>
      <c r="C3" s="48" t="s">
        <v>88</v>
      </c>
      <c r="D3" s="98" t="s">
        <v>499</v>
      </c>
      <c r="E3" s="631">
        <v>40487.0</v>
      </c>
      <c r="F3" s="265"/>
      <c r="G3" s="265"/>
      <c r="H3" s="265"/>
      <c r="I3" s="265"/>
      <c r="J3" s="265"/>
      <c r="K3" s="265"/>
      <c r="L3" s="265"/>
      <c r="M3" s="265"/>
      <c r="N3" s="265"/>
      <c r="O3" s="265"/>
      <c r="P3" s="265"/>
      <c r="Q3" s="265"/>
      <c r="R3" s="157">
        <v>0.0</v>
      </c>
      <c r="S3" s="157">
        <v>0.0</v>
      </c>
      <c r="T3" s="551" t="s">
        <v>354</v>
      </c>
      <c r="U3" s="551" t="s">
        <v>354</v>
      </c>
      <c r="V3" s="551" t="s">
        <v>354</v>
      </c>
      <c r="W3" s="157">
        <v>0.0</v>
      </c>
      <c r="X3" s="157">
        <v>0.0</v>
      </c>
      <c r="Y3" s="157" t="s">
        <v>354</v>
      </c>
      <c r="Z3" s="157" t="s">
        <v>354</v>
      </c>
      <c r="AA3" s="355" t="s">
        <v>365</v>
      </c>
      <c r="AB3" s="40" t="s">
        <v>357</v>
      </c>
      <c r="AC3" s="356" t="s">
        <v>365</v>
      </c>
      <c r="AD3" s="40" t="s">
        <v>357</v>
      </c>
      <c r="AE3" s="144" t="s">
        <v>365</v>
      </c>
      <c r="AF3" s="40" t="s">
        <v>357</v>
      </c>
      <c r="AG3" s="357">
        <f t="shared" si="1"/>
        <v>3</v>
      </c>
      <c r="AH3" s="265"/>
      <c r="AI3" s="265"/>
      <c r="AJ3" s="265"/>
      <c r="AK3" s="265"/>
      <c r="AL3" s="157">
        <v>0.0</v>
      </c>
      <c r="AM3" s="157">
        <v>0.0</v>
      </c>
      <c r="AN3" s="157">
        <v>0.0</v>
      </c>
      <c r="AO3" s="157">
        <v>0.0</v>
      </c>
      <c r="AP3" s="157">
        <v>0.0</v>
      </c>
      <c r="AQ3" s="157">
        <v>3.0</v>
      </c>
      <c r="AR3" s="157">
        <v>0.0</v>
      </c>
      <c r="AS3" s="157">
        <v>0.0</v>
      </c>
      <c r="AT3" s="388">
        <f t="shared" si="2"/>
        <v>3</v>
      </c>
      <c r="AU3" s="388">
        <f t="shared" si="3"/>
        <v>1</v>
      </c>
    </row>
    <row r="4">
      <c r="A4" s="157">
        <v>3.0</v>
      </c>
      <c r="B4" s="157" t="s">
        <v>942</v>
      </c>
      <c r="C4" s="63" t="s">
        <v>939</v>
      </c>
      <c r="D4" s="482" t="s">
        <v>940</v>
      </c>
      <c r="E4" s="631">
        <v>40487.0</v>
      </c>
      <c r="F4" s="265"/>
      <c r="G4" s="265"/>
      <c r="H4" s="265"/>
      <c r="I4" s="265"/>
      <c r="J4" s="265"/>
      <c r="K4" s="265"/>
      <c r="L4" s="265"/>
      <c r="M4" s="265"/>
      <c r="N4" s="265"/>
      <c r="O4" s="265"/>
      <c r="P4" s="265"/>
      <c r="Q4" s="265"/>
      <c r="R4" s="157">
        <v>0.0</v>
      </c>
      <c r="S4" s="157">
        <v>0.0</v>
      </c>
      <c r="T4" s="551" t="s">
        <v>354</v>
      </c>
      <c r="U4" s="551" t="s">
        <v>354</v>
      </c>
      <c r="V4" s="551" t="s">
        <v>354</v>
      </c>
      <c r="W4" s="157">
        <v>0.0</v>
      </c>
      <c r="X4" s="157">
        <v>0.0</v>
      </c>
      <c r="Y4" s="157" t="s">
        <v>354</v>
      </c>
      <c r="Z4" s="157" t="s">
        <v>354</v>
      </c>
      <c r="AA4" s="359" t="s">
        <v>356</v>
      </c>
      <c r="AB4" s="359" t="s">
        <v>354</v>
      </c>
      <c r="AC4" s="632" t="s">
        <v>356</v>
      </c>
      <c r="AD4" s="632" t="s">
        <v>354</v>
      </c>
      <c r="AE4" s="139" t="s">
        <v>356</v>
      </c>
      <c r="AF4" s="139" t="s">
        <v>354</v>
      </c>
      <c r="AG4" s="46">
        <f t="shared" si="1"/>
        <v>0</v>
      </c>
      <c r="AH4" s="265"/>
      <c r="AI4" s="265"/>
      <c r="AJ4" s="265"/>
      <c r="AK4" s="265"/>
      <c r="AL4" s="157">
        <v>0.0</v>
      </c>
      <c r="AM4" s="157">
        <v>0.0</v>
      </c>
      <c r="AN4" s="157">
        <v>0.0</v>
      </c>
      <c r="AO4" s="157">
        <v>0.0</v>
      </c>
      <c r="AP4" s="157">
        <v>0.0</v>
      </c>
      <c r="AQ4" s="157">
        <v>0.0</v>
      </c>
      <c r="AR4" s="157">
        <v>0.0</v>
      </c>
      <c r="AS4" s="157">
        <v>0.0</v>
      </c>
      <c r="AT4" s="265">
        <f t="shared" si="2"/>
        <v>0</v>
      </c>
      <c r="AU4" s="265">
        <f t="shared" si="3"/>
        <v>0</v>
      </c>
    </row>
    <row r="5">
      <c r="A5" s="157">
        <v>4.0</v>
      </c>
      <c r="B5" s="157" t="s">
        <v>75</v>
      </c>
      <c r="C5" s="46" t="s">
        <v>71</v>
      </c>
      <c r="D5" s="18" t="s">
        <v>459</v>
      </c>
      <c r="E5" s="631">
        <v>40487.0</v>
      </c>
      <c r="F5" s="265"/>
      <c r="G5" s="265"/>
      <c r="H5" s="265"/>
      <c r="I5" s="265"/>
      <c r="J5" s="265"/>
      <c r="K5" s="265"/>
      <c r="L5" s="265"/>
      <c r="M5" s="265"/>
      <c r="N5" s="265"/>
      <c r="O5" s="265"/>
      <c r="P5" s="265"/>
      <c r="Q5" s="265"/>
      <c r="R5" s="157">
        <v>0.0</v>
      </c>
      <c r="S5" s="157">
        <v>0.0</v>
      </c>
      <c r="T5" s="551" t="s">
        <v>354</v>
      </c>
      <c r="U5" s="551" t="s">
        <v>354</v>
      </c>
      <c r="V5" s="551" t="s">
        <v>354</v>
      </c>
      <c r="W5" s="157">
        <v>0.0</v>
      </c>
      <c r="X5" s="157">
        <v>0.0</v>
      </c>
      <c r="Y5" s="157" t="s">
        <v>354</v>
      </c>
      <c r="Z5" s="157" t="s">
        <v>354</v>
      </c>
      <c r="AA5" s="355" t="s">
        <v>365</v>
      </c>
      <c r="AB5" s="40" t="s">
        <v>357</v>
      </c>
      <c r="AC5" s="632" t="s">
        <v>356</v>
      </c>
      <c r="AD5" s="632" t="s">
        <v>354</v>
      </c>
      <c r="AE5" s="144" t="s">
        <v>365</v>
      </c>
      <c r="AF5" s="40" t="s">
        <v>357</v>
      </c>
      <c r="AG5" s="357">
        <f t="shared" si="1"/>
        <v>2</v>
      </c>
      <c r="AH5" s="265"/>
      <c r="AI5" s="265"/>
      <c r="AJ5" s="265"/>
      <c r="AK5" s="265"/>
      <c r="AL5" s="157">
        <v>0.0</v>
      </c>
      <c r="AM5" s="157">
        <v>0.0</v>
      </c>
      <c r="AN5" s="157">
        <v>0.0</v>
      </c>
      <c r="AO5" s="157">
        <v>0.0</v>
      </c>
      <c r="AP5" s="157">
        <v>0.0</v>
      </c>
      <c r="AQ5" s="157">
        <v>2.0</v>
      </c>
      <c r="AR5" s="157">
        <v>0.0</v>
      </c>
      <c r="AS5" s="157">
        <v>0.0</v>
      </c>
      <c r="AT5" s="388">
        <f t="shared" si="2"/>
        <v>2</v>
      </c>
      <c r="AU5" s="388">
        <f t="shared" si="3"/>
        <v>1</v>
      </c>
    </row>
    <row r="6">
      <c r="A6" s="157">
        <v>5.0</v>
      </c>
      <c r="B6" s="157" t="s">
        <v>274</v>
      </c>
      <c r="C6" s="46" t="s">
        <v>271</v>
      </c>
      <c r="D6" s="18" t="s">
        <v>924</v>
      </c>
      <c r="E6" s="631">
        <v>40487.0</v>
      </c>
      <c r="F6" s="265"/>
      <c r="G6" s="265"/>
      <c r="H6" s="265"/>
      <c r="I6" s="265"/>
      <c r="J6" s="265"/>
      <c r="K6" s="265"/>
      <c r="L6" s="265"/>
      <c r="M6" s="265"/>
      <c r="N6" s="265"/>
      <c r="O6" s="265"/>
      <c r="P6" s="265"/>
      <c r="Q6" s="265"/>
      <c r="R6" s="157">
        <v>0.0</v>
      </c>
      <c r="S6" s="157">
        <v>0.0</v>
      </c>
      <c r="T6" s="551" t="s">
        <v>354</v>
      </c>
      <c r="U6" s="551" t="s">
        <v>354</v>
      </c>
      <c r="V6" s="551" t="s">
        <v>354</v>
      </c>
      <c r="W6" s="157">
        <v>0.0</v>
      </c>
      <c r="X6" s="157">
        <v>0.0</v>
      </c>
      <c r="Y6" s="157" t="s">
        <v>354</v>
      </c>
      <c r="Z6" s="157" t="s">
        <v>354</v>
      </c>
      <c r="AA6" s="359" t="s">
        <v>356</v>
      </c>
      <c r="AB6" s="359" t="s">
        <v>354</v>
      </c>
      <c r="AC6" s="632" t="s">
        <v>356</v>
      </c>
      <c r="AD6" s="632" t="s">
        <v>354</v>
      </c>
      <c r="AE6" s="139" t="s">
        <v>356</v>
      </c>
      <c r="AF6" s="139" t="s">
        <v>354</v>
      </c>
      <c r="AG6" s="46">
        <f t="shared" si="1"/>
        <v>0</v>
      </c>
      <c r="AH6" s="265"/>
      <c r="AI6" s="265"/>
      <c r="AJ6" s="265"/>
      <c r="AK6" s="265"/>
      <c r="AL6" s="157">
        <v>0.0</v>
      </c>
      <c r="AM6" s="157">
        <v>0.0</v>
      </c>
      <c r="AN6" s="157">
        <v>0.0</v>
      </c>
      <c r="AO6" s="157">
        <v>0.0</v>
      </c>
      <c r="AP6" s="157">
        <v>0.0</v>
      </c>
      <c r="AQ6" s="157">
        <v>0.0</v>
      </c>
      <c r="AR6" s="157">
        <v>0.0</v>
      </c>
      <c r="AS6" s="157">
        <v>0.0</v>
      </c>
      <c r="AT6" s="265">
        <f t="shared" si="2"/>
        <v>0</v>
      </c>
      <c r="AU6" s="265">
        <f t="shared" si="3"/>
        <v>0</v>
      </c>
    </row>
    <row r="7">
      <c r="A7" s="157">
        <v>6.0</v>
      </c>
      <c r="B7" s="157" t="s">
        <v>260</v>
      </c>
      <c r="C7" s="49" t="s">
        <v>888</v>
      </c>
      <c r="D7" s="18" t="s">
        <v>889</v>
      </c>
      <c r="E7" s="631">
        <v>40487.0</v>
      </c>
      <c r="F7" s="265"/>
      <c r="G7" s="265"/>
      <c r="H7" s="265"/>
      <c r="I7" s="265"/>
      <c r="J7" s="265"/>
      <c r="K7" s="265"/>
      <c r="L7" s="265"/>
      <c r="M7" s="265"/>
      <c r="N7" s="265"/>
      <c r="O7" s="265"/>
      <c r="P7" s="265"/>
      <c r="Q7" s="265"/>
      <c r="R7" s="157">
        <v>0.0</v>
      </c>
      <c r="S7" s="157">
        <v>0.0</v>
      </c>
      <c r="T7" s="551" t="s">
        <v>354</v>
      </c>
      <c r="U7" s="551" t="s">
        <v>354</v>
      </c>
      <c r="V7" s="551" t="s">
        <v>354</v>
      </c>
      <c r="W7" s="157">
        <v>0.0</v>
      </c>
      <c r="X7" s="157">
        <v>0.0</v>
      </c>
      <c r="Y7" s="157" t="s">
        <v>354</v>
      </c>
      <c r="Z7" s="157" t="s">
        <v>354</v>
      </c>
      <c r="AA7" s="355" t="s">
        <v>365</v>
      </c>
      <c r="AB7" s="90" t="s">
        <v>413</v>
      </c>
      <c r="AC7" s="356" t="s">
        <v>365</v>
      </c>
      <c r="AD7" s="90" t="s">
        <v>413</v>
      </c>
      <c r="AE7" s="144" t="s">
        <v>365</v>
      </c>
      <c r="AF7" s="40" t="s">
        <v>357</v>
      </c>
      <c r="AG7" s="357">
        <f t="shared" si="1"/>
        <v>3</v>
      </c>
      <c r="AH7" s="265"/>
      <c r="AI7" s="265"/>
      <c r="AJ7" s="265"/>
      <c r="AK7" s="265"/>
      <c r="AL7" s="157">
        <v>0.0</v>
      </c>
      <c r="AM7" s="157">
        <v>0.0</v>
      </c>
      <c r="AN7" s="157">
        <v>0.0</v>
      </c>
      <c r="AO7" s="157">
        <v>0.0</v>
      </c>
      <c r="AP7" s="157">
        <v>2.0</v>
      </c>
      <c r="AQ7" s="157">
        <v>1.0</v>
      </c>
      <c r="AR7" s="157">
        <v>0.0</v>
      </c>
      <c r="AS7" s="157">
        <v>0.0</v>
      </c>
      <c r="AT7" s="388">
        <f t="shared" si="2"/>
        <v>3</v>
      </c>
      <c r="AU7" s="388">
        <f t="shared" si="3"/>
        <v>2</v>
      </c>
    </row>
    <row r="8">
      <c r="A8" s="157">
        <v>7.0</v>
      </c>
      <c r="B8" s="157" t="s">
        <v>163</v>
      </c>
      <c r="C8" s="46" t="s">
        <v>161</v>
      </c>
      <c r="D8" s="18" t="s">
        <v>645</v>
      </c>
      <c r="E8" s="631">
        <v>40487.0</v>
      </c>
      <c r="F8" s="265"/>
      <c r="G8" s="265"/>
      <c r="H8" s="265"/>
      <c r="I8" s="265"/>
      <c r="J8" s="265"/>
      <c r="K8" s="265"/>
      <c r="L8" s="265"/>
      <c r="M8" s="265"/>
      <c r="N8" s="265"/>
      <c r="O8" s="265"/>
      <c r="P8" s="265"/>
      <c r="Q8" s="265"/>
      <c r="R8" s="157">
        <v>0.0</v>
      </c>
      <c r="S8" s="157">
        <v>0.0</v>
      </c>
      <c r="T8" s="551" t="s">
        <v>354</v>
      </c>
      <c r="U8" s="551" t="s">
        <v>354</v>
      </c>
      <c r="V8" s="551" t="s">
        <v>354</v>
      </c>
      <c r="W8" s="157">
        <v>0.0</v>
      </c>
      <c r="X8" s="157">
        <v>0.0</v>
      </c>
      <c r="Y8" s="157" t="s">
        <v>354</v>
      </c>
      <c r="Z8" s="157" t="s">
        <v>354</v>
      </c>
      <c r="AA8" s="359" t="s">
        <v>356</v>
      </c>
      <c r="AB8" s="359" t="s">
        <v>354</v>
      </c>
      <c r="AC8" s="632" t="s">
        <v>356</v>
      </c>
      <c r="AD8" s="632" t="s">
        <v>354</v>
      </c>
      <c r="AE8" s="139" t="s">
        <v>356</v>
      </c>
      <c r="AF8" s="139" t="s">
        <v>354</v>
      </c>
      <c r="AG8" s="46">
        <f t="shared" si="1"/>
        <v>0</v>
      </c>
      <c r="AH8" s="265"/>
      <c r="AI8" s="265"/>
      <c r="AJ8" s="265"/>
      <c r="AK8" s="265"/>
      <c r="AL8" s="157">
        <v>0.0</v>
      </c>
      <c r="AM8" s="157">
        <v>0.0</v>
      </c>
      <c r="AN8" s="157">
        <v>0.0</v>
      </c>
      <c r="AO8" s="157">
        <v>0.0</v>
      </c>
      <c r="AP8" s="157">
        <v>0.0</v>
      </c>
      <c r="AQ8" s="157">
        <v>0.0</v>
      </c>
      <c r="AR8" s="157">
        <v>0.0</v>
      </c>
      <c r="AS8" s="157">
        <v>0.0</v>
      </c>
      <c r="AT8" s="265">
        <f t="shared" si="2"/>
        <v>0</v>
      </c>
      <c r="AU8" s="265">
        <f t="shared" si="3"/>
        <v>0</v>
      </c>
    </row>
    <row r="9">
      <c r="A9" s="157">
        <v>8.0</v>
      </c>
      <c r="B9" s="157" t="s">
        <v>61</v>
      </c>
      <c r="C9" s="49" t="s">
        <v>437</v>
      </c>
      <c r="D9" s="18" t="s">
        <v>438</v>
      </c>
      <c r="E9" s="631">
        <v>40487.0</v>
      </c>
      <c r="F9" s="265"/>
      <c r="G9" s="265"/>
      <c r="H9" s="265"/>
      <c r="I9" s="265"/>
      <c r="J9" s="265"/>
      <c r="K9" s="265"/>
      <c r="L9" s="265"/>
      <c r="M9" s="265"/>
      <c r="N9" s="265"/>
      <c r="O9" s="265"/>
      <c r="P9" s="265"/>
      <c r="Q9" s="265"/>
      <c r="R9" s="140">
        <v>31.93</v>
      </c>
      <c r="S9" s="157">
        <v>0.0</v>
      </c>
      <c r="T9" s="551" t="s">
        <v>354</v>
      </c>
      <c r="U9" s="551" t="s">
        <v>354</v>
      </c>
      <c r="V9" s="551" t="s">
        <v>354</v>
      </c>
      <c r="W9" s="157">
        <v>0.0</v>
      </c>
      <c r="X9" s="157">
        <v>0.0</v>
      </c>
      <c r="Y9" s="157" t="s">
        <v>354</v>
      </c>
      <c r="Z9" s="157" t="s">
        <v>354</v>
      </c>
      <c r="AA9" s="355" t="s">
        <v>365</v>
      </c>
      <c r="AB9" s="40" t="s">
        <v>357</v>
      </c>
      <c r="AC9" s="356" t="s">
        <v>365</v>
      </c>
      <c r="AD9" s="40" t="s">
        <v>357</v>
      </c>
      <c r="AE9" s="144" t="s">
        <v>365</v>
      </c>
      <c r="AF9" s="40" t="s">
        <v>357</v>
      </c>
      <c r="AG9" s="357">
        <f t="shared" si="1"/>
        <v>4</v>
      </c>
      <c r="AH9" s="265"/>
      <c r="AI9" s="265"/>
      <c r="AJ9" s="265"/>
      <c r="AK9" s="265"/>
      <c r="AL9" s="157">
        <v>0.0</v>
      </c>
      <c r="AM9" s="157">
        <v>0.0</v>
      </c>
      <c r="AN9" s="157">
        <v>0.0</v>
      </c>
      <c r="AO9" s="157">
        <v>0.0</v>
      </c>
      <c r="AP9" s="157">
        <v>0.0</v>
      </c>
      <c r="AQ9" s="157">
        <v>3.0</v>
      </c>
      <c r="AR9" s="157">
        <v>0.0</v>
      </c>
      <c r="AS9" s="157">
        <v>0.0</v>
      </c>
      <c r="AT9" s="388">
        <f t="shared" si="2"/>
        <v>3</v>
      </c>
      <c r="AU9" s="388">
        <f t="shared" si="3"/>
        <v>1</v>
      </c>
    </row>
    <row r="10">
      <c r="A10" s="157">
        <v>9.0</v>
      </c>
      <c r="B10" s="157" t="s">
        <v>66</v>
      </c>
      <c r="C10" s="48" t="s">
        <v>66</v>
      </c>
      <c r="D10" s="482" t="s">
        <v>451</v>
      </c>
      <c r="E10" s="631">
        <v>40487.0</v>
      </c>
      <c r="F10" s="265"/>
      <c r="G10" s="265"/>
      <c r="H10" s="265"/>
      <c r="I10" s="265"/>
      <c r="J10" s="265"/>
      <c r="K10" s="265"/>
      <c r="L10" s="265"/>
      <c r="M10" s="265"/>
      <c r="N10" s="265"/>
      <c r="O10" s="265"/>
      <c r="P10" s="265"/>
      <c r="Q10" s="265"/>
      <c r="R10" s="157">
        <v>0.0</v>
      </c>
      <c r="S10" s="157">
        <v>0.0</v>
      </c>
      <c r="T10" s="551" t="s">
        <v>354</v>
      </c>
      <c r="U10" s="551" t="s">
        <v>354</v>
      </c>
      <c r="V10" s="551" t="s">
        <v>354</v>
      </c>
      <c r="W10" s="157">
        <v>0.0</v>
      </c>
      <c r="X10" s="157">
        <v>0.0</v>
      </c>
      <c r="Y10" s="157" t="s">
        <v>354</v>
      </c>
      <c r="Z10" s="157" t="s">
        <v>354</v>
      </c>
      <c r="AA10" s="355" t="s">
        <v>365</v>
      </c>
      <c r="AB10" s="315" t="s">
        <v>420</v>
      </c>
      <c r="AC10" s="365" t="s">
        <v>365</v>
      </c>
      <c r="AD10" s="391" t="s">
        <v>380</v>
      </c>
      <c r="AE10" s="144" t="s">
        <v>365</v>
      </c>
      <c r="AF10" s="315" t="s">
        <v>420</v>
      </c>
      <c r="AG10" s="357">
        <f t="shared" si="1"/>
        <v>3</v>
      </c>
      <c r="AH10" s="265"/>
      <c r="AI10" s="265"/>
      <c r="AJ10" s="265"/>
      <c r="AK10" s="265"/>
      <c r="AL10" s="157">
        <v>0.0</v>
      </c>
      <c r="AM10" s="157">
        <v>2.0</v>
      </c>
      <c r="AN10" s="157">
        <v>0.0</v>
      </c>
      <c r="AO10" s="157">
        <v>0.0</v>
      </c>
      <c r="AP10" s="157">
        <v>0.0</v>
      </c>
      <c r="AQ10" s="157">
        <v>0.0</v>
      </c>
      <c r="AR10" s="157">
        <v>1.0</v>
      </c>
      <c r="AS10" s="157">
        <v>0.0</v>
      </c>
      <c r="AT10" s="388">
        <f t="shared" si="2"/>
        <v>3</v>
      </c>
      <c r="AU10" s="388">
        <f t="shared" si="3"/>
        <v>2</v>
      </c>
    </row>
    <row r="11">
      <c r="A11" s="157">
        <v>10.0</v>
      </c>
      <c r="B11" s="157" t="s">
        <v>80</v>
      </c>
      <c r="C11" s="46" t="s">
        <v>80</v>
      </c>
      <c r="D11" s="18" t="s">
        <v>467</v>
      </c>
      <c r="E11" s="631">
        <v>40487.0</v>
      </c>
      <c r="F11" s="265"/>
      <c r="G11" s="265"/>
      <c r="H11" s="265"/>
      <c r="I11" s="265"/>
      <c r="J11" s="265"/>
      <c r="K11" s="265"/>
      <c r="L11" s="265"/>
      <c r="M11" s="265"/>
      <c r="N11" s="265"/>
      <c r="O11" s="265"/>
      <c r="P11" s="265"/>
      <c r="Q11" s="265"/>
      <c r="R11" s="157">
        <v>0.0</v>
      </c>
      <c r="S11" s="157">
        <v>0.0</v>
      </c>
      <c r="T11" s="551" t="s">
        <v>354</v>
      </c>
      <c r="U11" s="551" t="s">
        <v>354</v>
      </c>
      <c r="V11" s="551" t="s">
        <v>354</v>
      </c>
      <c r="W11" s="157">
        <v>0.0</v>
      </c>
      <c r="X11" s="157">
        <v>0.0</v>
      </c>
      <c r="Y11" s="157" t="s">
        <v>354</v>
      </c>
      <c r="Z11" s="157" t="s">
        <v>354</v>
      </c>
      <c r="AA11" s="359" t="s">
        <v>356</v>
      </c>
      <c r="AB11" s="359" t="s">
        <v>354</v>
      </c>
      <c r="AC11" s="632" t="s">
        <v>356</v>
      </c>
      <c r="AD11" s="632" t="s">
        <v>354</v>
      </c>
      <c r="AE11" s="139" t="s">
        <v>356</v>
      </c>
      <c r="AF11" s="139" t="s">
        <v>354</v>
      </c>
      <c r="AG11" s="46">
        <f t="shared" si="1"/>
        <v>0</v>
      </c>
      <c r="AH11" s="265"/>
      <c r="AI11" s="265"/>
      <c r="AJ11" s="265"/>
      <c r="AK11" s="265"/>
      <c r="AL11" s="157">
        <v>0.0</v>
      </c>
      <c r="AM11" s="157">
        <v>0.0</v>
      </c>
      <c r="AN11" s="157">
        <v>0.0</v>
      </c>
      <c r="AO11" s="157">
        <v>0.0</v>
      </c>
      <c r="AP11" s="157">
        <v>0.0</v>
      </c>
      <c r="AQ11" s="157">
        <v>0.0</v>
      </c>
      <c r="AR11" s="157">
        <v>0.0</v>
      </c>
      <c r="AS11" s="157">
        <v>0.0</v>
      </c>
      <c r="AT11" s="265">
        <f t="shared" si="2"/>
        <v>0</v>
      </c>
      <c r="AU11" s="265">
        <f t="shared" si="3"/>
        <v>0</v>
      </c>
    </row>
    <row r="12">
      <c r="A12" s="157">
        <v>11.0</v>
      </c>
      <c r="B12" s="157" t="s">
        <v>84</v>
      </c>
      <c r="C12" s="46" t="s">
        <v>84</v>
      </c>
      <c r="D12" s="18" t="s">
        <v>474</v>
      </c>
      <c r="E12" s="631">
        <v>40487.0</v>
      </c>
      <c r="F12" s="265"/>
      <c r="G12" s="265"/>
      <c r="H12" s="265"/>
      <c r="I12" s="265"/>
      <c r="J12" s="265"/>
      <c r="K12" s="265"/>
      <c r="L12" s="265"/>
      <c r="M12" s="265"/>
      <c r="N12" s="265"/>
      <c r="O12" s="265"/>
      <c r="P12" s="265"/>
      <c r="Q12" s="265"/>
      <c r="R12" s="157">
        <v>0.0</v>
      </c>
      <c r="S12" s="157">
        <v>0.0</v>
      </c>
      <c r="T12" s="551" t="s">
        <v>354</v>
      </c>
      <c r="U12" s="551" t="s">
        <v>354</v>
      </c>
      <c r="V12" s="551" t="s">
        <v>354</v>
      </c>
      <c r="W12" s="157">
        <v>0.0</v>
      </c>
      <c r="X12" s="157">
        <v>0.0</v>
      </c>
      <c r="Y12" s="157" t="s">
        <v>354</v>
      </c>
      <c r="Z12" s="157" t="s">
        <v>354</v>
      </c>
      <c r="AA12" s="364" t="s">
        <v>361</v>
      </c>
      <c r="AB12" s="364" t="s">
        <v>361</v>
      </c>
      <c r="AC12" s="632" t="s">
        <v>356</v>
      </c>
      <c r="AD12" s="632" t="s">
        <v>354</v>
      </c>
      <c r="AE12" s="633" t="s">
        <v>365</v>
      </c>
      <c r="AF12" s="391" t="s">
        <v>380</v>
      </c>
      <c r="AG12" s="357">
        <f t="shared" si="1"/>
        <v>1</v>
      </c>
      <c r="AH12" s="265"/>
      <c r="AI12" s="265"/>
      <c r="AJ12" s="265"/>
      <c r="AK12" s="265"/>
      <c r="AL12" s="157">
        <v>0.0</v>
      </c>
      <c r="AM12" s="157">
        <v>0.0</v>
      </c>
      <c r="AN12" s="157">
        <v>0.0</v>
      </c>
      <c r="AO12" s="157">
        <v>0.0</v>
      </c>
      <c r="AP12" s="157">
        <v>0.0</v>
      </c>
      <c r="AQ12" s="157">
        <v>0.0</v>
      </c>
      <c r="AR12" s="157">
        <v>1.0</v>
      </c>
      <c r="AS12" s="157">
        <v>0.0</v>
      </c>
      <c r="AT12" s="385">
        <f t="shared" si="2"/>
        <v>1</v>
      </c>
      <c r="AU12" s="385">
        <f t="shared" si="3"/>
        <v>1</v>
      </c>
    </row>
    <row r="13">
      <c r="A13" s="157">
        <v>12.0</v>
      </c>
      <c r="B13" s="157" t="s">
        <v>98</v>
      </c>
      <c r="C13" s="46" t="s">
        <v>98</v>
      </c>
      <c r="D13" s="98" t="s">
        <v>1610</v>
      </c>
      <c r="E13" s="631">
        <v>40487.0</v>
      </c>
      <c r="F13" s="265"/>
      <c r="G13" s="265"/>
      <c r="H13" s="265"/>
      <c r="I13" s="265"/>
      <c r="J13" s="265"/>
      <c r="K13" s="265"/>
      <c r="L13" s="265"/>
      <c r="M13" s="265"/>
      <c r="N13" s="265"/>
      <c r="O13" s="265"/>
      <c r="P13" s="265"/>
      <c r="Q13" s="265"/>
      <c r="R13" s="157">
        <v>0.0</v>
      </c>
      <c r="S13" s="157">
        <v>0.0</v>
      </c>
      <c r="T13" s="551" t="s">
        <v>354</v>
      </c>
      <c r="U13" s="551" t="s">
        <v>354</v>
      </c>
      <c r="V13" s="551" t="s">
        <v>354</v>
      </c>
      <c r="W13" s="157">
        <v>0.0</v>
      </c>
      <c r="X13" s="157">
        <v>0.0</v>
      </c>
      <c r="Y13" s="157" t="s">
        <v>354</v>
      </c>
      <c r="Z13" s="157" t="s">
        <v>354</v>
      </c>
      <c r="AA13" s="359" t="s">
        <v>356</v>
      </c>
      <c r="AB13" s="359" t="s">
        <v>354</v>
      </c>
      <c r="AC13" s="632" t="s">
        <v>356</v>
      </c>
      <c r="AD13" s="632" t="s">
        <v>354</v>
      </c>
      <c r="AE13" s="139" t="s">
        <v>356</v>
      </c>
      <c r="AF13" s="139" t="s">
        <v>354</v>
      </c>
      <c r="AG13" s="46">
        <f t="shared" si="1"/>
        <v>0</v>
      </c>
      <c r="AH13" s="265"/>
      <c r="AI13" s="265"/>
      <c r="AJ13" s="265"/>
      <c r="AK13" s="265"/>
      <c r="AL13" s="157">
        <v>0.0</v>
      </c>
      <c r="AM13" s="157">
        <v>0.0</v>
      </c>
      <c r="AN13" s="157">
        <v>0.0</v>
      </c>
      <c r="AO13" s="157">
        <v>0.0</v>
      </c>
      <c r="AP13" s="157">
        <v>0.0</v>
      </c>
      <c r="AQ13" s="157">
        <v>0.0</v>
      </c>
      <c r="AR13" s="157">
        <v>0.0</v>
      </c>
      <c r="AS13" s="157">
        <v>0.0</v>
      </c>
      <c r="AT13" s="265">
        <f t="shared" si="2"/>
        <v>0</v>
      </c>
      <c r="AU13" s="265">
        <f t="shared" si="3"/>
        <v>0</v>
      </c>
    </row>
    <row r="14">
      <c r="A14" s="157">
        <v>13.0</v>
      </c>
      <c r="B14" s="157" t="s">
        <v>101</v>
      </c>
      <c r="C14" s="46" t="s">
        <v>101</v>
      </c>
      <c r="D14" s="18" t="s">
        <v>518</v>
      </c>
      <c r="E14" s="631">
        <v>40487.0</v>
      </c>
      <c r="F14" s="265"/>
      <c r="G14" s="265"/>
      <c r="H14" s="265"/>
      <c r="I14" s="265"/>
      <c r="J14" s="265"/>
      <c r="K14" s="265"/>
      <c r="L14" s="265"/>
      <c r="M14" s="265"/>
      <c r="N14" s="265"/>
      <c r="O14" s="265"/>
      <c r="P14" s="265"/>
      <c r="Q14" s="265"/>
      <c r="R14" s="157">
        <v>0.0</v>
      </c>
      <c r="S14" s="157">
        <v>0.0</v>
      </c>
      <c r="T14" s="551" t="s">
        <v>354</v>
      </c>
      <c r="U14" s="551" t="s">
        <v>354</v>
      </c>
      <c r="V14" s="551" t="s">
        <v>354</v>
      </c>
      <c r="W14" s="157">
        <v>0.0</v>
      </c>
      <c r="X14" s="157">
        <v>0.0</v>
      </c>
      <c r="Y14" s="157" t="s">
        <v>354</v>
      </c>
      <c r="Z14" s="157" t="s">
        <v>354</v>
      </c>
      <c r="AA14" s="355" t="s">
        <v>365</v>
      </c>
      <c r="AB14" s="40" t="s">
        <v>357</v>
      </c>
      <c r="AC14" s="356" t="s">
        <v>365</v>
      </c>
      <c r="AD14" s="40" t="s">
        <v>357</v>
      </c>
      <c r="AE14" s="144" t="s">
        <v>365</v>
      </c>
      <c r="AF14" s="40" t="s">
        <v>357</v>
      </c>
      <c r="AG14" s="357">
        <f t="shared" si="1"/>
        <v>3</v>
      </c>
      <c r="AH14" s="265"/>
      <c r="AI14" s="265"/>
      <c r="AJ14" s="265"/>
      <c r="AK14" s="265"/>
      <c r="AL14" s="157">
        <v>0.0</v>
      </c>
      <c r="AM14" s="157">
        <v>0.0</v>
      </c>
      <c r="AN14" s="157">
        <v>0.0</v>
      </c>
      <c r="AO14" s="157">
        <v>0.0</v>
      </c>
      <c r="AP14" s="157">
        <v>0.0</v>
      </c>
      <c r="AQ14" s="157">
        <v>3.0</v>
      </c>
      <c r="AR14" s="157">
        <v>0.0</v>
      </c>
      <c r="AS14" s="157">
        <v>0.0</v>
      </c>
      <c r="AT14" s="388">
        <f t="shared" si="2"/>
        <v>3</v>
      </c>
      <c r="AU14" s="388">
        <f t="shared" si="3"/>
        <v>1</v>
      </c>
    </row>
    <row r="15">
      <c r="A15" s="157">
        <v>14.0</v>
      </c>
      <c r="B15" s="157" t="s">
        <v>105</v>
      </c>
      <c r="C15" s="46" t="s">
        <v>105</v>
      </c>
      <c r="D15" s="18" t="s">
        <v>522</v>
      </c>
      <c r="E15" s="631">
        <v>40487.0</v>
      </c>
      <c r="F15" s="265"/>
      <c r="G15" s="265"/>
      <c r="H15" s="265"/>
      <c r="I15" s="265"/>
      <c r="J15" s="265"/>
      <c r="K15" s="265"/>
      <c r="L15" s="265"/>
      <c r="M15" s="265"/>
      <c r="N15" s="265"/>
      <c r="O15" s="265"/>
      <c r="P15" s="265"/>
      <c r="Q15" s="265"/>
      <c r="R15" s="140">
        <v>32.04</v>
      </c>
      <c r="S15" s="157">
        <v>0.0</v>
      </c>
      <c r="T15" s="551" t="s">
        <v>354</v>
      </c>
      <c r="U15" s="551" t="s">
        <v>354</v>
      </c>
      <c r="V15" s="551" t="s">
        <v>354</v>
      </c>
      <c r="W15" s="157">
        <v>0.0</v>
      </c>
      <c r="X15" s="157">
        <v>0.0</v>
      </c>
      <c r="Y15" s="157" t="s">
        <v>354</v>
      </c>
      <c r="Z15" s="157" t="s">
        <v>354</v>
      </c>
      <c r="AA15" s="355" t="s">
        <v>365</v>
      </c>
      <c r="AB15" s="315" t="s">
        <v>420</v>
      </c>
      <c r="AC15" s="356" t="s">
        <v>365</v>
      </c>
      <c r="AD15" s="143" t="s">
        <v>358</v>
      </c>
      <c r="AE15" s="144" t="s">
        <v>365</v>
      </c>
      <c r="AF15" s="143" t="s">
        <v>358</v>
      </c>
      <c r="AG15" s="357">
        <f t="shared" si="1"/>
        <v>4</v>
      </c>
      <c r="AH15" s="265"/>
      <c r="AI15" s="265"/>
      <c r="AJ15" s="265"/>
      <c r="AK15" s="265"/>
      <c r="AL15" s="157">
        <v>0.0</v>
      </c>
      <c r="AM15" s="157">
        <v>1.0</v>
      </c>
      <c r="AN15" s="157">
        <v>2.0</v>
      </c>
      <c r="AO15" s="157">
        <v>0.0</v>
      </c>
      <c r="AP15" s="157">
        <v>0.0</v>
      </c>
      <c r="AQ15" s="157">
        <v>0.0</v>
      </c>
      <c r="AR15" s="157">
        <v>0.0</v>
      </c>
      <c r="AS15" s="157">
        <v>0.0</v>
      </c>
      <c r="AT15" s="388">
        <f t="shared" si="2"/>
        <v>3</v>
      </c>
      <c r="AU15" s="388">
        <f t="shared" si="3"/>
        <v>2</v>
      </c>
    </row>
    <row r="16">
      <c r="A16" s="157">
        <v>15.0</v>
      </c>
      <c r="B16" s="157" t="s">
        <v>109</v>
      </c>
      <c r="C16" s="46" t="s">
        <v>109</v>
      </c>
      <c r="D16" s="18" t="s">
        <v>536</v>
      </c>
      <c r="E16" s="631">
        <v>40487.0</v>
      </c>
      <c r="F16" s="265"/>
      <c r="G16" s="265"/>
      <c r="H16" s="265"/>
      <c r="I16" s="265"/>
      <c r="J16" s="265"/>
      <c r="K16" s="265"/>
      <c r="L16" s="265"/>
      <c r="M16" s="265"/>
      <c r="N16" s="265"/>
      <c r="O16" s="265"/>
      <c r="P16" s="265"/>
      <c r="Q16" s="265"/>
      <c r="R16" s="157">
        <v>0.0</v>
      </c>
      <c r="S16" s="157">
        <v>0.0</v>
      </c>
      <c r="T16" s="551" t="s">
        <v>354</v>
      </c>
      <c r="U16" s="551" t="s">
        <v>354</v>
      </c>
      <c r="V16" s="551" t="s">
        <v>354</v>
      </c>
      <c r="W16" s="157">
        <v>0.0</v>
      </c>
      <c r="X16" s="157">
        <v>0.0</v>
      </c>
      <c r="Y16" s="157" t="s">
        <v>354</v>
      </c>
      <c r="Z16" s="157" t="s">
        <v>354</v>
      </c>
      <c r="AA16" s="355" t="s">
        <v>365</v>
      </c>
      <c r="AB16" s="40" t="s">
        <v>357</v>
      </c>
      <c r="AC16" s="356" t="s">
        <v>365</v>
      </c>
      <c r="AD16" s="40" t="s">
        <v>357</v>
      </c>
      <c r="AE16" s="144" t="s">
        <v>365</v>
      </c>
      <c r="AF16" s="40" t="s">
        <v>357</v>
      </c>
      <c r="AG16" s="357">
        <f t="shared" si="1"/>
        <v>3</v>
      </c>
      <c r="AH16" s="265"/>
      <c r="AI16" s="265"/>
      <c r="AJ16" s="265"/>
      <c r="AK16" s="265"/>
      <c r="AL16" s="157">
        <v>0.0</v>
      </c>
      <c r="AM16" s="157">
        <v>0.0</v>
      </c>
      <c r="AN16" s="157">
        <v>0.0</v>
      </c>
      <c r="AO16" s="157">
        <v>0.0</v>
      </c>
      <c r="AP16" s="157">
        <v>0.0</v>
      </c>
      <c r="AQ16" s="157">
        <v>3.0</v>
      </c>
      <c r="AR16" s="157">
        <v>0.0</v>
      </c>
      <c r="AS16" s="157">
        <v>0.0</v>
      </c>
      <c r="AT16" s="388">
        <f t="shared" si="2"/>
        <v>3</v>
      </c>
      <c r="AU16" s="388">
        <f t="shared" si="3"/>
        <v>1</v>
      </c>
    </row>
    <row r="17">
      <c r="A17" s="157">
        <v>16.0</v>
      </c>
      <c r="B17" s="157" t="s">
        <v>113</v>
      </c>
      <c r="C17" s="46" t="s">
        <v>113</v>
      </c>
      <c r="D17" s="98" t="s">
        <v>541</v>
      </c>
      <c r="E17" s="631">
        <v>40487.0</v>
      </c>
      <c r="F17" s="265"/>
      <c r="G17" s="265"/>
      <c r="H17" s="265"/>
      <c r="I17" s="265"/>
      <c r="J17" s="265"/>
      <c r="K17" s="265"/>
      <c r="L17" s="265"/>
      <c r="M17" s="265"/>
      <c r="N17" s="265"/>
      <c r="O17" s="265"/>
      <c r="P17" s="265"/>
      <c r="Q17" s="265"/>
      <c r="R17" s="157">
        <v>0.0</v>
      </c>
      <c r="S17" s="157">
        <v>0.0</v>
      </c>
      <c r="T17" s="551" t="s">
        <v>354</v>
      </c>
      <c r="U17" s="551" t="s">
        <v>354</v>
      </c>
      <c r="V17" s="551" t="s">
        <v>354</v>
      </c>
      <c r="W17" s="157">
        <v>0.0</v>
      </c>
      <c r="X17" s="157">
        <v>0.0</v>
      </c>
      <c r="Y17" s="157" t="s">
        <v>354</v>
      </c>
      <c r="Z17" s="157" t="s">
        <v>354</v>
      </c>
      <c r="AA17" s="355" t="s">
        <v>365</v>
      </c>
      <c r="AB17" s="40" t="s">
        <v>357</v>
      </c>
      <c r="AC17" s="632" t="s">
        <v>356</v>
      </c>
      <c r="AD17" s="632" t="s">
        <v>354</v>
      </c>
      <c r="AE17" s="139" t="s">
        <v>356</v>
      </c>
      <c r="AF17" s="139" t="s">
        <v>354</v>
      </c>
      <c r="AG17" s="367">
        <f t="shared" si="1"/>
        <v>1</v>
      </c>
      <c r="AH17" s="265"/>
      <c r="AI17" s="265"/>
      <c r="AJ17" s="265"/>
      <c r="AK17" s="265"/>
      <c r="AL17" s="157">
        <v>0.0</v>
      </c>
      <c r="AM17" s="157">
        <v>0.0</v>
      </c>
      <c r="AN17" s="157">
        <v>0.0</v>
      </c>
      <c r="AO17" s="157">
        <v>0.0</v>
      </c>
      <c r="AP17" s="157">
        <v>0.0</v>
      </c>
      <c r="AQ17" s="157">
        <v>1.0</v>
      </c>
      <c r="AR17" s="157">
        <v>0.0</v>
      </c>
      <c r="AS17" s="157">
        <v>0.0</v>
      </c>
      <c r="AT17" s="385">
        <f t="shared" si="2"/>
        <v>1</v>
      </c>
      <c r="AU17" s="385">
        <f t="shared" si="3"/>
        <v>1</v>
      </c>
    </row>
    <row r="18">
      <c r="A18" s="157">
        <v>17.0</v>
      </c>
      <c r="B18" s="157" t="s">
        <v>117</v>
      </c>
      <c r="C18" s="48" t="s">
        <v>117</v>
      </c>
      <c r="D18" s="482" t="s">
        <v>546</v>
      </c>
      <c r="E18" s="631">
        <v>40487.0</v>
      </c>
      <c r="F18" s="265"/>
      <c r="G18" s="265"/>
      <c r="H18" s="265"/>
      <c r="I18" s="265"/>
      <c r="J18" s="265"/>
      <c r="K18" s="265"/>
      <c r="L18" s="265"/>
      <c r="M18" s="265"/>
      <c r="N18" s="265"/>
      <c r="O18" s="265"/>
      <c r="P18" s="265"/>
      <c r="Q18" s="265"/>
      <c r="R18" s="157">
        <v>0.0</v>
      </c>
      <c r="S18" s="157">
        <v>0.0</v>
      </c>
      <c r="T18" s="551" t="s">
        <v>354</v>
      </c>
      <c r="U18" s="551" t="s">
        <v>354</v>
      </c>
      <c r="V18" s="551" t="s">
        <v>354</v>
      </c>
      <c r="W18" s="157">
        <v>0.0</v>
      </c>
      <c r="X18" s="157">
        <v>0.0</v>
      </c>
      <c r="Y18" s="157" t="s">
        <v>354</v>
      </c>
      <c r="Z18" s="157" t="s">
        <v>354</v>
      </c>
      <c r="AA18" s="359" t="s">
        <v>356</v>
      </c>
      <c r="AB18" s="359" t="s">
        <v>354</v>
      </c>
      <c r="AC18" s="632" t="s">
        <v>356</v>
      </c>
      <c r="AD18" s="632" t="s">
        <v>354</v>
      </c>
      <c r="AE18" s="139" t="s">
        <v>356</v>
      </c>
      <c r="AF18" s="139" t="s">
        <v>354</v>
      </c>
      <c r="AG18" s="46">
        <f t="shared" si="1"/>
        <v>0</v>
      </c>
      <c r="AH18" s="265"/>
      <c r="AI18" s="265"/>
      <c r="AJ18" s="265"/>
      <c r="AK18" s="265"/>
      <c r="AL18" s="157">
        <v>0.0</v>
      </c>
      <c r="AM18" s="157">
        <v>0.0</v>
      </c>
      <c r="AN18" s="157">
        <v>0.0</v>
      </c>
      <c r="AO18" s="157">
        <v>0.0</v>
      </c>
      <c r="AP18" s="157">
        <v>0.0</v>
      </c>
      <c r="AQ18" s="157">
        <v>0.0</v>
      </c>
      <c r="AR18" s="157">
        <v>0.0</v>
      </c>
      <c r="AS18" s="157">
        <v>0.0</v>
      </c>
      <c r="AT18" s="265">
        <f t="shared" si="2"/>
        <v>0</v>
      </c>
      <c r="AU18" s="265">
        <f t="shared" si="3"/>
        <v>0</v>
      </c>
    </row>
    <row r="19">
      <c r="A19" s="157">
        <v>18.0</v>
      </c>
      <c r="B19" s="157" t="s">
        <v>120</v>
      </c>
      <c r="C19" s="46" t="s">
        <v>120</v>
      </c>
      <c r="D19" s="18" t="s">
        <v>552</v>
      </c>
      <c r="E19" s="631">
        <v>40487.0</v>
      </c>
      <c r="F19" s="265"/>
      <c r="G19" s="265"/>
      <c r="H19" s="265"/>
      <c r="I19" s="265"/>
      <c r="J19" s="265"/>
      <c r="K19" s="265"/>
      <c r="L19" s="265"/>
      <c r="M19" s="265"/>
      <c r="N19" s="265"/>
      <c r="O19" s="265"/>
      <c r="P19" s="265"/>
      <c r="Q19" s="265"/>
      <c r="R19" s="157">
        <v>0.0</v>
      </c>
      <c r="S19" s="157">
        <v>0.0</v>
      </c>
      <c r="T19" s="551" t="s">
        <v>354</v>
      </c>
      <c r="U19" s="551" t="s">
        <v>354</v>
      </c>
      <c r="V19" s="551" t="s">
        <v>354</v>
      </c>
      <c r="W19" s="157">
        <v>0.0</v>
      </c>
      <c r="X19" s="157">
        <v>0.0</v>
      </c>
      <c r="Y19" s="157" t="s">
        <v>354</v>
      </c>
      <c r="Z19" s="157" t="s">
        <v>354</v>
      </c>
      <c r="AA19" s="359" t="s">
        <v>356</v>
      </c>
      <c r="AB19" s="359" t="s">
        <v>354</v>
      </c>
      <c r="AC19" s="365" t="s">
        <v>365</v>
      </c>
      <c r="AD19" s="391" t="s">
        <v>380</v>
      </c>
      <c r="AE19" s="139" t="s">
        <v>356</v>
      </c>
      <c r="AF19" s="139" t="s">
        <v>354</v>
      </c>
      <c r="AG19" s="367">
        <f t="shared" si="1"/>
        <v>1</v>
      </c>
      <c r="AH19" s="265"/>
      <c r="AI19" s="265"/>
      <c r="AJ19" s="265"/>
      <c r="AK19" s="265"/>
      <c r="AL19" s="157">
        <v>0.0</v>
      </c>
      <c r="AM19" s="157">
        <v>0.0</v>
      </c>
      <c r="AN19" s="157">
        <v>0.0</v>
      </c>
      <c r="AO19" s="157">
        <v>0.0</v>
      </c>
      <c r="AP19" s="157">
        <v>0.0</v>
      </c>
      <c r="AQ19" s="157">
        <v>0.0</v>
      </c>
      <c r="AR19" s="157">
        <v>1.0</v>
      </c>
      <c r="AS19" s="157">
        <v>0.0</v>
      </c>
      <c r="AT19" s="385">
        <f t="shared" si="2"/>
        <v>1</v>
      </c>
      <c r="AU19" s="385">
        <f t="shared" si="3"/>
        <v>1</v>
      </c>
    </row>
    <row r="20">
      <c r="A20" s="157">
        <v>19.0</v>
      </c>
      <c r="B20" s="157" t="s">
        <v>126</v>
      </c>
      <c r="C20" s="49" t="s">
        <v>560</v>
      </c>
      <c r="D20" s="18" t="s">
        <v>561</v>
      </c>
      <c r="E20" s="631">
        <v>40487.0</v>
      </c>
      <c r="F20" s="265"/>
      <c r="G20" s="265"/>
      <c r="H20" s="265"/>
      <c r="I20" s="265"/>
      <c r="J20" s="265"/>
      <c r="K20" s="265"/>
      <c r="L20" s="265"/>
      <c r="M20" s="265"/>
      <c r="N20" s="265"/>
      <c r="O20" s="265"/>
      <c r="P20" s="265"/>
      <c r="Q20" s="265"/>
      <c r="R20" s="157">
        <v>0.0</v>
      </c>
      <c r="S20" s="157">
        <v>0.0</v>
      </c>
      <c r="T20" s="551" t="s">
        <v>354</v>
      </c>
      <c r="U20" s="551" t="s">
        <v>354</v>
      </c>
      <c r="V20" s="551" t="s">
        <v>354</v>
      </c>
      <c r="W20" s="157">
        <v>0.0</v>
      </c>
      <c r="X20" s="157">
        <v>0.0</v>
      </c>
      <c r="Y20" s="157" t="s">
        <v>354</v>
      </c>
      <c r="Z20" s="157" t="s">
        <v>354</v>
      </c>
      <c r="AA20" s="355" t="s">
        <v>365</v>
      </c>
      <c r="AB20" s="162" t="s">
        <v>363</v>
      </c>
      <c r="AC20" s="356" t="s">
        <v>365</v>
      </c>
      <c r="AD20" s="162" t="s">
        <v>363</v>
      </c>
      <c r="AE20" s="144" t="s">
        <v>365</v>
      </c>
      <c r="AF20" s="162" t="s">
        <v>363</v>
      </c>
      <c r="AG20" s="357">
        <f t="shared" si="1"/>
        <v>3</v>
      </c>
      <c r="AH20" s="265"/>
      <c r="AI20" s="265"/>
      <c r="AJ20" s="265"/>
      <c r="AK20" s="265"/>
      <c r="AL20" s="157">
        <v>0.0</v>
      </c>
      <c r="AM20" s="157">
        <v>0.0</v>
      </c>
      <c r="AN20" s="157">
        <v>0.0</v>
      </c>
      <c r="AO20" s="157">
        <v>3.0</v>
      </c>
      <c r="AP20" s="157">
        <v>0.0</v>
      </c>
      <c r="AQ20" s="157">
        <v>0.0</v>
      </c>
      <c r="AR20" s="157">
        <v>0.0</v>
      </c>
      <c r="AS20" s="157">
        <v>0.0</v>
      </c>
      <c r="AT20" s="388">
        <f t="shared" si="2"/>
        <v>3</v>
      </c>
      <c r="AU20" s="388">
        <f t="shared" si="3"/>
        <v>1</v>
      </c>
    </row>
    <row r="21">
      <c r="A21" s="157">
        <v>20.0</v>
      </c>
      <c r="B21" s="157" t="s">
        <v>129</v>
      </c>
      <c r="C21" s="46" t="s">
        <v>129</v>
      </c>
      <c r="D21" s="18" t="s">
        <v>564</v>
      </c>
      <c r="E21" s="631">
        <v>40487.0</v>
      </c>
      <c r="F21" s="265"/>
      <c r="G21" s="265"/>
      <c r="H21" s="265"/>
      <c r="I21" s="265"/>
      <c r="J21" s="265"/>
      <c r="K21" s="265"/>
      <c r="L21" s="265"/>
      <c r="M21" s="265"/>
      <c r="N21" s="265"/>
      <c r="O21" s="265"/>
      <c r="P21" s="265"/>
      <c r="Q21" s="265"/>
      <c r="R21" s="157">
        <v>0.0</v>
      </c>
      <c r="S21" s="157">
        <v>0.0</v>
      </c>
      <c r="T21" s="551" t="s">
        <v>354</v>
      </c>
      <c r="U21" s="551" t="s">
        <v>354</v>
      </c>
      <c r="V21" s="551" t="s">
        <v>354</v>
      </c>
      <c r="W21" s="157">
        <v>0.0</v>
      </c>
      <c r="X21" s="157">
        <v>0.0</v>
      </c>
      <c r="Y21" s="157" t="s">
        <v>354</v>
      </c>
      <c r="Z21" s="157" t="s">
        <v>354</v>
      </c>
      <c r="AA21" s="359" t="s">
        <v>356</v>
      </c>
      <c r="AB21" s="359" t="s">
        <v>354</v>
      </c>
      <c r="AC21" s="632" t="s">
        <v>356</v>
      </c>
      <c r="AD21" s="632" t="s">
        <v>354</v>
      </c>
      <c r="AE21" s="139" t="s">
        <v>356</v>
      </c>
      <c r="AF21" s="139" t="s">
        <v>354</v>
      </c>
      <c r="AG21" s="46">
        <f t="shared" si="1"/>
        <v>0</v>
      </c>
      <c r="AH21" s="265"/>
      <c r="AI21" s="265"/>
      <c r="AJ21" s="265"/>
      <c r="AK21" s="265"/>
      <c r="AL21" s="157">
        <v>0.0</v>
      </c>
      <c r="AM21" s="157">
        <v>0.0</v>
      </c>
      <c r="AN21" s="157">
        <v>0.0</v>
      </c>
      <c r="AO21" s="157">
        <v>0.0</v>
      </c>
      <c r="AP21" s="157">
        <v>0.0</v>
      </c>
      <c r="AQ21" s="157">
        <v>0.0</v>
      </c>
      <c r="AR21" s="157">
        <v>0.0</v>
      </c>
      <c r="AS21" s="157">
        <v>0.0</v>
      </c>
      <c r="AT21" s="265">
        <f t="shared" si="2"/>
        <v>0</v>
      </c>
      <c r="AU21" s="265">
        <f t="shared" si="3"/>
        <v>0</v>
      </c>
    </row>
    <row r="22">
      <c r="A22" s="157">
        <v>21.0</v>
      </c>
      <c r="B22" s="638" t="s">
        <v>132</v>
      </c>
      <c r="C22" s="606" t="s">
        <v>1425</v>
      </c>
      <c r="D22" s="602" t="s">
        <v>573</v>
      </c>
      <c r="E22" s="631">
        <v>40487.0</v>
      </c>
      <c r="F22" s="265"/>
      <c r="G22" s="265"/>
      <c r="H22" s="265"/>
      <c r="I22" s="265"/>
      <c r="J22" s="265"/>
      <c r="K22" s="265"/>
      <c r="L22" s="265"/>
      <c r="M22" s="265"/>
      <c r="N22" s="265"/>
      <c r="O22" s="265"/>
      <c r="P22" s="265"/>
      <c r="Q22" s="265"/>
      <c r="R22" s="157">
        <v>0.0</v>
      </c>
      <c r="S22" s="140">
        <v>35.96</v>
      </c>
      <c r="T22" s="551" t="s">
        <v>356</v>
      </c>
      <c r="U22" s="551" t="s">
        <v>356</v>
      </c>
      <c r="V22" s="551" t="s">
        <v>356</v>
      </c>
      <c r="W22" s="157">
        <v>0.0</v>
      </c>
      <c r="X22" s="140">
        <v>33.54</v>
      </c>
      <c r="Y22" s="157" t="s">
        <v>356</v>
      </c>
      <c r="Z22" s="157" t="s">
        <v>354</v>
      </c>
      <c r="AA22" s="355" t="s">
        <v>365</v>
      </c>
      <c r="AB22" s="40" t="s">
        <v>357</v>
      </c>
      <c r="AC22" s="356" t="s">
        <v>365</v>
      </c>
      <c r="AD22" s="40" t="s">
        <v>357</v>
      </c>
      <c r="AE22" s="144" t="s">
        <v>365</v>
      </c>
      <c r="AF22" s="143" t="s">
        <v>358</v>
      </c>
      <c r="AG22" s="357">
        <f t="shared" si="1"/>
        <v>3</v>
      </c>
      <c r="AH22" s="265"/>
      <c r="AI22" s="265"/>
      <c r="AJ22" s="265"/>
      <c r="AK22" s="265"/>
      <c r="AL22" s="157">
        <v>0.0</v>
      </c>
      <c r="AM22" s="157">
        <v>0.0</v>
      </c>
      <c r="AN22" s="157">
        <v>1.0</v>
      </c>
      <c r="AO22" s="157">
        <v>0.0</v>
      </c>
      <c r="AP22" s="157">
        <v>0.0</v>
      </c>
      <c r="AQ22" s="157">
        <v>2.0</v>
      </c>
      <c r="AR22" s="157">
        <v>0.0</v>
      </c>
      <c r="AS22" s="157">
        <v>0.0</v>
      </c>
      <c r="AT22" s="388">
        <f t="shared" si="2"/>
        <v>3</v>
      </c>
      <c r="AU22" s="388">
        <f t="shared" si="3"/>
        <v>2</v>
      </c>
    </row>
    <row r="23">
      <c r="A23" s="157">
        <v>22.0</v>
      </c>
      <c r="B23" s="157" t="s">
        <v>135</v>
      </c>
      <c r="C23" s="46" t="s">
        <v>135</v>
      </c>
      <c r="D23" s="18" t="s">
        <v>596</v>
      </c>
      <c r="E23" s="631">
        <v>40487.0</v>
      </c>
      <c r="F23" s="265"/>
      <c r="G23" s="265"/>
      <c r="H23" s="265"/>
      <c r="I23" s="265"/>
      <c r="J23" s="265"/>
      <c r="K23" s="265"/>
      <c r="L23" s="265"/>
      <c r="M23" s="265"/>
      <c r="N23" s="265"/>
      <c r="O23" s="265"/>
      <c r="P23" s="265"/>
      <c r="Q23" s="265"/>
      <c r="R23" s="157">
        <v>0.0</v>
      </c>
      <c r="S23" s="157">
        <v>0.0</v>
      </c>
      <c r="T23" s="551" t="s">
        <v>354</v>
      </c>
      <c r="U23" s="551" t="s">
        <v>354</v>
      </c>
      <c r="V23" s="551" t="s">
        <v>354</v>
      </c>
      <c r="W23" s="157">
        <v>0.0</v>
      </c>
      <c r="X23" s="157">
        <v>0.0</v>
      </c>
      <c r="Y23" s="157" t="s">
        <v>354</v>
      </c>
      <c r="Z23" s="157" t="s">
        <v>354</v>
      </c>
      <c r="AA23" s="364" t="s">
        <v>361</v>
      </c>
      <c r="AB23" s="364" t="s">
        <v>361</v>
      </c>
      <c r="AC23" s="632" t="s">
        <v>356</v>
      </c>
      <c r="AD23" s="632" t="s">
        <v>354</v>
      </c>
      <c r="AE23" s="144" t="s">
        <v>365</v>
      </c>
      <c r="AF23" s="90" t="s">
        <v>413</v>
      </c>
      <c r="AG23" s="367">
        <f t="shared" si="1"/>
        <v>1</v>
      </c>
      <c r="AH23" s="265"/>
      <c r="AI23" s="265"/>
      <c r="AJ23" s="265"/>
      <c r="AK23" s="265"/>
      <c r="AL23" s="157">
        <v>0.0</v>
      </c>
      <c r="AM23" s="157">
        <v>0.0</v>
      </c>
      <c r="AN23" s="157">
        <v>0.0</v>
      </c>
      <c r="AO23" s="157">
        <v>0.0</v>
      </c>
      <c r="AP23" s="157">
        <v>1.0</v>
      </c>
      <c r="AQ23" s="157">
        <v>0.0</v>
      </c>
      <c r="AR23" s="157">
        <v>0.0</v>
      </c>
      <c r="AS23" s="157">
        <v>0.0</v>
      </c>
      <c r="AT23" s="385">
        <f t="shared" si="2"/>
        <v>1</v>
      </c>
      <c r="AU23" s="385">
        <f t="shared" si="3"/>
        <v>1</v>
      </c>
    </row>
    <row r="24">
      <c r="A24" s="157">
        <v>23.0</v>
      </c>
      <c r="B24" s="157" t="s">
        <v>138</v>
      </c>
      <c r="C24" s="46" t="s">
        <v>138</v>
      </c>
      <c r="D24" s="98" t="s">
        <v>1614</v>
      </c>
      <c r="E24" s="631">
        <v>40487.0</v>
      </c>
      <c r="F24" s="265"/>
      <c r="G24" s="265"/>
      <c r="H24" s="265"/>
      <c r="I24" s="265"/>
      <c r="J24" s="265"/>
      <c r="K24" s="265"/>
      <c r="L24" s="265"/>
      <c r="M24" s="265"/>
      <c r="N24" s="265"/>
      <c r="O24" s="265"/>
      <c r="P24" s="265"/>
      <c r="Q24" s="265"/>
      <c r="R24" s="157">
        <v>0.0</v>
      </c>
      <c r="S24" s="157">
        <v>0.0</v>
      </c>
      <c r="T24" s="551" t="s">
        <v>354</v>
      </c>
      <c r="U24" s="551" t="s">
        <v>354</v>
      </c>
      <c r="V24" s="551" t="s">
        <v>354</v>
      </c>
      <c r="W24" s="157">
        <v>0.0</v>
      </c>
      <c r="X24" s="157">
        <v>0.0</v>
      </c>
      <c r="Y24" s="157" t="s">
        <v>354</v>
      </c>
      <c r="Z24" s="157" t="s">
        <v>354</v>
      </c>
      <c r="AA24" s="359" t="s">
        <v>356</v>
      </c>
      <c r="AB24" s="359" t="s">
        <v>354</v>
      </c>
      <c r="AC24" s="632" t="s">
        <v>356</v>
      </c>
      <c r="AD24" s="632" t="s">
        <v>354</v>
      </c>
      <c r="AE24" s="139" t="s">
        <v>356</v>
      </c>
      <c r="AF24" s="139" t="s">
        <v>354</v>
      </c>
      <c r="AG24" s="46">
        <f t="shared" si="1"/>
        <v>0</v>
      </c>
      <c r="AH24" s="265"/>
      <c r="AI24" s="265"/>
      <c r="AJ24" s="265"/>
      <c r="AK24" s="265"/>
      <c r="AL24" s="157">
        <v>0.0</v>
      </c>
      <c r="AM24" s="157">
        <v>0.0</v>
      </c>
      <c r="AN24" s="157">
        <v>0.0</v>
      </c>
      <c r="AO24" s="157">
        <v>0.0</v>
      </c>
      <c r="AP24" s="157">
        <v>0.0</v>
      </c>
      <c r="AQ24" s="157">
        <v>0.0</v>
      </c>
      <c r="AR24" s="157">
        <v>0.0</v>
      </c>
      <c r="AS24" s="157">
        <v>0.0</v>
      </c>
      <c r="AT24" s="265">
        <f t="shared" si="2"/>
        <v>0</v>
      </c>
      <c r="AU24" s="265">
        <f t="shared" si="3"/>
        <v>0</v>
      </c>
    </row>
    <row r="25">
      <c r="A25" s="157">
        <v>24.0</v>
      </c>
      <c r="B25" s="157" t="s">
        <v>141</v>
      </c>
      <c r="C25" s="46" t="s">
        <v>141</v>
      </c>
      <c r="D25" s="18" t="s">
        <v>609</v>
      </c>
      <c r="E25" s="631">
        <v>40487.0</v>
      </c>
      <c r="F25" s="265"/>
      <c r="G25" s="265"/>
      <c r="H25" s="265"/>
      <c r="I25" s="265"/>
      <c r="J25" s="265"/>
      <c r="K25" s="265"/>
      <c r="L25" s="265"/>
      <c r="M25" s="265"/>
      <c r="N25" s="265"/>
      <c r="O25" s="265"/>
      <c r="P25" s="265"/>
      <c r="Q25" s="265"/>
      <c r="R25" s="157">
        <v>0.0</v>
      </c>
      <c r="S25" s="157">
        <v>0.0</v>
      </c>
      <c r="T25" s="551" t="s">
        <v>354</v>
      </c>
      <c r="U25" s="551" t="s">
        <v>354</v>
      </c>
      <c r="V25" s="551" t="s">
        <v>354</v>
      </c>
      <c r="W25" s="157">
        <v>0.0</v>
      </c>
      <c r="X25" s="157">
        <v>0.0</v>
      </c>
      <c r="Y25" s="157" t="s">
        <v>354</v>
      </c>
      <c r="Z25" s="157" t="s">
        <v>354</v>
      </c>
      <c r="AA25" s="359" t="s">
        <v>356</v>
      </c>
      <c r="AB25" s="359" t="s">
        <v>354</v>
      </c>
      <c r="AC25" s="632" t="s">
        <v>356</v>
      </c>
      <c r="AD25" s="632" t="s">
        <v>354</v>
      </c>
      <c r="AE25" s="139" t="s">
        <v>356</v>
      </c>
      <c r="AF25" s="139" t="s">
        <v>354</v>
      </c>
      <c r="AG25" s="46">
        <f t="shared" si="1"/>
        <v>0</v>
      </c>
      <c r="AH25" s="265"/>
      <c r="AI25" s="265"/>
      <c r="AJ25" s="265"/>
      <c r="AK25" s="265"/>
      <c r="AL25" s="157">
        <v>0.0</v>
      </c>
      <c r="AM25" s="157">
        <v>0.0</v>
      </c>
      <c r="AN25" s="157">
        <v>0.0</v>
      </c>
      <c r="AO25" s="157">
        <v>0.0</v>
      </c>
      <c r="AP25" s="157">
        <v>0.0</v>
      </c>
      <c r="AQ25" s="157">
        <v>0.0</v>
      </c>
      <c r="AR25" s="157">
        <v>0.0</v>
      </c>
      <c r="AS25" s="157">
        <v>0.0</v>
      </c>
      <c r="AT25" s="265">
        <f t="shared" si="2"/>
        <v>0</v>
      </c>
      <c r="AU25" s="265">
        <f t="shared" si="3"/>
        <v>0</v>
      </c>
    </row>
    <row r="26">
      <c r="A26" s="157">
        <v>25.0</v>
      </c>
      <c r="B26" s="157" t="s">
        <v>144</v>
      </c>
      <c r="C26" s="49" t="s">
        <v>616</v>
      </c>
      <c r="D26" s="18" t="s">
        <v>617</v>
      </c>
      <c r="E26" s="631">
        <v>40487.0</v>
      </c>
      <c r="F26" s="265"/>
      <c r="G26" s="265"/>
      <c r="H26" s="265"/>
      <c r="I26" s="265"/>
      <c r="J26" s="265"/>
      <c r="K26" s="265"/>
      <c r="L26" s="265"/>
      <c r="M26" s="265"/>
      <c r="N26" s="265"/>
      <c r="O26" s="265"/>
      <c r="P26" s="265"/>
      <c r="Q26" s="265"/>
      <c r="R26" s="157">
        <v>0.0</v>
      </c>
      <c r="S26" s="157">
        <v>0.0</v>
      </c>
      <c r="T26" s="551" t="s">
        <v>354</v>
      </c>
      <c r="U26" s="551" t="s">
        <v>354</v>
      </c>
      <c r="V26" s="551" t="s">
        <v>354</v>
      </c>
      <c r="W26" s="157">
        <v>0.0</v>
      </c>
      <c r="X26" s="157">
        <v>0.0</v>
      </c>
      <c r="Y26" s="157" t="s">
        <v>354</v>
      </c>
      <c r="Z26" s="157" t="s">
        <v>354</v>
      </c>
      <c r="AA26" s="359" t="s">
        <v>356</v>
      </c>
      <c r="AB26" s="359" t="s">
        <v>354</v>
      </c>
      <c r="AC26" s="632" t="s">
        <v>356</v>
      </c>
      <c r="AD26" s="632" t="s">
        <v>354</v>
      </c>
      <c r="AE26" s="139" t="s">
        <v>356</v>
      </c>
      <c r="AF26" s="139" t="s">
        <v>354</v>
      </c>
      <c r="AG26" s="46">
        <f t="shared" si="1"/>
        <v>0</v>
      </c>
      <c r="AH26" s="265"/>
      <c r="AI26" s="265"/>
      <c r="AJ26" s="265"/>
      <c r="AK26" s="265"/>
      <c r="AL26" s="157">
        <v>0.0</v>
      </c>
      <c r="AM26" s="157">
        <v>0.0</v>
      </c>
      <c r="AN26" s="157">
        <v>0.0</v>
      </c>
      <c r="AO26" s="157">
        <v>0.0</v>
      </c>
      <c r="AP26" s="157">
        <v>0.0</v>
      </c>
      <c r="AQ26" s="157">
        <v>0.0</v>
      </c>
      <c r="AR26" s="157">
        <v>0.0</v>
      </c>
      <c r="AS26" s="157">
        <v>0.0</v>
      </c>
      <c r="AT26" s="265">
        <f t="shared" si="2"/>
        <v>0</v>
      </c>
      <c r="AU26" s="265">
        <f t="shared" si="3"/>
        <v>0</v>
      </c>
    </row>
    <row r="27">
      <c r="A27" s="157">
        <v>26.0</v>
      </c>
      <c r="B27" s="157" t="s">
        <v>152</v>
      </c>
      <c r="C27" s="46" t="s">
        <v>152</v>
      </c>
      <c r="D27" s="18" t="s">
        <v>629</v>
      </c>
      <c r="E27" s="631">
        <v>40487.0</v>
      </c>
      <c r="F27" s="265"/>
      <c r="G27" s="265"/>
      <c r="H27" s="265"/>
      <c r="I27" s="265"/>
      <c r="J27" s="265"/>
      <c r="K27" s="265"/>
      <c r="L27" s="265"/>
      <c r="M27" s="265"/>
      <c r="N27" s="265"/>
      <c r="O27" s="265"/>
      <c r="P27" s="265"/>
      <c r="Q27" s="265"/>
      <c r="R27" s="140">
        <v>33.88</v>
      </c>
      <c r="S27" s="157">
        <v>0.0</v>
      </c>
      <c r="T27" s="551" t="s">
        <v>354</v>
      </c>
      <c r="U27" s="551" t="s">
        <v>354</v>
      </c>
      <c r="V27" s="551" t="s">
        <v>354</v>
      </c>
      <c r="W27" s="157">
        <v>0.0</v>
      </c>
      <c r="X27" s="157">
        <v>0.0</v>
      </c>
      <c r="Y27" s="157" t="s">
        <v>354</v>
      </c>
      <c r="Z27" s="157" t="s">
        <v>354</v>
      </c>
      <c r="AA27" s="355" t="s">
        <v>365</v>
      </c>
      <c r="AB27" s="40" t="s">
        <v>357</v>
      </c>
      <c r="AC27" s="356" t="s">
        <v>365</v>
      </c>
      <c r="AD27" s="40" t="s">
        <v>357</v>
      </c>
      <c r="AE27" s="144" t="s">
        <v>365</v>
      </c>
      <c r="AF27" s="40" t="s">
        <v>357</v>
      </c>
      <c r="AG27" s="357">
        <f t="shared" si="1"/>
        <v>4</v>
      </c>
      <c r="AH27" s="265"/>
      <c r="AI27" s="265"/>
      <c r="AJ27" s="265"/>
      <c r="AK27" s="265"/>
      <c r="AL27" s="157">
        <v>0.0</v>
      </c>
      <c r="AM27" s="157">
        <v>0.0</v>
      </c>
      <c r="AN27" s="157">
        <v>0.0</v>
      </c>
      <c r="AO27" s="157">
        <v>0.0</v>
      </c>
      <c r="AP27" s="157">
        <v>0.0</v>
      </c>
      <c r="AQ27" s="157">
        <v>3.0</v>
      </c>
      <c r="AR27" s="157">
        <v>0.0</v>
      </c>
      <c r="AS27" s="157">
        <v>0.0</v>
      </c>
      <c r="AT27" s="388">
        <f t="shared" si="2"/>
        <v>3</v>
      </c>
      <c r="AU27" s="388">
        <f t="shared" si="3"/>
        <v>1</v>
      </c>
    </row>
    <row r="28">
      <c r="A28" s="157">
        <v>27.0</v>
      </c>
      <c r="B28" s="157" t="s">
        <v>158</v>
      </c>
      <c r="C28" s="46" t="s">
        <v>158</v>
      </c>
      <c r="D28" s="18" t="s">
        <v>640</v>
      </c>
      <c r="E28" s="631">
        <v>40487.0</v>
      </c>
      <c r="F28" s="265"/>
      <c r="G28" s="265"/>
      <c r="H28" s="265"/>
      <c r="I28" s="265"/>
      <c r="J28" s="265"/>
      <c r="K28" s="265"/>
      <c r="L28" s="265"/>
      <c r="M28" s="265"/>
      <c r="N28" s="265"/>
      <c r="O28" s="265"/>
      <c r="P28" s="265"/>
      <c r="Q28" s="265"/>
      <c r="R28" s="157">
        <v>0.0</v>
      </c>
      <c r="S28" s="157">
        <v>0.0</v>
      </c>
      <c r="T28" s="551" t="s">
        <v>354</v>
      </c>
      <c r="U28" s="551" t="s">
        <v>354</v>
      </c>
      <c r="V28" s="551" t="s">
        <v>354</v>
      </c>
      <c r="W28" s="157">
        <v>0.0</v>
      </c>
      <c r="X28" s="157">
        <v>0.0</v>
      </c>
      <c r="Y28" s="157" t="s">
        <v>354</v>
      </c>
      <c r="Z28" s="157" t="s">
        <v>354</v>
      </c>
      <c r="AA28" s="359" t="s">
        <v>356</v>
      </c>
      <c r="AB28" s="359" t="s">
        <v>354</v>
      </c>
      <c r="AC28" s="356" t="s">
        <v>365</v>
      </c>
      <c r="AD28" s="40" t="s">
        <v>357</v>
      </c>
      <c r="AE28" s="144" t="s">
        <v>365</v>
      </c>
      <c r="AF28" s="40" t="s">
        <v>357</v>
      </c>
      <c r="AG28" s="357">
        <f t="shared" si="1"/>
        <v>2</v>
      </c>
      <c r="AH28" s="265"/>
      <c r="AI28" s="265"/>
      <c r="AJ28" s="265"/>
      <c r="AK28" s="265"/>
      <c r="AL28" s="157">
        <v>0.0</v>
      </c>
      <c r="AM28" s="157">
        <v>0.0</v>
      </c>
      <c r="AN28" s="157">
        <v>0.0</v>
      </c>
      <c r="AO28" s="157">
        <v>0.0</v>
      </c>
      <c r="AP28" s="157">
        <v>0.0</v>
      </c>
      <c r="AQ28" s="157">
        <v>2.0</v>
      </c>
      <c r="AR28" s="157">
        <v>0.0</v>
      </c>
      <c r="AS28" s="157">
        <v>0.0</v>
      </c>
      <c r="AT28" s="388">
        <f t="shared" si="2"/>
        <v>2</v>
      </c>
      <c r="AU28" s="388">
        <f t="shared" si="3"/>
        <v>1</v>
      </c>
    </row>
    <row r="29">
      <c r="A29" s="157">
        <v>28.0</v>
      </c>
      <c r="B29" s="157" t="s">
        <v>165</v>
      </c>
      <c r="C29" s="46" t="s">
        <v>165</v>
      </c>
      <c r="D29" s="18" t="s">
        <v>650</v>
      </c>
      <c r="E29" s="631">
        <v>40487.0</v>
      </c>
      <c r="F29" s="265"/>
      <c r="G29" s="265"/>
      <c r="H29" s="265"/>
      <c r="I29" s="265"/>
      <c r="J29" s="265"/>
      <c r="K29" s="265"/>
      <c r="L29" s="265"/>
      <c r="M29" s="265"/>
      <c r="N29" s="265"/>
      <c r="O29" s="265"/>
      <c r="P29" s="265"/>
      <c r="Q29" s="265"/>
      <c r="R29" s="140">
        <v>29.92</v>
      </c>
      <c r="S29" s="157">
        <v>0.0</v>
      </c>
      <c r="T29" s="551" t="s">
        <v>354</v>
      </c>
      <c r="U29" s="551" t="s">
        <v>354</v>
      </c>
      <c r="V29" s="551" t="s">
        <v>354</v>
      </c>
      <c r="W29" s="157">
        <v>0.0</v>
      </c>
      <c r="X29" s="157">
        <v>0.0</v>
      </c>
      <c r="Y29" s="157" t="s">
        <v>354</v>
      </c>
      <c r="Z29" s="157" t="s">
        <v>354</v>
      </c>
      <c r="AA29" s="364" t="s">
        <v>361</v>
      </c>
      <c r="AB29" s="364" t="s">
        <v>361</v>
      </c>
      <c r="AC29" s="365" t="s">
        <v>365</v>
      </c>
      <c r="AD29" s="391" t="s">
        <v>380</v>
      </c>
      <c r="AE29" s="139" t="s">
        <v>356</v>
      </c>
      <c r="AF29" s="139" t="s">
        <v>354</v>
      </c>
      <c r="AG29" s="357">
        <f t="shared" si="1"/>
        <v>2</v>
      </c>
      <c r="AH29" s="265"/>
      <c r="AI29" s="265"/>
      <c r="AJ29" s="265"/>
      <c r="AK29" s="265"/>
      <c r="AL29" s="157">
        <v>0.0</v>
      </c>
      <c r="AM29" s="157">
        <v>0.0</v>
      </c>
      <c r="AN29" s="157">
        <v>0.0</v>
      </c>
      <c r="AO29" s="157">
        <v>0.0</v>
      </c>
      <c r="AP29" s="157">
        <v>0.0</v>
      </c>
      <c r="AQ29" s="157">
        <v>0.0</v>
      </c>
      <c r="AR29" s="157">
        <v>1.0</v>
      </c>
      <c r="AS29" s="157">
        <v>0.0</v>
      </c>
      <c r="AT29" s="388">
        <f t="shared" si="2"/>
        <v>1</v>
      </c>
      <c r="AU29" s="388">
        <f t="shared" si="3"/>
        <v>1</v>
      </c>
    </row>
    <row r="30">
      <c r="A30" s="157">
        <v>29.0</v>
      </c>
      <c r="B30" s="157" t="s">
        <v>168</v>
      </c>
      <c r="C30" s="46" t="s">
        <v>168</v>
      </c>
      <c r="D30" s="18" t="s">
        <v>656</v>
      </c>
      <c r="E30" s="631">
        <v>40487.0</v>
      </c>
      <c r="F30" s="265"/>
      <c r="G30" s="265"/>
      <c r="H30" s="265"/>
      <c r="I30" s="265"/>
      <c r="J30" s="265"/>
      <c r="K30" s="265"/>
      <c r="L30" s="265"/>
      <c r="M30" s="265"/>
      <c r="N30" s="265"/>
      <c r="O30" s="265"/>
      <c r="P30" s="265"/>
      <c r="Q30" s="265"/>
      <c r="R30" s="157">
        <v>0.0</v>
      </c>
      <c r="S30" s="157">
        <v>0.0</v>
      </c>
      <c r="T30" s="551" t="s">
        <v>354</v>
      </c>
      <c r="U30" s="551" t="s">
        <v>354</v>
      </c>
      <c r="V30" s="551" t="s">
        <v>354</v>
      </c>
      <c r="W30" s="157">
        <v>0.0</v>
      </c>
      <c r="X30" s="157">
        <v>0.0</v>
      </c>
      <c r="Y30" s="157" t="s">
        <v>354</v>
      </c>
      <c r="Z30" s="157" t="s">
        <v>354</v>
      </c>
      <c r="AA30" s="359" t="s">
        <v>356</v>
      </c>
      <c r="AB30" s="359" t="s">
        <v>354</v>
      </c>
      <c r="AC30" s="632" t="s">
        <v>356</v>
      </c>
      <c r="AD30" s="632" t="s">
        <v>354</v>
      </c>
      <c r="AE30" s="139" t="s">
        <v>356</v>
      </c>
      <c r="AF30" s="139" t="s">
        <v>354</v>
      </c>
      <c r="AG30" s="46">
        <f t="shared" si="1"/>
        <v>0</v>
      </c>
      <c r="AH30" s="265"/>
      <c r="AI30" s="265"/>
      <c r="AJ30" s="265"/>
      <c r="AK30" s="265"/>
      <c r="AL30" s="157">
        <v>0.0</v>
      </c>
      <c r="AM30" s="157">
        <v>0.0</v>
      </c>
      <c r="AN30" s="157">
        <v>0.0</v>
      </c>
      <c r="AO30" s="157">
        <v>0.0</v>
      </c>
      <c r="AP30" s="157">
        <v>0.0</v>
      </c>
      <c r="AQ30" s="157">
        <v>0.0</v>
      </c>
      <c r="AR30" s="157">
        <v>0.0</v>
      </c>
      <c r="AS30" s="157">
        <v>0.0</v>
      </c>
      <c r="AT30" s="265">
        <f t="shared" si="2"/>
        <v>0</v>
      </c>
      <c r="AU30" s="265">
        <f t="shared" si="3"/>
        <v>0</v>
      </c>
    </row>
    <row r="31">
      <c r="A31" s="157">
        <v>30.0</v>
      </c>
      <c r="B31" s="157" t="s">
        <v>171</v>
      </c>
      <c r="C31" s="46" t="s">
        <v>171</v>
      </c>
      <c r="D31" s="18" t="s">
        <v>658</v>
      </c>
      <c r="E31" s="631">
        <v>40487.0</v>
      </c>
      <c r="F31" s="265"/>
      <c r="G31" s="265"/>
      <c r="H31" s="265"/>
      <c r="I31" s="265"/>
      <c r="J31" s="265"/>
      <c r="K31" s="265"/>
      <c r="L31" s="265"/>
      <c r="M31" s="265"/>
      <c r="N31" s="265"/>
      <c r="O31" s="265"/>
      <c r="P31" s="265"/>
      <c r="Q31" s="265"/>
      <c r="R31" s="157">
        <v>0.0</v>
      </c>
      <c r="S31" s="157">
        <v>0.0</v>
      </c>
      <c r="T31" s="551" t="s">
        <v>354</v>
      </c>
      <c r="U31" s="551" t="s">
        <v>354</v>
      </c>
      <c r="V31" s="551" t="s">
        <v>354</v>
      </c>
      <c r="W31" s="157">
        <v>0.0</v>
      </c>
      <c r="X31" s="157">
        <v>0.0</v>
      </c>
      <c r="Y31" s="157" t="s">
        <v>354</v>
      </c>
      <c r="Z31" s="157" t="s">
        <v>354</v>
      </c>
      <c r="AA31" s="359" t="s">
        <v>356</v>
      </c>
      <c r="AB31" s="359" t="s">
        <v>354</v>
      </c>
      <c r="AC31" s="632" t="s">
        <v>356</v>
      </c>
      <c r="AD31" s="632" t="s">
        <v>354</v>
      </c>
      <c r="AE31" s="139" t="s">
        <v>356</v>
      </c>
      <c r="AF31" s="139" t="s">
        <v>354</v>
      </c>
      <c r="AG31" s="46">
        <f t="shared" si="1"/>
        <v>0</v>
      </c>
      <c r="AH31" s="265"/>
      <c r="AI31" s="265"/>
      <c r="AJ31" s="265"/>
      <c r="AK31" s="265"/>
      <c r="AL31" s="157">
        <v>0.0</v>
      </c>
      <c r="AM31" s="157">
        <v>0.0</v>
      </c>
      <c r="AN31" s="157">
        <v>0.0</v>
      </c>
      <c r="AO31" s="157">
        <v>0.0</v>
      </c>
      <c r="AP31" s="157">
        <v>0.0</v>
      </c>
      <c r="AQ31" s="157">
        <v>0.0</v>
      </c>
      <c r="AR31" s="157">
        <v>0.0</v>
      </c>
      <c r="AS31" s="157">
        <v>0.0</v>
      </c>
      <c r="AT31" s="265">
        <f t="shared" si="2"/>
        <v>0</v>
      </c>
      <c r="AU31" s="265">
        <f t="shared" si="3"/>
        <v>0</v>
      </c>
    </row>
    <row r="32">
      <c r="A32" s="157">
        <v>31.0</v>
      </c>
      <c r="B32" s="157" t="s">
        <v>174</v>
      </c>
      <c r="C32" s="48" t="s">
        <v>174</v>
      </c>
      <c r="D32" s="98" t="s">
        <v>673</v>
      </c>
      <c r="E32" s="631">
        <v>40487.0</v>
      </c>
      <c r="F32" s="265"/>
      <c r="G32" s="265"/>
      <c r="H32" s="265"/>
      <c r="I32" s="265"/>
      <c r="J32" s="265"/>
      <c r="K32" s="265"/>
      <c r="L32" s="265"/>
      <c r="M32" s="265"/>
      <c r="N32" s="265"/>
      <c r="O32" s="265"/>
      <c r="P32" s="265"/>
      <c r="Q32" s="265"/>
      <c r="R32" s="157">
        <v>0.0</v>
      </c>
      <c r="S32" s="157">
        <v>0.0</v>
      </c>
      <c r="T32" s="551" t="s">
        <v>354</v>
      </c>
      <c r="U32" s="551" t="s">
        <v>354</v>
      </c>
      <c r="V32" s="551" t="s">
        <v>354</v>
      </c>
      <c r="W32" s="157">
        <v>0.0</v>
      </c>
      <c r="X32" s="157">
        <v>0.0</v>
      </c>
      <c r="Y32" s="157" t="s">
        <v>354</v>
      </c>
      <c r="Z32" s="157" t="s">
        <v>354</v>
      </c>
      <c r="AA32" s="355" t="s">
        <v>365</v>
      </c>
      <c r="AB32" s="40" t="s">
        <v>357</v>
      </c>
      <c r="AC32" s="356" t="s">
        <v>365</v>
      </c>
      <c r="AD32" s="40" t="s">
        <v>357</v>
      </c>
      <c r="AE32" s="144" t="s">
        <v>365</v>
      </c>
      <c r="AF32" s="40" t="s">
        <v>357</v>
      </c>
      <c r="AG32" s="357">
        <f t="shared" si="1"/>
        <v>3</v>
      </c>
      <c r="AH32" s="265"/>
      <c r="AI32" s="265"/>
      <c r="AJ32" s="265"/>
      <c r="AK32" s="265"/>
      <c r="AL32" s="157">
        <v>0.0</v>
      </c>
      <c r="AM32" s="157">
        <v>0.0</v>
      </c>
      <c r="AN32" s="157">
        <v>0.0</v>
      </c>
      <c r="AO32" s="157">
        <v>0.0</v>
      </c>
      <c r="AP32" s="157">
        <v>0.0</v>
      </c>
      <c r="AQ32" s="157">
        <v>3.0</v>
      </c>
      <c r="AR32" s="157">
        <v>0.0</v>
      </c>
      <c r="AS32" s="157">
        <v>0.0</v>
      </c>
      <c r="AT32" s="388">
        <f t="shared" si="2"/>
        <v>3</v>
      </c>
      <c r="AU32" s="388">
        <f t="shared" si="3"/>
        <v>1</v>
      </c>
    </row>
    <row r="33">
      <c r="A33" s="157">
        <v>32.0</v>
      </c>
      <c r="B33" s="157" t="s">
        <v>180</v>
      </c>
      <c r="C33" s="46" t="s">
        <v>180</v>
      </c>
      <c r="D33" s="18" t="s">
        <v>685</v>
      </c>
      <c r="E33" s="631">
        <v>40487.0</v>
      </c>
      <c r="F33" s="265"/>
      <c r="G33" s="265"/>
      <c r="H33" s="265"/>
      <c r="I33" s="265"/>
      <c r="J33" s="265"/>
      <c r="K33" s="265"/>
      <c r="L33" s="265"/>
      <c r="M33" s="265"/>
      <c r="N33" s="265"/>
      <c r="O33" s="265"/>
      <c r="P33" s="265"/>
      <c r="Q33" s="265"/>
      <c r="R33" s="77">
        <v>44.44</v>
      </c>
      <c r="S33" s="157">
        <v>0.0</v>
      </c>
      <c r="T33" s="551" t="s">
        <v>354</v>
      </c>
      <c r="U33" s="551" t="s">
        <v>354</v>
      </c>
      <c r="V33" s="551" t="s">
        <v>354</v>
      </c>
      <c r="W33" s="157">
        <v>0.0</v>
      </c>
      <c r="X33" s="157">
        <v>0.0</v>
      </c>
      <c r="Y33" s="157" t="s">
        <v>354</v>
      </c>
      <c r="Z33" s="157" t="s">
        <v>354</v>
      </c>
      <c r="AA33" s="355" t="s">
        <v>365</v>
      </c>
      <c r="AB33" s="40" t="s">
        <v>357</v>
      </c>
      <c r="AC33" s="356" t="s">
        <v>365</v>
      </c>
      <c r="AD33" s="40" t="s">
        <v>357</v>
      </c>
      <c r="AE33" s="144" t="s">
        <v>365</v>
      </c>
      <c r="AF33" s="40" t="s">
        <v>357</v>
      </c>
      <c r="AG33" s="357">
        <f t="shared" si="1"/>
        <v>4</v>
      </c>
      <c r="AH33" s="265"/>
      <c r="AI33" s="265"/>
      <c r="AJ33" s="265"/>
      <c r="AK33" s="265"/>
      <c r="AL33" s="157">
        <v>0.0</v>
      </c>
      <c r="AM33" s="157">
        <v>0.0</v>
      </c>
      <c r="AN33" s="157">
        <v>0.0</v>
      </c>
      <c r="AO33" s="157">
        <v>0.0</v>
      </c>
      <c r="AP33" s="157">
        <v>0.0</v>
      </c>
      <c r="AQ33" s="157">
        <v>3.0</v>
      </c>
      <c r="AR33" s="157">
        <v>0.0</v>
      </c>
      <c r="AS33" s="157">
        <v>0.0</v>
      </c>
      <c r="AT33" s="388">
        <f t="shared" si="2"/>
        <v>3</v>
      </c>
      <c r="AU33" s="388">
        <f t="shared" si="3"/>
        <v>1</v>
      </c>
    </row>
    <row r="34">
      <c r="A34" s="157">
        <v>33.0</v>
      </c>
      <c r="B34" s="157" t="s">
        <v>183</v>
      </c>
      <c r="C34" s="49" t="s">
        <v>694</v>
      </c>
      <c r="D34" s="18" t="s">
        <v>695</v>
      </c>
      <c r="E34" s="631">
        <v>40487.0</v>
      </c>
      <c r="F34" s="265"/>
      <c r="G34" s="265"/>
      <c r="H34" s="265"/>
      <c r="I34" s="265"/>
      <c r="J34" s="265"/>
      <c r="K34" s="265"/>
      <c r="L34" s="265"/>
      <c r="M34" s="265"/>
      <c r="N34" s="265"/>
      <c r="O34" s="265"/>
      <c r="P34" s="265"/>
      <c r="Q34" s="265"/>
      <c r="R34" s="140">
        <v>33.48</v>
      </c>
      <c r="S34" s="157">
        <v>0.0</v>
      </c>
      <c r="T34" s="551" t="s">
        <v>354</v>
      </c>
      <c r="U34" s="551" t="s">
        <v>354</v>
      </c>
      <c r="V34" s="551" t="s">
        <v>354</v>
      </c>
      <c r="W34" s="157">
        <v>0.0</v>
      </c>
      <c r="X34" s="157">
        <v>0.0</v>
      </c>
      <c r="Y34" s="157" t="s">
        <v>354</v>
      </c>
      <c r="Z34" s="157" t="s">
        <v>354</v>
      </c>
      <c r="AA34" s="355" t="s">
        <v>365</v>
      </c>
      <c r="AB34" s="90" t="s">
        <v>413</v>
      </c>
      <c r="AC34" s="356" t="s">
        <v>365</v>
      </c>
      <c r="AD34" s="90" t="s">
        <v>413</v>
      </c>
      <c r="AE34" s="144" t="s">
        <v>365</v>
      </c>
      <c r="AF34" s="143" t="s">
        <v>358</v>
      </c>
      <c r="AG34" s="357">
        <f t="shared" si="1"/>
        <v>4</v>
      </c>
      <c r="AH34" s="265"/>
      <c r="AI34" s="265"/>
      <c r="AJ34" s="265"/>
      <c r="AK34" s="265"/>
      <c r="AL34" s="157">
        <v>0.0</v>
      </c>
      <c r="AM34" s="157">
        <v>0.0</v>
      </c>
      <c r="AN34" s="157">
        <v>1.0</v>
      </c>
      <c r="AO34" s="157">
        <v>0.0</v>
      </c>
      <c r="AP34" s="157">
        <v>2.0</v>
      </c>
      <c r="AQ34" s="157">
        <v>0.0</v>
      </c>
      <c r="AR34" s="157">
        <v>0.0</v>
      </c>
      <c r="AS34" s="157">
        <v>0.0</v>
      </c>
      <c r="AT34" s="388">
        <f t="shared" si="2"/>
        <v>3</v>
      </c>
      <c r="AU34" s="388">
        <f t="shared" si="3"/>
        <v>2</v>
      </c>
    </row>
    <row r="35">
      <c r="A35" s="157">
        <v>34.0</v>
      </c>
      <c r="B35" s="157" t="s">
        <v>195</v>
      </c>
      <c r="C35" s="46" t="s">
        <v>195</v>
      </c>
      <c r="D35" s="18" t="s">
        <v>707</v>
      </c>
      <c r="E35" s="631">
        <v>40487.0</v>
      </c>
      <c r="F35" s="265"/>
      <c r="G35" s="265"/>
      <c r="H35" s="265"/>
      <c r="I35" s="265"/>
      <c r="J35" s="265"/>
      <c r="K35" s="265"/>
      <c r="L35" s="265"/>
      <c r="M35" s="265"/>
      <c r="N35" s="265"/>
      <c r="O35" s="265"/>
      <c r="P35" s="265"/>
      <c r="Q35" s="265"/>
      <c r="R35" s="157">
        <v>0.0</v>
      </c>
      <c r="S35" s="157">
        <v>0.0</v>
      </c>
      <c r="T35" s="551" t="s">
        <v>354</v>
      </c>
      <c r="U35" s="551" t="s">
        <v>354</v>
      </c>
      <c r="V35" s="551" t="s">
        <v>354</v>
      </c>
      <c r="W35" s="157">
        <v>0.0</v>
      </c>
      <c r="X35" s="157">
        <v>0.0</v>
      </c>
      <c r="Y35" s="157" t="s">
        <v>354</v>
      </c>
      <c r="Z35" s="157" t="s">
        <v>354</v>
      </c>
      <c r="AA35" s="355" t="s">
        <v>365</v>
      </c>
      <c r="AB35" s="40" t="s">
        <v>357</v>
      </c>
      <c r="AC35" s="632" t="s">
        <v>356</v>
      </c>
      <c r="AD35" s="632" t="s">
        <v>354</v>
      </c>
      <c r="AE35" s="139" t="s">
        <v>356</v>
      </c>
      <c r="AF35" s="139" t="s">
        <v>354</v>
      </c>
      <c r="AG35" s="367">
        <f t="shared" si="1"/>
        <v>1</v>
      </c>
      <c r="AH35" s="265"/>
      <c r="AI35" s="265"/>
      <c r="AJ35" s="265"/>
      <c r="AK35" s="265"/>
      <c r="AL35" s="157">
        <v>0.0</v>
      </c>
      <c r="AM35" s="157">
        <v>0.0</v>
      </c>
      <c r="AN35" s="157">
        <v>0.0</v>
      </c>
      <c r="AO35" s="157">
        <v>0.0</v>
      </c>
      <c r="AP35" s="157">
        <v>0.0</v>
      </c>
      <c r="AQ35" s="157">
        <v>1.0</v>
      </c>
      <c r="AR35" s="157">
        <v>0.0</v>
      </c>
      <c r="AS35" s="157">
        <v>0.0</v>
      </c>
      <c r="AT35" s="385">
        <f t="shared" si="2"/>
        <v>1</v>
      </c>
      <c r="AU35" s="385">
        <f t="shared" si="3"/>
        <v>1</v>
      </c>
    </row>
    <row r="36">
      <c r="A36" s="157">
        <v>35.0</v>
      </c>
      <c r="B36" s="157" t="s">
        <v>198</v>
      </c>
      <c r="C36" s="49" t="s">
        <v>712</v>
      </c>
      <c r="D36" s="18" t="s">
        <v>1171</v>
      </c>
      <c r="E36" s="631">
        <v>40487.0</v>
      </c>
      <c r="F36" s="265"/>
      <c r="G36" s="265"/>
      <c r="H36" s="265"/>
      <c r="I36" s="265"/>
      <c r="J36" s="265"/>
      <c r="K36" s="265"/>
      <c r="L36" s="265"/>
      <c r="M36" s="265"/>
      <c r="N36" s="265"/>
      <c r="O36" s="265"/>
      <c r="P36" s="265"/>
      <c r="Q36" s="265"/>
      <c r="R36" s="157">
        <v>0.0</v>
      </c>
      <c r="S36" s="157">
        <v>0.0</v>
      </c>
      <c r="T36" s="551" t="s">
        <v>354</v>
      </c>
      <c r="U36" s="551" t="s">
        <v>354</v>
      </c>
      <c r="V36" s="551" t="s">
        <v>354</v>
      </c>
      <c r="W36" s="157">
        <v>0.0</v>
      </c>
      <c r="X36" s="157">
        <v>0.0</v>
      </c>
      <c r="Y36" s="157" t="s">
        <v>354</v>
      </c>
      <c r="Z36" s="157" t="s">
        <v>354</v>
      </c>
      <c r="AA36" s="355" t="s">
        <v>365</v>
      </c>
      <c r="AB36" s="40" t="s">
        <v>357</v>
      </c>
      <c r="AC36" s="632" t="s">
        <v>356</v>
      </c>
      <c r="AD36" s="632" t="s">
        <v>354</v>
      </c>
      <c r="AE36" s="139" t="s">
        <v>356</v>
      </c>
      <c r="AF36" s="139" t="s">
        <v>354</v>
      </c>
      <c r="AG36" s="367">
        <f t="shared" si="1"/>
        <v>1</v>
      </c>
      <c r="AH36" s="265"/>
      <c r="AI36" s="265"/>
      <c r="AJ36" s="265"/>
      <c r="AK36" s="265"/>
      <c r="AL36" s="157">
        <v>0.0</v>
      </c>
      <c r="AM36" s="157">
        <v>0.0</v>
      </c>
      <c r="AN36" s="157">
        <v>0.0</v>
      </c>
      <c r="AO36" s="157">
        <v>0.0</v>
      </c>
      <c r="AP36" s="157">
        <v>0.0</v>
      </c>
      <c r="AQ36" s="157">
        <v>1.0</v>
      </c>
      <c r="AR36" s="157">
        <v>0.0</v>
      </c>
      <c r="AS36" s="157">
        <v>0.0</v>
      </c>
      <c r="AT36" s="385">
        <f t="shared" si="2"/>
        <v>1</v>
      </c>
      <c r="AU36" s="385">
        <f t="shared" si="3"/>
        <v>1</v>
      </c>
    </row>
    <row r="37">
      <c r="A37" s="157">
        <v>36.0</v>
      </c>
      <c r="B37" s="157" t="s">
        <v>201</v>
      </c>
      <c r="C37" s="46" t="s">
        <v>201</v>
      </c>
      <c r="D37" s="18" t="s">
        <v>1622</v>
      </c>
      <c r="E37" s="631">
        <v>40487.0</v>
      </c>
      <c r="F37" s="265"/>
      <c r="G37" s="265"/>
      <c r="H37" s="265"/>
      <c r="I37" s="265"/>
      <c r="J37" s="265"/>
      <c r="K37" s="265"/>
      <c r="L37" s="265"/>
      <c r="M37" s="265"/>
      <c r="N37" s="265"/>
      <c r="O37" s="265"/>
      <c r="P37" s="265"/>
      <c r="Q37" s="265"/>
      <c r="R37" s="157">
        <v>0.0</v>
      </c>
      <c r="S37" s="157">
        <v>0.0</v>
      </c>
      <c r="T37" s="551" t="s">
        <v>354</v>
      </c>
      <c r="U37" s="551" t="s">
        <v>354</v>
      </c>
      <c r="V37" s="551" t="s">
        <v>354</v>
      </c>
      <c r="W37" s="157">
        <v>0.0</v>
      </c>
      <c r="X37" s="157">
        <v>0.0</v>
      </c>
      <c r="Y37" s="157" t="s">
        <v>354</v>
      </c>
      <c r="Z37" s="157" t="s">
        <v>354</v>
      </c>
      <c r="AA37" s="364" t="s">
        <v>361</v>
      </c>
      <c r="AB37" s="364" t="s">
        <v>361</v>
      </c>
      <c r="AC37" s="632" t="s">
        <v>356</v>
      </c>
      <c r="AD37" s="632" t="s">
        <v>354</v>
      </c>
      <c r="AE37" s="139" t="s">
        <v>356</v>
      </c>
      <c r="AF37" s="139" t="s">
        <v>354</v>
      </c>
      <c r="AG37" s="46">
        <f t="shared" si="1"/>
        <v>0</v>
      </c>
      <c r="AH37" s="265"/>
      <c r="AI37" s="265"/>
      <c r="AJ37" s="265"/>
      <c r="AK37" s="265"/>
      <c r="AL37" s="157">
        <v>0.0</v>
      </c>
      <c r="AM37" s="157">
        <v>0.0</v>
      </c>
      <c r="AN37" s="157">
        <v>0.0</v>
      </c>
      <c r="AO37" s="157">
        <v>0.0</v>
      </c>
      <c r="AP37" s="157">
        <v>0.0</v>
      </c>
      <c r="AQ37" s="157">
        <v>0.0</v>
      </c>
      <c r="AR37" s="157">
        <v>0.0</v>
      </c>
      <c r="AS37" s="157">
        <v>0.0</v>
      </c>
      <c r="AT37" s="265">
        <f t="shared" si="2"/>
        <v>0</v>
      </c>
      <c r="AU37" s="265">
        <f t="shared" si="3"/>
        <v>0</v>
      </c>
    </row>
    <row r="38">
      <c r="A38" s="157">
        <v>37.0</v>
      </c>
      <c r="B38" s="157" t="s">
        <v>204</v>
      </c>
      <c r="C38" s="46" t="s">
        <v>204</v>
      </c>
      <c r="D38" s="18" t="s">
        <v>725</v>
      </c>
      <c r="E38" s="631">
        <v>40487.0</v>
      </c>
      <c r="F38" s="265"/>
      <c r="G38" s="265"/>
      <c r="H38" s="265"/>
      <c r="I38" s="265"/>
      <c r="J38" s="265"/>
      <c r="K38" s="265"/>
      <c r="L38" s="265"/>
      <c r="M38" s="265"/>
      <c r="N38" s="265"/>
      <c r="O38" s="265"/>
      <c r="P38" s="265"/>
      <c r="Q38" s="265"/>
      <c r="R38" s="140">
        <v>33.74</v>
      </c>
      <c r="S38" s="157">
        <v>0.0</v>
      </c>
      <c r="T38" s="551" t="s">
        <v>354</v>
      </c>
      <c r="U38" s="551" t="s">
        <v>354</v>
      </c>
      <c r="V38" s="551" t="s">
        <v>354</v>
      </c>
      <c r="W38" s="157">
        <v>0.0</v>
      </c>
      <c r="X38" s="157">
        <v>0.0</v>
      </c>
      <c r="Y38" s="157" t="s">
        <v>354</v>
      </c>
      <c r="Z38" s="157" t="s">
        <v>354</v>
      </c>
      <c r="AA38" s="355" t="s">
        <v>365</v>
      </c>
      <c r="AB38" s="40" t="s">
        <v>357</v>
      </c>
      <c r="AC38" s="356" t="s">
        <v>365</v>
      </c>
      <c r="AD38" s="90" t="s">
        <v>413</v>
      </c>
      <c r="AE38" s="139" t="s">
        <v>356</v>
      </c>
      <c r="AF38" s="139" t="s">
        <v>354</v>
      </c>
      <c r="AG38" s="357">
        <f t="shared" si="1"/>
        <v>3</v>
      </c>
      <c r="AH38" s="265"/>
      <c r="AI38" s="265"/>
      <c r="AJ38" s="265"/>
      <c r="AK38" s="265"/>
      <c r="AL38" s="157">
        <v>0.0</v>
      </c>
      <c r="AM38" s="157">
        <v>0.0</v>
      </c>
      <c r="AN38" s="157">
        <v>0.0</v>
      </c>
      <c r="AO38" s="157">
        <v>0.0</v>
      </c>
      <c r="AP38" s="157">
        <v>1.0</v>
      </c>
      <c r="AQ38" s="157">
        <v>1.0</v>
      </c>
      <c r="AR38" s="157">
        <v>0.0</v>
      </c>
      <c r="AS38" s="157">
        <v>0.0</v>
      </c>
      <c r="AT38" s="388">
        <f t="shared" si="2"/>
        <v>2</v>
      </c>
      <c r="AU38" s="388">
        <f t="shared" si="3"/>
        <v>2</v>
      </c>
    </row>
    <row r="39">
      <c r="A39" s="157">
        <v>38.0</v>
      </c>
      <c r="B39" s="157" t="s">
        <v>210</v>
      </c>
      <c r="C39" s="48" t="s">
        <v>210</v>
      </c>
      <c r="D39" s="482" t="s">
        <v>748</v>
      </c>
      <c r="E39" s="631">
        <v>40487.0</v>
      </c>
      <c r="F39" s="265"/>
      <c r="G39" s="265"/>
      <c r="H39" s="265"/>
      <c r="I39" s="265"/>
      <c r="J39" s="265"/>
      <c r="K39" s="265"/>
      <c r="L39" s="265"/>
      <c r="M39" s="265"/>
      <c r="N39" s="265"/>
      <c r="O39" s="265"/>
      <c r="P39" s="265"/>
      <c r="Q39" s="265"/>
      <c r="R39" s="157">
        <v>0.0</v>
      </c>
      <c r="S39" s="157">
        <v>0.0</v>
      </c>
      <c r="T39" s="551" t="s">
        <v>354</v>
      </c>
      <c r="U39" s="551" t="s">
        <v>354</v>
      </c>
      <c r="V39" s="551" t="s">
        <v>354</v>
      </c>
      <c r="W39" s="157">
        <v>0.0</v>
      </c>
      <c r="X39" s="157">
        <v>0.0</v>
      </c>
      <c r="Y39" s="157" t="s">
        <v>354</v>
      </c>
      <c r="Z39" s="157" t="s">
        <v>354</v>
      </c>
      <c r="AA39" s="355" t="s">
        <v>365</v>
      </c>
      <c r="AB39" s="40" t="s">
        <v>357</v>
      </c>
      <c r="AC39" s="356" t="s">
        <v>365</v>
      </c>
      <c r="AD39" s="40" t="s">
        <v>357</v>
      </c>
      <c r="AE39" s="144" t="s">
        <v>365</v>
      </c>
      <c r="AF39" s="40" t="s">
        <v>357</v>
      </c>
      <c r="AG39" s="357">
        <f t="shared" si="1"/>
        <v>3</v>
      </c>
      <c r="AH39" s="265"/>
      <c r="AI39" s="265"/>
      <c r="AJ39" s="265"/>
      <c r="AK39" s="265"/>
      <c r="AL39" s="157">
        <v>0.0</v>
      </c>
      <c r="AM39" s="157">
        <v>0.0</v>
      </c>
      <c r="AN39" s="157">
        <v>0.0</v>
      </c>
      <c r="AO39" s="157">
        <v>0.0</v>
      </c>
      <c r="AP39" s="157">
        <v>0.0</v>
      </c>
      <c r="AQ39" s="157">
        <v>3.0</v>
      </c>
      <c r="AR39" s="157">
        <v>0.0</v>
      </c>
      <c r="AS39" s="157">
        <v>0.0</v>
      </c>
      <c r="AT39" s="388">
        <f t="shared" si="2"/>
        <v>3</v>
      </c>
      <c r="AU39" s="388">
        <f t="shared" si="3"/>
        <v>1</v>
      </c>
    </row>
    <row r="40">
      <c r="A40" s="157">
        <v>39.0</v>
      </c>
      <c r="B40" s="157" t="s">
        <v>213</v>
      </c>
      <c r="C40" s="46" t="s">
        <v>213</v>
      </c>
      <c r="D40" s="18" t="s">
        <v>753</v>
      </c>
      <c r="E40" s="631">
        <v>40487.0</v>
      </c>
      <c r="F40" s="265"/>
      <c r="G40" s="265"/>
      <c r="H40" s="265"/>
      <c r="I40" s="265"/>
      <c r="J40" s="265"/>
      <c r="K40" s="265"/>
      <c r="L40" s="265"/>
      <c r="M40" s="265"/>
      <c r="N40" s="265"/>
      <c r="O40" s="265"/>
      <c r="P40" s="265"/>
      <c r="Q40" s="265"/>
      <c r="R40" s="157">
        <v>0.0</v>
      </c>
      <c r="S40" s="157">
        <v>0.0</v>
      </c>
      <c r="T40" s="551" t="s">
        <v>354</v>
      </c>
      <c r="U40" s="551" t="s">
        <v>354</v>
      </c>
      <c r="V40" s="551" t="s">
        <v>354</v>
      </c>
      <c r="W40" s="157">
        <v>0.0</v>
      </c>
      <c r="X40" s="157">
        <v>0.0</v>
      </c>
      <c r="Y40" s="157" t="s">
        <v>354</v>
      </c>
      <c r="Z40" s="157" t="s">
        <v>354</v>
      </c>
      <c r="AA40" s="364" t="s">
        <v>361</v>
      </c>
      <c r="AB40" s="364" t="s">
        <v>361</v>
      </c>
      <c r="AC40" s="365" t="s">
        <v>365</v>
      </c>
      <c r="AD40" s="391" t="s">
        <v>380</v>
      </c>
      <c r="AE40" s="139" t="s">
        <v>356</v>
      </c>
      <c r="AF40" s="139" t="s">
        <v>354</v>
      </c>
      <c r="AG40" s="367">
        <f t="shared" si="1"/>
        <v>1</v>
      </c>
      <c r="AH40" s="265"/>
      <c r="AI40" s="265"/>
      <c r="AJ40" s="265"/>
      <c r="AK40" s="265"/>
      <c r="AL40" s="157">
        <v>0.0</v>
      </c>
      <c r="AM40" s="157">
        <v>0.0</v>
      </c>
      <c r="AN40" s="157">
        <v>0.0</v>
      </c>
      <c r="AO40" s="157">
        <v>0.0</v>
      </c>
      <c r="AP40" s="157">
        <v>0.0</v>
      </c>
      <c r="AQ40" s="157">
        <v>0.0</v>
      </c>
      <c r="AR40" s="157">
        <v>1.0</v>
      </c>
      <c r="AS40" s="157">
        <v>0.0</v>
      </c>
      <c r="AT40" s="385">
        <f t="shared" si="2"/>
        <v>1</v>
      </c>
      <c r="AU40" s="385">
        <f t="shared" si="3"/>
        <v>1</v>
      </c>
    </row>
    <row r="41">
      <c r="A41" s="157">
        <v>40.0</v>
      </c>
      <c r="B41" s="157" t="s">
        <v>219</v>
      </c>
      <c r="C41" s="46" t="s">
        <v>219</v>
      </c>
      <c r="D41" s="98" t="s">
        <v>769</v>
      </c>
      <c r="E41" s="631">
        <v>40487.0</v>
      </c>
      <c r="F41" s="265"/>
      <c r="G41" s="265"/>
      <c r="H41" s="265"/>
      <c r="I41" s="265"/>
      <c r="J41" s="265"/>
      <c r="K41" s="265"/>
      <c r="L41" s="265"/>
      <c r="M41" s="265"/>
      <c r="N41" s="265"/>
      <c r="O41" s="265"/>
      <c r="P41" s="265"/>
      <c r="Q41" s="265"/>
      <c r="R41" s="157">
        <v>0.0</v>
      </c>
      <c r="S41" s="157">
        <v>0.0</v>
      </c>
      <c r="T41" s="551" t="s">
        <v>354</v>
      </c>
      <c r="U41" s="551" t="s">
        <v>354</v>
      </c>
      <c r="V41" s="551" t="s">
        <v>354</v>
      </c>
      <c r="W41" s="157">
        <v>0.0</v>
      </c>
      <c r="X41" s="157">
        <v>0.0</v>
      </c>
      <c r="Y41" s="157" t="s">
        <v>354</v>
      </c>
      <c r="Z41" s="157" t="s">
        <v>354</v>
      </c>
      <c r="AA41" s="364" t="s">
        <v>361</v>
      </c>
      <c r="AB41" s="364" t="s">
        <v>361</v>
      </c>
      <c r="AC41" s="356" t="s">
        <v>365</v>
      </c>
      <c r="AD41" s="618" t="s">
        <v>389</v>
      </c>
      <c r="AE41" s="139" t="s">
        <v>356</v>
      </c>
      <c r="AF41" s="139" t="s">
        <v>354</v>
      </c>
      <c r="AG41" s="367">
        <f t="shared" si="1"/>
        <v>1</v>
      </c>
      <c r="AH41" s="265"/>
      <c r="AI41" s="265"/>
      <c r="AJ41" s="265"/>
      <c r="AK41" s="265"/>
      <c r="AL41" s="157">
        <v>1.0</v>
      </c>
      <c r="AM41" s="157">
        <v>0.0</v>
      </c>
      <c r="AN41" s="157">
        <v>0.0</v>
      </c>
      <c r="AO41" s="157">
        <v>0.0</v>
      </c>
      <c r="AP41" s="157">
        <v>0.0</v>
      </c>
      <c r="AQ41" s="157">
        <v>0.0</v>
      </c>
      <c r="AR41" s="157">
        <v>0.0</v>
      </c>
      <c r="AS41" s="157">
        <v>0.0</v>
      </c>
      <c r="AT41" s="385">
        <f t="shared" si="2"/>
        <v>1</v>
      </c>
      <c r="AU41" s="385">
        <f t="shared" si="3"/>
        <v>1</v>
      </c>
    </row>
    <row r="42">
      <c r="A42" s="157">
        <v>41.0</v>
      </c>
      <c r="B42" s="157" t="s">
        <v>222</v>
      </c>
      <c r="C42" s="49" t="s">
        <v>1422</v>
      </c>
      <c r="D42" s="18" t="s">
        <v>775</v>
      </c>
      <c r="E42" s="631">
        <v>40487.0</v>
      </c>
      <c r="F42" s="265"/>
      <c r="G42" s="265"/>
      <c r="H42" s="265"/>
      <c r="I42" s="265"/>
      <c r="J42" s="265"/>
      <c r="K42" s="265"/>
      <c r="L42" s="265"/>
      <c r="M42" s="265"/>
      <c r="N42" s="265"/>
      <c r="O42" s="265"/>
      <c r="P42" s="265"/>
      <c r="Q42" s="265"/>
      <c r="R42" s="157">
        <v>0.0</v>
      </c>
      <c r="S42" s="157">
        <v>0.0</v>
      </c>
      <c r="T42" s="551" t="s">
        <v>354</v>
      </c>
      <c r="U42" s="551" t="s">
        <v>354</v>
      </c>
      <c r="V42" s="551" t="s">
        <v>354</v>
      </c>
      <c r="W42" s="157">
        <v>0.0</v>
      </c>
      <c r="X42" s="157">
        <v>0.0</v>
      </c>
      <c r="Y42" s="157" t="s">
        <v>354</v>
      </c>
      <c r="Z42" s="157" t="s">
        <v>354</v>
      </c>
      <c r="AA42" s="355" t="s">
        <v>365</v>
      </c>
      <c r="AB42" s="40" t="s">
        <v>357</v>
      </c>
      <c r="AC42" s="632" t="s">
        <v>356</v>
      </c>
      <c r="AD42" s="632" t="s">
        <v>354</v>
      </c>
      <c r="AE42" s="139" t="s">
        <v>356</v>
      </c>
      <c r="AF42" s="139" t="s">
        <v>354</v>
      </c>
      <c r="AG42" s="367">
        <f t="shared" si="1"/>
        <v>1</v>
      </c>
      <c r="AH42" s="265"/>
      <c r="AI42" s="265"/>
      <c r="AJ42" s="265"/>
      <c r="AK42" s="265"/>
      <c r="AL42" s="157">
        <v>0.0</v>
      </c>
      <c r="AM42" s="157">
        <v>0.0</v>
      </c>
      <c r="AN42" s="157">
        <v>0.0</v>
      </c>
      <c r="AO42" s="157">
        <v>0.0</v>
      </c>
      <c r="AP42" s="157">
        <v>0.0</v>
      </c>
      <c r="AQ42" s="157">
        <v>1.0</v>
      </c>
      <c r="AR42" s="157">
        <v>0.0</v>
      </c>
      <c r="AS42" s="157">
        <v>0.0</v>
      </c>
      <c r="AT42" s="385">
        <f t="shared" si="2"/>
        <v>1</v>
      </c>
      <c r="AU42" s="385">
        <f t="shared" si="3"/>
        <v>1</v>
      </c>
    </row>
    <row r="43">
      <c r="A43" s="157">
        <v>42.0</v>
      </c>
      <c r="B43" s="157" t="s">
        <v>225</v>
      </c>
      <c r="C43" s="46" t="s">
        <v>225</v>
      </c>
      <c r="D43" s="83" t="s">
        <v>789</v>
      </c>
      <c r="E43" s="631">
        <v>40487.0</v>
      </c>
      <c r="F43" s="265"/>
      <c r="G43" s="265"/>
      <c r="H43" s="265"/>
      <c r="I43" s="265"/>
      <c r="J43" s="265"/>
      <c r="K43" s="265"/>
      <c r="L43" s="265"/>
      <c r="M43" s="265"/>
      <c r="N43" s="265"/>
      <c r="O43" s="265"/>
      <c r="P43" s="265"/>
      <c r="Q43" s="265"/>
      <c r="R43" s="140">
        <v>33.02</v>
      </c>
      <c r="S43" s="157">
        <v>0.0</v>
      </c>
      <c r="T43" s="551" t="s">
        <v>354</v>
      </c>
      <c r="U43" s="551" t="s">
        <v>354</v>
      </c>
      <c r="V43" s="551" t="s">
        <v>354</v>
      </c>
      <c r="W43" s="157">
        <v>0.0</v>
      </c>
      <c r="X43" s="157">
        <v>0.0</v>
      </c>
      <c r="Y43" s="157" t="s">
        <v>354</v>
      </c>
      <c r="Z43" s="157" t="s">
        <v>354</v>
      </c>
      <c r="AA43" s="355" t="s">
        <v>365</v>
      </c>
      <c r="AB43" s="143" t="s">
        <v>358</v>
      </c>
      <c r="AC43" s="632" t="s">
        <v>356</v>
      </c>
      <c r="AD43" s="632" t="s">
        <v>354</v>
      </c>
      <c r="AE43" s="144" t="s">
        <v>365</v>
      </c>
      <c r="AF43" s="143" t="s">
        <v>358</v>
      </c>
      <c r="AG43" s="357">
        <f t="shared" si="1"/>
        <v>3</v>
      </c>
      <c r="AH43" s="265"/>
      <c r="AI43" s="265"/>
      <c r="AJ43" s="265"/>
      <c r="AK43" s="265"/>
      <c r="AL43" s="157">
        <v>0.0</v>
      </c>
      <c r="AM43" s="157">
        <v>0.0</v>
      </c>
      <c r="AN43" s="157">
        <v>2.0</v>
      </c>
      <c r="AO43" s="157">
        <v>0.0</v>
      </c>
      <c r="AP43" s="157">
        <v>0.0</v>
      </c>
      <c r="AQ43" s="157">
        <v>0.0</v>
      </c>
      <c r="AR43" s="157">
        <v>0.0</v>
      </c>
      <c r="AS43" s="157">
        <v>0.0</v>
      </c>
      <c r="AT43" s="388">
        <f t="shared" si="2"/>
        <v>2</v>
      </c>
      <c r="AU43" s="388">
        <f t="shared" si="3"/>
        <v>1</v>
      </c>
    </row>
    <row r="44">
      <c r="A44" s="157">
        <v>43.0</v>
      </c>
      <c r="B44" s="157" t="s">
        <v>228</v>
      </c>
      <c r="C44" s="46" t="s">
        <v>228</v>
      </c>
      <c r="D44" s="18" t="s">
        <v>1623</v>
      </c>
      <c r="E44" s="631">
        <v>40487.0</v>
      </c>
      <c r="F44" s="265"/>
      <c r="G44" s="265"/>
      <c r="H44" s="265"/>
      <c r="I44" s="265"/>
      <c r="J44" s="265"/>
      <c r="K44" s="265"/>
      <c r="L44" s="265"/>
      <c r="M44" s="265"/>
      <c r="N44" s="265"/>
      <c r="O44" s="265"/>
      <c r="P44" s="265"/>
      <c r="Q44" s="265"/>
      <c r="R44" s="157">
        <v>0.0</v>
      </c>
      <c r="S44" s="157">
        <v>0.0</v>
      </c>
      <c r="T44" s="551" t="s">
        <v>354</v>
      </c>
      <c r="U44" s="551" t="s">
        <v>354</v>
      </c>
      <c r="V44" s="551" t="s">
        <v>354</v>
      </c>
      <c r="W44" s="157">
        <v>0.0</v>
      </c>
      <c r="X44" s="157">
        <v>0.0</v>
      </c>
      <c r="Y44" s="157" t="s">
        <v>354</v>
      </c>
      <c r="Z44" s="157" t="s">
        <v>354</v>
      </c>
      <c r="AA44" s="355" t="s">
        <v>365</v>
      </c>
      <c r="AB44" s="40" t="s">
        <v>357</v>
      </c>
      <c r="AC44" s="356" t="s">
        <v>365</v>
      </c>
      <c r="AD44" s="40" t="s">
        <v>357</v>
      </c>
      <c r="AE44" s="144" t="s">
        <v>365</v>
      </c>
      <c r="AF44" s="40" t="s">
        <v>357</v>
      </c>
      <c r="AG44" s="357">
        <f t="shared" si="1"/>
        <v>3</v>
      </c>
      <c r="AH44" s="265"/>
      <c r="AI44" s="265"/>
      <c r="AJ44" s="265"/>
      <c r="AK44" s="265"/>
      <c r="AL44" s="157">
        <v>0.0</v>
      </c>
      <c r="AM44" s="157">
        <v>0.0</v>
      </c>
      <c r="AN44" s="157">
        <v>0.0</v>
      </c>
      <c r="AO44" s="157">
        <v>0.0</v>
      </c>
      <c r="AP44" s="157">
        <v>0.0</v>
      </c>
      <c r="AQ44" s="157">
        <v>3.0</v>
      </c>
      <c r="AR44" s="157">
        <v>0.0</v>
      </c>
      <c r="AS44" s="157">
        <v>0.0</v>
      </c>
      <c r="AT44" s="388">
        <f t="shared" si="2"/>
        <v>3</v>
      </c>
      <c r="AU44" s="388">
        <f t="shared" si="3"/>
        <v>1</v>
      </c>
    </row>
    <row r="45">
      <c r="A45" s="157">
        <v>44.0</v>
      </c>
      <c r="B45" s="157" t="s">
        <v>231</v>
      </c>
      <c r="C45" s="46" t="s">
        <v>231</v>
      </c>
      <c r="D45" s="18" t="s">
        <v>808</v>
      </c>
      <c r="E45" s="631">
        <v>40487.0</v>
      </c>
      <c r="F45" s="265"/>
      <c r="G45" s="265"/>
      <c r="H45" s="265"/>
      <c r="I45" s="265"/>
      <c r="J45" s="265"/>
      <c r="K45" s="265"/>
      <c r="L45" s="265"/>
      <c r="M45" s="265"/>
      <c r="N45" s="265"/>
      <c r="O45" s="265"/>
      <c r="P45" s="265"/>
      <c r="Q45" s="265"/>
      <c r="R45" s="157">
        <v>0.0</v>
      </c>
      <c r="S45" s="157">
        <v>0.0</v>
      </c>
      <c r="T45" s="551" t="s">
        <v>354</v>
      </c>
      <c r="U45" s="551" t="s">
        <v>354</v>
      </c>
      <c r="V45" s="551" t="s">
        <v>354</v>
      </c>
      <c r="W45" s="157">
        <v>0.0</v>
      </c>
      <c r="X45" s="157">
        <v>0.0</v>
      </c>
      <c r="Y45" s="157" t="s">
        <v>354</v>
      </c>
      <c r="Z45" s="157" t="s">
        <v>354</v>
      </c>
      <c r="AA45" s="359" t="s">
        <v>356</v>
      </c>
      <c r="AB45" s="359" t="s">
        <v>354</v>
      </c>
      <c r="AC45" s="632" t="s">
        <v>356</v>
      </c>
      <c r="AD45" s="632" t="s">
        <v>354</v>
      </c>
      <c r="AE45" s="139" t="s">
        <v>356</v>
      </c>
      <c r="AF45" s="139" t="s">
        <v>354</v>
      </c>
      <c r="AG45" s="46">
        <f t="shared" si="1"/>
        <v>0</v>
      </c>
      <c r="AH45" s="265"/>
      <c r="AI45" s="265"/>
      <c r="AJ45" s="265"/>
      <c r="AK45" s="265"/>
      <c r="AL45" s="157">
        <v>0.0</v>
      </c>
      <c r="AM45" s="157">
        <v>0.0</v>
      </c>
      <c r="AN45" s="157">
        <v>0.0</v>
      </c>
      <c r="AO45" s="157">
        <v>0.0</v>
      </c>
      <c r="AP45" s="157">
        <v>0.0</v>
      </c>
      <c r="AQ45" s="157">
        <v>0.0</v>
      </c>
      <c r="AR45" s="157">
        <v>0.0</v>
      </c>
      <c r="AS45" s="157">
        <v>0.0</v>
      </c>
      <c r="AT45" s="265">
        <f t="shared" si="2"/>
        <v>0</v>
      </c>
      <c r="AU45" s="265">
        <f t="shared" si="3"/>
        <v>0</v>
      </c>
    </row>
    <row r="46">
      <c r="A46" s="157">
        <v>45.0</v>
      </c>
      <c r="B46" s="157" t="s">
        <v>238</v>
      </c>
      <c r="C46" s="46" t="s">
        <v>238</v>
      </c>
      <c r="D46" s="18" t="s">
        <v>844</v>
      </c>
      <c r="E46" s="631">
        <v>40487.0</v>
      </c>
      <c r="F46" s="265"/>
      <c r="G46" s="265"/>
      <c r="H46" s="265"/>
      <c r="I46" s="265"/>
      <c r="J46" s="265"/>
      <c r="K46" s="265"/>
      <c r="L46" s="265"/>
      <c r="M46" s="265"/>
      <c r="N46" s="265"/>
      <c r="O46" s="265"/>
      <c r="P46" s="265"/>
      <c r="Q46" s="265"/>
      <c r="R46" s="157">
        <v>0.0</v>
      </c>
      <c r="S46" s="157">
        <v>0.0</v>
      </c>
      <c r="T46" s="551" t="s">
        <v>354</v>
      </c>
      <c r="U46" s="551" t="s">
        <v>354</v>
      </c>
      <c r="V46" s="551" t="s">
        <v>354</v>
      </c>
      <c r="W46" s="157">
        <v>0.0</v>
      </c>
      <c r="X46" s="157">
        <v>0.0</v>
      </c>
      <c r="Y46" s="157" t="s">
        <v>354</v>
      </c>
      <c r="Z46" s="157" t="s">
        <v>354</v>
      </c>
      <c r="AA46" s="355" t="s">
        <v>365</v>
      </c>
      <c r="AB46" s="40" t="s">
        <v>357</v>
      </c>
      <c r="AC46" s="632" t="s">
        <v>356</v>
      </c>
      <c r="AD46" s="632" t="s">
        <v>354</v>
      </c>
      <c r="AE46" s="139" t="s">
        <v>356</v>
      </c>
      <c r="AF46" s="139" t="s">
        <v>354</v>
      </c>
      <c r="AG46" s="367">
        <f t="shared" si="1"/>
        <v>1</v>
      </c>
      <c r="AH46" s="265"/>
      <c r="AI46" s="265"/>
      <c r="AJ46" s="265"/>
      <c r="AK46" s="265"/>
      <c r="AL46" s="157">
        <v>0.0</v>
      </c>
      <c r="AM46" s="157">
        <v>0.0</v>
      </c>
      <c r="AN46" s="157">
        <v>0.0</v>
      </c>
      <c r="AO46" s="157">
        <v>0.0</v>
      </c>
      <c r="AP46" s="157">
        <v>0.0</v>
      </c>
      <c r="AQ46" s="157">
        <v>1.0</v>
      </c>
      <c r="AR46" s="157">
        <v>0.0</v>
      </c>
      <c r="AS46" s="157">
        <v>0.0</v>
      </c>
      <c r="AT46" s="385">
        <f t="shared" si="2"/>
        <v>1</v>
      </c>
      <c r="AU46" s="385">
        <f t="shared" si="3"/>
        <v>1</v>
      </c>
    </row>
    <row r="47">
      <c r="A47" s="157">
        <v>46.0</v>
      </c>
      <c r="B47" s="157" t="s">
        <v>244</v>
      </c>
      <c r="C47" s="46" t="s">
        <v>244</v>
      </c>
      <c r="D47" s="18" t="s">
        <v>856</v>
      </c>
      <c r="E47" s="631">
        <v>40487.0</v>
      </c>
      <c r="F47" s="265"/>
      <c r="G47" s="265"/>
      <c r="H47" s="265"/>
      <c r="I47" s="265"/>
      <c r="J47" s="265"/>
      <c r="K47" s="265"/>
      <c r="L47" s="265"/>
      <c r="M47" s="265"/>
      <c r="N47" s="265"/>
      <c r="O47" s="265"/>
      <c r="P47" s="265"/>
      <c r="Q47" s="265"/>
      <c r="R47" s="157">
        <v>0.0</v>
      </c>
      <c r="S47" s="157">
        <v>0.0</v>
      </c>
      <c r="T47" s="551" t="s">
        <v>354</v>
      </c>
      <c r="U47" s="551" t="s">
        <v>354</v>
      </c>
      <c r="V47" s="551" t="s">
        <v>354</v>
      </c>
      <c r="W47" s="157">
        <v>0.0</v>
      </c>
      <c r="X47" s="157">
        <v>0.0</v>
      </c>
      <c r="Y47" s="157" t="s">
        <v>354</v>
      </c>
      <c r="Z47" s="157" t="s">
        <v>354</v>
      </c>
      <c r="AA47" s="355" t="s">
        <v>365</v>
      </c>
      <c r="AB47" s="40" t="s">
        <v>357</v>
      </c>
      <c r="AC47" s="632" t="s">
        <v>356</v>
      </c>
      <c r="AD47" s="632" t="s">
        <v>354</v>
      </c>
      <c r="AE47" s="139" t="s">
        <v>356</v>
      </c>
      <c r="AF47" s="139" t="s">
        <v>354</v>
      </c>
      <c r="AG47" s="367">
        <f t="shared" si="1"/>
        <v>1</v>
      </c>
      <c r="AH47" s="265"/>
      <c r="AI47" s="265"/>
      <c r="AJ47" s="265"/>
      <c r="AK47" s="265"/>
      <c r="AL47" s="157">
        <v>0.0</v>
      </c>
      <c r="AM47" s="157">
        <v>0.0</v>
      </c>
      <c r="AN47" s="157">
        <v>0.0</v>
      </c>
      <c r="AO47" s="157">
        <v>0.0</v>
      </c>
      <c r="AP47" s="157">
        <v>0.0</v>
      </c>
      <c r="AQ47" s="157">
        <v>1.0</v>
      </c>
      <c r="AR47" s="157">
        <v>0.0</v>
      </c>
      <c r="AS47" s="157">
        <v>0.0</v>
      </c>
      <c r="AT47" s="385">
        <f t="shared" si="2"/>
        <v>1</v>
      </c>
      <c r="AU47" s="385">
        <f t="shared" si="3"/>
        <v>1</v>
      </c>
    </row>
    <row r="48">
      <c r="A48" s="157">
        <v>47.0</v>
      </c>
      <c r="B48" s="157" t="s">
        <v>250</v>
      </c>
      <c r="C48" s="46" t="s">
        <v>250</v>
      </c>
      <c r="D48" s="18" t="s">
        <v>874</v>
      </c>
      <c r="E48" s="631">
        <v>40487.0</v>
      </c>
      <c r="F48" s="265"/>
      <c r="G48" s="265"/>
      <c r="H48" s="265"/>
      <c r="I48" s="265"/>
      <c r="J48" s="265"/>
      <c r="K48" s="265"/>
      <c r="L48" s="265"/>
      <c r="M48" s="265"/>
      <c r="N48" s="265"/>
      <c r="O48" s="265"/>
      <c r="P48" s="265"/>
      <c r="Q48" s="265"/>
      <c r="R48" s="157">
        <v>0.0</v>
      </c>
      <c r="S48" s="157">
        <v>0.0</v>
      </c>
      <c r="T48" s="551" t="s">
        <v>354</v>
      </c>
      <c r="U48" s="551" t="s">
        <v>354</v>
      </c>
      <c r="V48" s="551" t="s">
        <v>354</v>
      </c>
      <c r="W48" s="157">
        <v>0.0</v>
      </c>
      <c r="X48" s="157">
        <v>0.0</v>
      </c>
      <c r="Y48" s="157" t="s">
        <v>354</v>
      </c>
      <c r="Z48" s="157" t="s">
        <v>354</v>
      </c>
      <c r="AA48" s="355" t="s">
        <v>365</v>
      </c>
      <c r="AB48" s="40" t="s">
        <v>357</v>
      </c>
      <c r="AC48" s="632" t="s">
        <v>356</v>
      </c>
      <c r="AD48" s="632" t="s">
        <v>354</v>
      </c>
      <c r="AE48" s="144" t="s">
        <v>365</v>
      </c>
      <c r="AF48" s="40" t="s">
        <v>357</v>
      </c>
      <c r="AG48" s="357">
        <f t="shared" si="1"/>
        <v>2</v>
      </c>
      <c r="AH48" s="265"/>
      <c r="AI48" s="265"/>
      <c r="AJ48" s="265"/>
      <c r="AK48" s="265"/>
      <c r="AL48" s="157">
        <v>0.0</v>
      </c>
      <c r="AM48" s="157">
        <v>0.0</v>
      </c>
      <c r="AN48" s="157">
        <v>0.0</v>
      </c>
      <c r="AO48" s="157">
        <v>0.0</v>
      </c>
      <c r="AP48" s="157">
        <v>0.0</v>
      </c>
      <c r="AQ48" s="157">
        <v>2.0</v>
      </c>
      <c r="AR48" s="157">
        <v>0.0</v>
      </c>
      <c r="AS48" s="157">
        <v>0.0</v>
      </c>
      <c r="AT48" s="388">
        <f t="shared" si="2"/>
        <v>2</v>
      </c>
      <c r="AU48" s="388">
        <f t="shared" si="3"/>
        <v>1</v>
      </c>
    </row>
    <row r="49">
      <c r="A49" s="157">
        <v>48.0</v>
      </c>
      <c r="B49" s="157" t="s">
        <v>253</v>
      </c>
      <c r="C49" s="49" t="s">
        <v>881</v>
      </c>
      <c r="D49" s="18" t="s">
        <v>882</v>
      </c>
      <c r="E49" s="631">
        <v>40487.0</v>
      </c>
      <c r="F49" s="265"/>
      <c r="G49" s="265"/>
      <c r="H49" s="265"/>
      <c r="I49" s="265"/>
      <c r="J49" s="265"/>
      <c r="K49" s="265"/>
      <c r="L49" s="265"/>
      <c r="M49" s="265"/>
      <c r="N49" s="265"/>
      <c r="O49" s="265"/>
      <c r="P49" s="265"/>
      <c r="Q49" s="265"/>
      <c r="R49" s="157">
        <v>0.0</v>
      </c>
      <c r="S49" s="157">
        <v>0.0</v>
      </c>
      <c r="T49" s="551" t="s">
        <v>354</v>
      </c>
      <c r="U49" s="551" t="s">
        <v>354</v>
      </c>
      <c r="V49" s="551" t="s">
        <v>354</v>
      </c>
      <c r="W49" s="157">
        <v>0.0</v>
      </c>
      <c r="X49" s="157">
        <v>0.0</v>
      </c>
      <c r="Y49" s="157" t="s">
        <v>354</v>
      </c>
      <c r="Z49" s="157" t="s">
        <v>354</v>
      </c>
      <c r="AA49" s="355" t="s">
        <v>365</v>
      </c>
      <c r="AB49" s="40" t="s">
        <v>357</v>
      </c>
      <c r="AC49" s="632" t="s">
        <v>356</v>
      </c>
      <c r="AD49" s="632" t="s">
        <v>354</v>
      </c>
      <c r="AE49" s="139" t="s">
        <v>356</v>
      </c>
      <c r="AF49" s="139" t="s">
        <v>354</v>
      </c>
      <c r="AG49" s="367">
        <f t="shared" si="1"/>
        <v>1</v>
      </c>
      <c r="AH49" s="265"/>
      <c r="AI49" s="265"/>
      <c r="AJ49" s="265"/>
      <c r="AK49" s="265"/>
      <c r="AL49" s="157">
        <v>0.0</v>
      </c>
      <c r="AM49" s="157">
        <v>0.0</v>
      </c>
      <c r="AN49" s="157">
        <v>0.0</v>
      </c>
      <c r="AO49" s="157">
        <v>0.0</v>
      </c>
      <c r="AP49" s="157">
        <v>0.0</v>
      </c>
      <c r="AQ49" s="157">
        <v>1.0</v>
      </c>
      <c r="AR49" s="157">
        <v>0.0</v>
      </c>
      <c r="AS49" s="157">
        <v>0.0</v>
      </c>
      <c r="AT49" s="385">
        <f t="shared" si="2"/>
        <v>1</v>
      </c>
      <c r="AU49" s="385">
        <f t="shared" si="3"/>
        <v>1</v>
      </c>
    </row>
    <row r="50">
      <c r="A50" s="157">
        <v>49.0</v>
      </c>
      <c r="B50" s="157" t="s">
        <v>262</v>
      </c>
      <c r="C50" s="49" t="s">
        <v>899</v>
      </c>
      <c r="D50" s="18" t="s">
        <v>900</v>
      </c>
      <c r="E50" s="631">
        <v>40487.0</v>
      </c>
      <c r="F50" s="265"/>
      <c r="G50" s="265"/>
      <c r="H50" s="265"/>
      <c r="I50" s="265"/>
      <c r="J50" s="265"/>
      <c r="K50" s="265"/>
      <c r="L50" s="265"/>
      <c r="M50" s="265"/>
      <c r="N50" s="265"/>
      <c r="O50" s="265"/>
      <c r="P50" s="265"/>
      <c r="Q50" s="265"/>
      <c r="R50" s="157">
        <v>0.0</v>
      </c>
      <c r="S50" s="157">
        <v>0.0</v>
      </c>
      <c r="T50" s="551" t="s">
        <v>354</v>
      </c>
      <c r="U50" s="551" t="s">
        <v>354</v>
      </c>
      <c r="V50" s="551" t="s">
        <v>354</v>
      </c>
      <c r="W50" s="157">
        <v>0.0</v>
      </c>
      <c r="X50" s="157">
        <v>0.0</v>
      </c>
      <c r="Y50" s="157" t="s">
        <v>354</v>
      </c>
      <c r="Z50" s="157" t="s">
        <v>354</v>
      </c>
      <c r="AA50" s="359" t="s">
        <v>356</v>
      </c>
      <c r="AB50" s="359" t="s">
        <v>354</v>
      </c>
      <c r="AC50" s="632" t="s">
        <v>356</v>
      </c>
      <c r="AD50" s="632" t="s">
        <v>354</v>
      </c>
      <c r="AE50" s="139" t="s">
        <v>356</v>
      </c>
      <c r="AF50" s="139" t="s">
        <v>354</v>
      </c>
      <c r="AG50" s="46">
        <f t="shared" si="1"/>
        <v>0</v>
      </c>
      <c r="AH50" s="265"/>
      <c r="AI50" s="265"/>
      <c r="AJ50" s="265"/>
      <c r="AK50" s="265"/>
      <c r="AL50" s="157">
        <v>0.0</v>
      </c>
      <c r="AM50" s="157">
        <v>0.0</v>
      </c>
      <c r="AN50" s="157">
        <v>0.0</v>
      </c>
      <c r="AO50" s="157">
        <v>0.0</v>
      </c>
      <c r="AP50" s="157">
        <v>0.0</v>
      </c>
      <c r="AQ50" s="157">
        <v>0.0</v>
      </c>
      <c r="AR50" s="157">
        <v>0.0</v>
      </c>
      <c r="AS50" s="157">
        <v>0.0</v>
      </c>
      <c r="AT50" s="265">
        <f t="shared" si="2"/>
        <v>0</v>
      </c>
      <c r="AU50" s="265">
        <f t="shared" si="3"/>
        <v>0</v>
      </c>
    </row>
    <row r="51">
      <c r="A51" s="157">
        <v>50.0</v>
      </c>
      <c r="B51" s="157" t="s">
        <v>265</v>
      </c>
      <c r="C51" s="49" t="s">
        <v>906</v>
      </c>
      <c r="D51" s="18" t="s">
        <v>907</v>
      </c>
      <c r="E51" s="631">
        <v>40487.0</v>
      </c>
      <c r="F51" s="265"/>
      <c r="G51" s="265"/>
      <c r="H51" s="265"/>
      <c r="I51" s="265"/>
      <c r="J51" s="265"/>
      <c r="K51" s="265"/>
      <c r="L51" s="265"/>
      <c r="M51" s="265"/>
      <c r="N51" s="265"/>
      <c r="O51" s="265"/>
      <c r="P51" s="265"/>
      <c r="Q51" s="265"/>
      <c r="R51" s="157">
        <v>0.0</v>
      </c>
      <c r="S51" s="157">
        <v>0.0</v>
      </c>
      <c r="T51" s="551" t="s">
        <v>354</v>
      </c>
      <c r="U51" s="551" t="s">
        <v>354</v>
      </c>
      <c r="V51" s="551" t="s">
        <v>354</v>
      </c>
      <c r="W51" s="157">
        <v>0.0</v>
      </c>
      <c r="X51" s="157">
        <v>0.0</v>
      </c>
      <c r="Y51" s="157" t="s">
        <v>354</v>
      </c>
      <c r="Z51" s="157" t="s">
        <v>354</v>
      </c>
      <c r="AA51" s="359" t="s">
        <v>356</v>
      </c>
      <c r="AB51" s="359" t="s">
        <v>354</v>
      </c>
      <c r="AC51" s="632" t="s">
        <v>356</v>
      </c>
      <c r="AD51" s="632" t="s">
        <v>354</v>
      </c>
      <c r="AE51" s="139" t="s">
        <v>356</v>
      </c>
      <c r="AF51" s="139" t="s">
        <v>354</v>
      </c>
      <c r="AG51" s="46">
        <f t="shared" si="1"/>
        <v>0</v>
      </c>
      <c r="AH51" s="265"/>
      <c r="AI51" s="265"/>
      <c r="AJ51" s="265"/>
      <c r="AK51" s="265"/>
      <c r="AL51" s="157">
        <v>0.0</v>
      </c>
      <c r="AM51" s="157">
        <v>0.0</v>
      </c>
      <c r="AN51" s="157">
        <v>0.0</v>
      </c>
      <c r="AO51" s="157">
        <v>0.0</v>
      </c>
      <c r="AP51" s="157">
        <v>0.0</v>
      </c>
      <c r="AQ51" s="157">
        <v>0.0</v>
      </c>
      <c r="AR51" s="157">
        <v>0.0</v>
      </c>
      <c r="AS51" s="157">
        <v>0.0</v>
      </c>
      <c r="AT51" s="265">
        <f t="shared" si="2"/>
        <v>0</v>
      </c>
      <c r="AU51" s="265">
        <f t="shared" si="3"/>
        <v>0</v>
      </c>
    </row>
    <row r="52">
      <c r="A52" s="157">
        <v>51.0</v>
      </c>
      <c r="B52" s="157" t="s">
        <v>268</v>
      </c>
      <c r="C52" s="46" t="s">
        <v>268</v>
      </c>
      <c r="D52" s="18" t="s">
        <v>1626</v>
      </c>
      <c r="E52" s="631">
        <v>40487.0</v>
      </c>
      <c r="F52" s="265"/>
      <c r="G52" s="265"/>
      <c r="H52" s="265"/>
      <c r="I52" s="265"/>
      <c r="J52" s="265"/>
      <c r="K52" s="265"/>
      <c r="L52" s="265"/>
      <c r="M52" s="265"/>
      <c r="N52" s="265"/>
      <c r="O52" s="265"/>
      <c r="P52" s="265"/>
      <c r="Q52" s="265"/>
      <c r="R52" s="157">
        <v>0.0</v>
      </c>
      <c r="S52" s="157">
        <v>0.0</v>
      </c>
      <c r="T52" s="551" t="s">
        <v>354</v>
      </c>
      <c r="U52" s="551" t="s">
        <v>354</v>
      </c>
      <c r="V52" s="551" t="s">
        <v>354</v>
      </c>
      <c r="W52" s="157">
        <v>0.0</v>
      </c>
      <c r="X52" s="157">
        <v>0.0</v>
      </c>
      <c r="Y52" s="157" t="s">
        <v>354</v>
      </c>
      <c r="Z52" s="157" t="s">
        <v>354</v>
      </c>
      <c r="AA52" s="355" t="s">
        <v>365</v>
      </c>
      <c r="AB52" s="40" t="s">
        <v>357</v>
      </c>
      <c r="AC52" s="356" t="s">
        <v>365</v>
      </c>
      <c r="AD52" s="40" t="s">
        <v>357</v>
      </c>
      <c r="AE52" s="144" t="s">
        <v>365</v>
      </c>
      <c r="AF52" s="40" t="s">
        <v>357</v>
      </c>
      <c r="AG52" s="357">
        <f t="shared" si="1"/>
        <v>3</v>
      </c>
      <c r="AH52" s="265"/>
      <c r="AI52" s="265"/>
      <c r="AJ52" s="265"/>
      <c r="AK52" s="265"/>
      <c r="AL52" s="157">
        <v>0.0</v>
      </c>
      <c r="AM52" s="157">
        <v>0.0</v>
      </c>
      <c r="AN52" s="157">
        <v>0.0</v>
      </c>
      <c r="AO52" s="157">
        <v>0.0</v>
      </c>
      <c r="AP52" s="157">
        <v>0.0</v>
      </c>
      <c r="AQ52" s="157">
        <v>3.0</v>
      </c>
      <c r="AR52" s="157">
        <v>0.0</v>
      </c>
      <c r="AS52" s="157">
        <v>0.0</v>
      </c>
      <c r="AT52" s="388">
        <f t="shared" si="2"/>
        <v>3</v>
      </c>
      <c r="AU52" s="388">
        <f t="shared" si="3"/>
        <v>1</v>
      </c>
    </row>
    <row r="53">
      <c r="A53" s="157">
        <v>52.0</v>
      </c>
      <c r="B53" s="157" t="s">
        <v>236</v>
      </c>
      <c r="C53" s="46" t="s">
        <v>234</v>
      </c>
      <c r="D53" s="18" t="s">
        <v>1625</v>
      </c>
      <c r="E53" s="631">
        <v>40487.0</v>
      </c>
      <c r="F53" s="265"/>
      <c r="G53" s="265"/>
      <c r="H53" s="265"/>
      <c r="I53" s="265"/>
      <c r="J53" s="265"/>
      <c r="K53" s="265"/>
      <c r="L53" s="265"/>
      <c r="M53" s="265"/>
      <c r="N53" s="265"/>
      <c r="O53" s="265"/>
      <c r="P53" s="265"/>
      <c r="Q53" s="265"/>
      <c r="R53" s="157">
        <v>0.0</v>
      </c>
      <c r="S53" s="157">
        <v>0.0</v>
      </c>
      <c r="T53" s="551" t="s">
        <v>354</v>
      </c>
      <c r="U53" s="551" t="s">
        <v>354</v>
      </c>
      <c r="V53" s="551" t="s">
        <v>354</v>
      </c>
      <c r="W53" s="157">
        <v>0.0</v>
      </c>
      <c r="X53" s="157">
        <v>0.0</v>
      </c>
      <c r="Y53" s="157" t="s">
        <v>354</v>
      </c>
      <c r="Z53" s="157" t="s">
        <v>354</v>
      </c>
      <c r="AA53" s="359" t="s">
        <v>356</v>
      </c>
      <c r="AB53" s="359" t="s">
        <v>354</v>
      </c>
      <c r="AC53" s="632" t="s">
        <v>356</v>
      </c>
      <c r="AD53" s="632" t="s">
        <v>354</v>
      </c>
      <c r="AE53" s="139" t="s">
        <v>356</v>
      </c>
      <c r="AF53" s="139" t="s">
        <v>354</v>
      </c>
      <c r="AG53" s="46">
        <f t="shared" si="1"/>
        <v>0</v>
      </c>
      <c r="AH53" s="265"/>
      <c r="AI53" s="265"/>
      <c r="AJ53" s="265"/>
      <c r="AK53" s="265"/>
      <c r="AL53" s="157">
        <v>0.0</v>
      </c>
      <c r="AM53" s="157">
        <v>0.0</v>
      </c>
      <c r="AN53" s="157">
        <v>0.0</v>
      </c>
      <c r="AO53" s="157">
        <v>0.0</v>
      </c>
      <c r="AP53" s="157">
        <v>0.0</v>
      </c>
      <c r="AQ53" s="157">
        <v>0.0</v>
      </c>
      <c r="AR53" s="157">
        <v>0.0</v>
      </c>
      <c r="AS53" s="157">
        <v>0.0</v>
      </c>
      <c r="AT53" s="265">
        <f t="shared" si="2"/>
        <v>0</v>
      </c>
      <c r="AU53" s="265">
        <f t="shared" si="3"/>
        <v>0</v>
      </c>
    </row>
    <row r="54">
      <c r="A54" s="157">
        <v>53.0</v>
      </c>
      <c r="B54" s="157" t="s">
        <v>24</v>
      </c>
      <c r="C54" s="48" t="s">
        <v>24</v>
      </c>
      <c r="D54" s="482" t="s">
        <v>391</v>
      </c>
      <c r="E54" s="631">
        <v>40487.0</v>
      </c>
      <c r="F54" s="265"/>
      <c r="G54" s="265"/>
      <c r="H54" s="265"/>
      <c r="I54" s="265"/>
      <c r="J54" s="265"/>
      <c r="K54" s="265"/>
      <c r="L54" s="265"/>
      <c r="M54" s="265"/>
      <c r="N54" s="265"/>
      <c r="O54" s="265"/>
      <c r="P54" s="265"/>
      <c r="Q54" s="265"/>
      <c r="R54" s="77">
        <v>40.17</v>
      </c>
      <c r="S54" s="157">
        <v>0.0</v>
      </c>
      <c r="T54" s="551" t="s">
        <v>354</v>
      </c>
      <c r="U54" s="551" t="s">
        <v>354</v>
      </c>
      <c r="V54" s="551" t="s">
        <v>354</v>
      </c>
      <c r="W54" s="157">
        <v>0.0</v>
      </c>
      <c r="X54" s="157">
        <v>0.0</v>
      </c>
      <c r="Y54" s="157" t="s">
        <v>354</v>
      </c>
      <c r="Z54" s="157" t="s">
        <v>354</v>
      </c>
      <c r="AA54" s="355" t="s">
        <v>365</v>
      </c>
      <c r="AB54" s="40" t="s">
        <v>357</v>
      </c>
      <c r="AC54" s="356" t="s">
        <v>365</v>
      </c>
      <c r="AD54" s="40" t="s">
        <v>357</v>
      </c>
      <c r="AE54" s="144" t="s">
        <v>365</v>
      </c>
      <c r="AF54" s="40" t="s">
        <v>357</v>
      </c>
      <c r="AG54" s="357">
        <f t="shared" si="1"/>
        <v>4</v>
      </c>
      <c r="AH54" s="265"/>
      <c r="AI54" s="265"/>
      <c r="AJ54" s="265"/>
      <c r="AK54" s="265"/>
      <c r="AL54" s="157">
        <v>0.0</v>
      </c>
      <c r="AM54" s="157">
        <v>0.0</v>
      </c>
      <c r="AN54" s="157">
        <v>0.0</v>
      </c>
      <c r="AO54" s="157">
        <v>0.0</v>
      </c>
      <c r="AP54" s="157">
        <v>0.0</v>
      </c>
      <c r="AQ54" s="157">
        <v>3.0</v>
      </c>
      <c r="AR54" s="157">
        <v>0.0</v>
      </c>
      <c r="AS54" s="157">
        <v>0.0</v>
      </c>
      <c r="AT54" s="388">
        <f t="shared" si="2"/>
        <v>3</v>
      </c>
      <c r="AU54" s="388">
        <f t="shared" si="3"/>
        <v>1</v>
      </c>
    </row>
    <row r="55">
      <c r="A55" s="157">
        <v>54.0</v>
      </c>
      <c r="B55" s="157" t="s">
        <v>42</v>
      </c>
      <c r="C55" s="46" t="s">
        <v>42</v>
      </c>
      <c r="D55" s="18" t="s">
        <v>421</v>
      </c>
      <c r="E55" s="631">
        <v>40487.0</v>
      </c>
      <c r="F55" s="265"/>
      <c r="G55" s="265"/>
      <c r="H55" s="265"/>
      <c r="I55" s="265"/>
      <c r="J55" s="265"/>
      <c r="K55" s="265"/>
      <c r="L55" s="265"/>
      <c r="M55" s="265"/>
      <c r="N55" s="265"/>
      <c r="O55" s="265"/>
      <c r="P55" s="265"/>
      <c r="Q55" s="265"/>
      <c r="R55" s="157">
        <v>0.0</v>
      </c>
      <c r="S55" s="157">
        <v>0.0</v>
      </c>
      <c r="T55" s="551" t="s">
        <v>354</v>
      </c>
      <c r="U55" s="551" t="s">
        <v>354</v>
      </c>
      <c r="V55" s="551" t="s">
        <v>354</v>
      </c>
      <c r="W55" s="157">
        <v>0.0</v>
      </c>
      <c r="X55" s="157">
        <v>0.0</v>
      </c>
      <c r="Y55" s="157" t="s">
        <v>354</v>
      </c>
      <c r="Z55" s="157" t="s">
        <v>354</v>
      </c>
      <c r="AA55" s="359" t="s">
        <v>356</v>
      </c>
      <c r="AB55" s="359" t="s">
        <v>354</v>
      </c>
      <c r="AC55" s="632" t="s">
        <v>356</v>
      </c>
      <c r="AD55" s="632" t="s">
        <v>354</v>
      </c>
      <c r="AE55" s="139" t="s">
        <v>356</v>
      </c>
      <c r="AF55" s="139" t="s">
        <v>354</v>
      </c>
      <c r="AG55" s="46">
        <f t="shared" si="1"/>
        <v>0</v>
      </c>
      <c r="AH55" s="265"/>
      <c r="AI55" s="265"/>
      <c r="AJ55" s="265"/>
      <c r="AK55" s="265"/>
      <c r="AL55" s="157">
        <v>0.0</v>
      </c>
      <c r="AM55" s="157">
        <v>0.0</v>
      </c>
      <c r="AN55" s="157">
        <v>0.0</v>
      </c>
      <c r="AO55" s="157">
        <v>0.0</v>
      </c>
      <c r="AP55" s="157">
        <v>0.0</v>
      </c>
      <c r="AQ55" s="157">
        <v>0.0</v>
      </c>
      <c r="AR55" s="157">
        <v>0.0</v>
      </c>
      <c r="AS55" s="157">
        <v>0.0</v>
      </c>
      <c r="AT55" s="265">
        <f t="shared" si="2"/>
        <v>0</v>
      </c>
      <c r="AU55" s="265">
        <f t="shared" si="3"/>
        <v>0</v>
      </c>
    </row>
    <row r="56">
      <c r="A56" s="157">
        <v>55.0</v>
      </c>
      <c r="B56" s="157" t="s">
        <v>19</v>
      </c>
      <c r="C56" s="46" t="s">
        <v>19</v>
      </c>
      <c r="D56" s="18" t="s">
        <v>383</v>
      </c>
      <c r="E56" s="631">
        <v>40487.0</v>
      </c>
      <c r="F56" s="265"/>
      <c r="G56" s="265"/>
      <c r="H56" s="265"/>
      <c r="I56" s="265"/>
      <c r="J56" s="265"/>
      <c r="K56" s="265"/>
      <c r="L56" s="265"/>
      <c r="M56" s="265"/>
      <c r="N56" s="265"/>
      <c r="O56" s="265"/>
      <c r="P56" s="265"/>
      <c r="Q56" s="265"/>
      <c r="R56" s="157">
        <v>0.0</v>
      </c>
      <c r="S56" s="157">
        <v>0.0</v>
      </c>
      <c r="T56" s="551" t="s">
        <v>354</v>
      </c>
      <c r="U56" s="551" t="s">
        <v>354</v>
      </c>
      <c r="V56" s="551" t="s">
        <v>354</v>
      </c>
      <c r="W56" s="157">
        <v>0.0</v>
      </c>
      <c r="X56" s="157">
        <v>0.0</v>
      </c>
      <c r="Y56" s="157" t="s">
        <v>354</v>
      </c>
      <c r="Z56" s="157" t="s">
        <v>354</v>
      </c>
      <c r="AA56" s="355" t="s">
        <v>365</v>
      </c>
      <c r="AB56" s="40" t="s">
        <v>357</v>
      </c>
      <c r="AC56" s="356" t="s">
        <v>365</v>
      </c>
      <c r="AD56" s="162" t="s">
        <v>363</v>
      </c>
      <c r="AE56" s="144" t="s">
        <v>365</v>
      </c>
      <c r="AF56" s="162" t="s">
        <v>363</v>
      </c>
      <c r="AG56" s="357">
        <f t="shared" si="1"/>
        <v>3</v>
      </c>
      <c r="AH56" s="265"/>
      <c r="AI56" s="265"/>
      <c r="AJ56" s="265"/>
      <c r="AK56" s="265"/>
      <c r="AL56" s="157">
        <v>0.0</v>
      </c>
      <c r="AM56" s="157">
        <v>0.0</v>
      </c>
      <c r="AN56" s="157">
        <v>0.0</v>
      </c>
      <c r="AO56" s="157">
        <v>2.0</v>
      </c>
      <c r="AP56" s="157">
        <v>0.0</v>
      </c>
      <c r="AQ56" s="157">
        <v>1.0</v>
      </c>
      <c r="AR56" s="157">
        <v>0.0</v>
      </c>
      <c r="AS56" s="157">
        <v>0.0</v>
      </c>
      <c r="AT56" s="388">
        <f t="shared" si="2"/>
        <v>3</v>
      </c>
      <c r="AU56" s="388">
        <f t="shared" si="3"/>
        <v>2</v>
      </c>
    </row>
    <row r="57">
      <c r="A57" s="157">
        <v>56.0</v>
      </c>
      <c r="B57" s="157" t="s">
        <v>29</v>
      </c>
      <c r="C57" s="46" t="s">
        <v>29</v>
      </c>
      <c r="D57" s="18" t="s">
        <v>401</v>
      </c>
      <c r="E57" s="631">
        <v>40487.0</v>
      </c>
      <c r="F57" s="265"/>
      <c r="G57" s="265"/>
      <c r="H57" s="265"/>
      <c r="I57" s="265"/>
      <c r="J57" s="265"/>
      <c r="K57" s="265"/>
      <c r="L57" s="265"/>
      <c r="M57" s="265"/>
      <c r="N57" s="265"/>
      <c r="O57" s="265"/>
      <c r="P57" s="265"/>
      <c r="Q57" s="265"/>
      <c r="R57" s="157">
        <v>0.0</v>
      </c>
      <c r="S57" s="157">
        <v>0.0</v>
      </c>
      <c r="T57" s="551" t="s">
        <v>354</v>
      </c>
      <c r="U57" s="551" t="s">
        <v>354</v>
      </c>
      <c r="V57" s="551" t="s">
        <v>354</v>
      </c>
      <c r="W57" s="157">
        <v>0.0</v>
      </c>
      <c r="X57" s="157">
        <v>0.0</v>
      </c>
      <c r="Y57" s="157" t="s">
        <v>354</v>
      </c>
      <c r="Z57" s="157" t="s">
        <v>354</v>
      </c>
      <c r="AA57" s="355" t="s">
        <v>365</v>
      </c>
      <c r="AB57" s="40" t="s">
        <v>357</v>
      </c>
      <c r="AC57" s="356" t="s">
        <v>365</v>
      </c>
      <c r="AD57" s="40" t="s">
        <v>357</v>
      </c>
      <c r="AE57" s="144" t="s">
        <v>365</v>
      </c>
      <c r="AF57" s="40" t="s">
        <v>357</v>
      </c>
      <c r="AG57" s="357">
        <f t="shared" si="1"/>
        <v>3</v>
      </c>
      <c r="AH57" s="265"/>
      <c r="AI57" s="265"/>
      <c r="AJ57" s="265"/>
      <c r="AK57" s="265"/>
      <c r="AL57" s="157">
        <v>0.0</v>
      </c>
      <c r="AM57" s="157">
        <v>0.0</v>
      </c>
      <c r="AN57" s="157">
        <v>0.0</v>
      </c>
      <c r="AO57" s="157">
        <v>0.0</v>
      </c>
      <c r="AP57" s="157">
        <v>0.0</v>
      </c>
      <c r="AQ57" s="157">
        <v>3.0</v>
      </c>
      <c r="AR57" s="157">
        <v>0.0</v>
      </c>
      <c r="AS57" s="157">
        <v>0.0</v>
      </c>
      <c r="AT57" s="388">
        <f t="shared" si="2"/>
        <v>3</v>
      </c>
      <c r="AU57" s="388">
        <f t="shared" si="3"/>
        <v>1</v>
      </c>
    </row>
    <row r="58">
      <c r="A58" s="157">
        <v>57.0</v>
      </c>
      <c r="B58" s="157" t="s">
        <v>36</v>
      </c>
      <c r="C58" s="46" t="s">
        <v>36</v>
      </c>
      <c r="D58" s="18" t="s">
        <v>411</v>
      </c>
      <c r="E58" s="631">
        <v>40487.0</v>
      </c>
      <c r="F58" s="265"/>
      <c r="G58" s="265"/>
      <c r="H58" s="265"/>
      <c r="I58" s="265"/>
      <c r="J58" s="265"/>
      <c r="K58" s="265"/>
      <c r="L58" s="265"/>
      <c r="M58" s="265"/>
      <c r="N58" s="265"/>
      <c r="O58" s="265"/>
      <c r="P58" s="265"/>
      <c r="Q58" s="265"/>
      <c r="R58" s="157">
        <v>0.0</v>
      </c>
      <c r="S58" s="157">
        <v>0.0</v>
      </c>
      <c r="T58" s="551" t="s">
        <v>354</v>
      </c>
      <c r="U58" s="551" t="s">
        <v>354</v>
      </c>
      <c r="V58" s="551" t="s">
        <v>354</v>
      </c>
      <c r="W58" s="157">
        <v>0.0</v>
      </c>
      <c r="X58" s="157">
        <v>0.0</v>
      </c>
      <c r="Y58" s="157" t="s">
        <v>354</v>
      </c>
      <c r="Z58" s="157" t="s">
        <v>354</v>
      </c>
      <c r="AA58" s="359" t="s">
        <v>356</v>
      </c>
      <c r="AB58" s="359" t="s">
        <v>354</v>
      </c>
      <c r="AC58" s="632" t="s">
        <v>356</v>
      </c>
      <c r="AD58" s="632" t="s">
        <v>354</v>
      </c>
      <c r="AE58" s="139" t="s">
        <v>356</v>
      </c>
      <c r="AF58" s="139" t="s">
        <v>354</v>
      </c>
      <c r="AG58" s="46">
        <f t="shared" si="1"/>
        <v>0</v>
      </c>
      <c r="AH58" s="265"/>
      <c r="AI58" s="265"/>
      <c r="AJ58" s="265"/>
      <c r="AK58" s="265"/>
      <c r="AL58" s="157">
        <v>0.0</v>
      </c>
      <c r="AM58" s="157">
        <v>0.0</v>
      </c>
      <c r="AN58" s="157">
        <v>0.0</v>
      </c>
      <c r="AO58" s="157">
        <v>0.0</v>
      </c>
      <c r="AP58" s="157">
        <v>0.0</v>
      </c>
      <c r="AQ58" s="157">
        <v>0.0</v>
      </c>
      <c r="AR58" s="157">
        <v>0.0</v>
      </c>
      <c r="AS58" s="157">
        <v>0.0</v>
      </c>
      <c r="AT58" s="265">
        <f t="shared" si="2"/>
        <v>0</v>
      </c>
      <c r="AU58" s="265">
        <f t="shared" si="3"/>
        <v>0</v>
      </c>
    </row>
    <row r="59">
      <c r="A59" s="157">
        <v>58.0</v>
      </c>
      <c r="B59" s="157" t="s">
        <v>6</v>
      </c>
      <c r="C59" s="48" t="s">
        <v>6</v>
      </c>
      <c r="D59" s="482" t="s">
        <v>1599</v>
      </c>
      <c r="E59" s="631">
        <v>40487.0</v>
      </c>
      <c r="F59" s="265"/>
      <c r="G59" s="265"/>
      <c r="H59" s="265"/>
      <c r="I59" s="265"/>
      <c r="J59" s="265"/>
      <c r="K59" s="265"/>
      <c r="L59" s="265"/>
      <c r="M59" s="265"/>
      <c r="N59" s="265"/>
      <c r="O59" s="265"/>
      <c r="P59" s="265"/>
      <c r="Q59" s="265"/>
      <c r="R59" s="157">
        <v>0.0</v>
      </c>
      <c r="S59" s="157">
        <v>0.0</v>
      </c>
      <c r="T59" s="551" t="s">
        <v>354</v>
      </c>
      <c r="U59" s="551" t="s">
        <v>354</v>
      </c>
      <c r="V59" s="551" t="s">
        <v>354</v>
      </c>
      <c r="W59" s="157">
        <v>0.0</v>
      </c>
      <c r="X59" s="157">
        <v>0.0</v>
      </c>
      <c r="Y59" s="157" t="s">
        <v>354</v>
      </c>
      <c r="Z59" s="157" t="s">
        <v>354</v>
      </c>
      <c r="AA59" s="355" t="s">
        <v>365</v>
      </c>
      <c r="AB59" s="40" t="s">
        <v>357</v>
      </c>
      <c r="AC59" s="356" t="s">
        <v>365</v>
      </c>
      <c r="AD59" s="40" t="s">
        <v>357</v>
      </c>
      <c r="AE59" s="144" t="s">
        <v>365</v>
      </c>
      <c r="AF59" s="40" t="s">
        <v>357</v>
      </c>
      <c r="AG59" s="357">
        <f t="shared" si="1"/>
        <v>3</v>
      </c>
      <c r="AH59" s="265"/>
      <c r="AI59" s="265"/>
      <c r="AJ59" s="265"/>
      <c r="AK59" s="265"/>
      <c r="AL59" s="157">
        <v>0.0</v>
      </c>
      <c r="AM59" s="157">
        <v>0.0</v>
      </c>
      <c r="AN59" s="157">
        <v>0.0</v>
      </c>
      <c r="AO59" s="157">
        <v>0.0</v>
      </c>
      <c r="AP59" s="157">
        <v>0.0</v>
      </c>
      <c r="AQ59" s="157">
        <v>3.0</v>
      </c>
      <c r="AR59" s="157">
        <v>0.0</v>
      </c>
      <c r="AS59" s="157">
        <v>0.0</v>
      </c>
      <c r="AT59" s="388">
        <f t="shared" si="2"/>
        <v>3</v>
      </c>
      <c r="AU59" s="388">
        <f t="shared" si="3"/>
        <v>1</v>
      </c>
    </row>
    <row r="60">
      <c r="A60" s="157">
        <v>59.0</v>
      </c>
      <c r="B60" s="157" t="s">
        <v>534</v>
      </c>
      <c r="C60" s="46" t="s">
        <v>310</v>
      </c>
      <c r="D60" s="146" t="s">
        <v>532</v>
      </c>
      <c r="E60" s="631">
        <v>40487.0</v>
      </c>
      <c r="F60" s="265"/>
      <c r="G60" s="265"/>
      <c r="H60" s="265"/>
      <c r="I60" s="265"/>
      <c r="J60" s="265"/>
      <c r="K60" s="265"/>
      <c r="L60" s="265"/>
      <c r="M60" s="265"/>
      <c r="N60" s="265"/>
      <c r="O60" s="265"/>
      <c r="P60" s="265"/>
      <c r="Q60" s="265"/>
      <c r="R60" s="157">
        <v>0.0</v>
      </c>
      <c r="S60" s="157">
        <v>0.0</v>
      </c>
      <c r="T60" s="551" t="s">
        <v>354</v>
      </c>
      <c r="U60" s="551" t="s">
        <v>354</v>
      </c>
      <c r="V60" s="551" t="s">
        <v>354</v>
      </c>
      <c r="W60" s="157">
        <v>0.0</v>
      </c>
      <c r="X60" s="157">
        <v>0.0</v>
      </c>
      <c r="Y60" s="157" t="s">
        <v>354</v>
      </c>
      <c r="Z60" s="157" t="s">
        <v>354</v>
      </c>
      <c r="AA60" s="359" t="s">
        <v>356</v>
      </c>
      <c r="AB60" s="359" t="s">
        <v>354</v>
      </c>
      <c r="AC60" s="632" t="s">
        <v>356</v>
      </c>
      <c r="AD60" s="632" t="s">
        <v>354</v>
      </c>
      <c r="AE60" s="139" t="s">
        <v>356</v>
      </c>
      <c r="AF60" s="139" t="s">
        <v>354</v>
      </c>
      <c r="AG60" s="46">
        <f t="shared" si="1"/>
        <v>0</v>
      </c>
      <c r="AH60" s="265"/>
      <c r="AI60" s="265"/>
      <c r="AJ60" s="265"/>
      <c r="AK60" s="265"/>
      <c r="AL60" s="157">
        <v>0.0</v>
      </c>
      <c r="AM60" s="157">
        <v>0.0</v>
      </c>
      <c r="AN60" s="157">
        <v>0.0</v>
      </c>
      <c r="AO60" s="157">
        <v>0.0</v>
      </c>
      <c r="AP60" s="157">
        <v>0.0</v>
      </c>
      <c r="AQ60" s="157">
        <v>0.0</v>
      </c>
      <c r="AR60" s="157">
        <v>0.0</v>
      </c>
      <c r="AS60" s="157">
        <v>0.0</v>
      </c>
      <c r="AT60" s="265">
        <f t="shared" si="2"/>
        <v>0</v>
      </c>
      <c r="AU60" s="265">
        <f t="shared" si="3"/>
        <v>0</v>
      </c>
    </row>
    <row r="61">
      <c r="A61" s="157">
        <v>60.0</v>
      </c>
      <c r="B61" s="157" t="s">
        <v>838</v>
      </c>
      <c r="C61" s="49" t="s">
        <v>835</v>
      </c>
      <c r="D61" s="18" t="s">
        <v>1661</v>
      </c>
      <c r="E61" s="631">
        <v>40487.0</v>
      </c>
      <c r="F61" s="265"/>
      <c r="G61" s="265"/>
      <c r="H61" s="265"/>
      <c r="I61" s="265"/>
      <c r="J61" s="265"/>
      <c r="K61" s="265"/>
      <c r="L61" s="265"/>
      <c r="M61" s="265"/>
      <c r="N61" s="265"/>
      <c r="O61" s="265"/>
      <c r="P61" s="265"/>
      <c r="Q61" s="265"/>
      <c r="R61" s="157">
        <v>0.0</v>
      </c>
      <c r="S61" s="157">
        <v>0.0</v>
      </c>
      <c r="T61" s="551" t="s">
        <v>354</v>
      </c>
      <c r="U61" s="551" t="s">
        <v>354</v>
      </c>
      <c r="V61" s="551" t="s">
        <v>354</v>
      </c>
      <c r="W61" s="157">
        <v>0.0</v>
      </c>
      <c r="X61" s="157">
        <v>0.0</v>
      </c>
      <c r="Y61" s="157" t="s">
        <v>354</v>
      </c>
      <c r="Z61" s="157" t="s">
        <v>354</v>
      </c>
      <c r="AA61" s="359" t="s">
        <v>356</v>
      </c>
      <c r="AB61" s="359" t="s">
        <v>354</v>
      </c>
      <c r="AC61" s="632" t="s">
        <v>356</v>
      </c>
      <c r="AD61" s="632" t="s">
        <v>354</v>
      </c>
      <c r="AE61" s="139" t="s">
        <v>356</v>
      </c>
      <c r="AF61" s="139" t="s">
        <v>354</v>
      </c>
      <c r="AG61" s="46">
        <f t="shared" si="1"/>
        <v>0</v>
      </c>
      <c r="AH61" s="265"/>
      <c r="AI61" s="265"/>
      <c r="AJ61" s="265"/>
      <c r="AK61" s="265"/>
      <c r="AL61" s="157">
        <v>0.0</v>
      </c>
      <c r="AM61" s="157">
        <v>0.0</v>
      </c>
      <c r="AN61" s="157">
        <v>0.0</v>
      </c>
      <c r="AO61" s="157">
        <v>0.0</v>
      </c>
      <c r="AP61" s="157">
        <v>0.0</v>
      </c>
      <c r="AQ61" s="157">
        <v>0.0</v>
      </c>
      <c r="AR61" s="157">
        <v>0.0</v>
      </c>
      <c r="AS61" s="157">
        <v>0.0</v>
      </c>
      <c r="AT61" s="265">
        <f t="shared" si="2"/>
        <v>0</v>
      </c>
      <c r="AU61" s="265">
        <f t="shared" si="3"/>
        <v>0</v>
      </c>
    </row>
    <row r="62">
      <c r="A62" s="157">
        <v>61.0</v>
      </c>
      <c r="B62" s="157" t="s">
        <v>668</v>
      </c>
      <c r="C62" s="49" t="s">
        <v>666</v>
      </c>
      <c r="D62" s="18" t="s">
        <v>667</v>
      </c>
      <c r="E62" s="631">
        <v>40487.0</v>
      </c>
      <c r="F62" s="265"/>
      <c r="G62" s="265"/>
      <c r="H62" s="265"/>
      <c r="I62" s="265"/>
      <c r="J62" s="265"/>
      <c r="K62" s="265"/>
      <c r="L62" s="265"/>
      <c r="M62" s="265"/>
      <c r="N62" s="265"/>
      <c r="O62" s="265"/>
      <c r="P62" s="265"/>
      <c r="Q62" s="265"/>
      <c r="R62" s="157">
        <v>0.0</v>
      </c>
      <c r="S62" s="157">
        <v>0.0</v>
      </c>
      <c r="T62" s="551" t="s">
        <v>354</v>
      </c>
      <c r="U62" s="551" t="s">
        <v>354</v>
      </c>
      <c r="V62" s="551" t="s">
        <v>354</v>
      </c>
      <c r="W62" s="157">
        <v>0.0</v>
      </c>
      <c r="X62" s="157">
        <v>0.0</v>
      </c>
      <c r="Y62" s="157" t="s">
        <v>354</v>
      </c>
      <c r="Z62" s="157" t="s">
        <v>354</v>
      </c>
      <c r="AA62" s="359" t="s">
        <v>356</v>
      </c>
      <c r="AB62" s="359" t="s">
        <v>354</v>
      </c>
      <c r="AC62" s="632" t="s">
        <v>356</v>
      </c>
      <c r="AD62" s="632" t="s">
        <v>354</v>
      </c>
      <c r="AE62" s="139" t="s">
        <v>356</v>
      </c>
      <c r="AF62" s="139" t="s">
        <v>354</v>
      </c>
      <c r="AG62" s="46">
        <f t="shared" si="1"/>
        <v>0</v>
      </c>
      <c r="AH62" s="265"/>
      <c r="AI62" s="265"/>
      <c r="AJ62" s="265"/>
      <c r="AK62" s="265"/>
      <c r="AL62" s="157">
        <v>0.0</v>
      </c>
      <c r="AM62" s="157">
        <v>0.0</v>
      </c>
      <c r="AN62" s="157">
        <v>0.0</v>
      </c>
      <c r="AO62" s="157">
        <v>0.0</v>
      </c>
      <c r="AP62" s="157">
        <v>0.0</v>
      </c>
      <c r="AQ62" s="157">
        <v>0.0</v>
      </c>
      <c r="AR62" s="157">
        <v>0.0</v>
      </c>
      <c r="AS62" s="157">
        <v>0.0</v>
      </c>
      <c r="AT62" s="265">
        <f t="shared" si="2"/>
        <v>0</v>
      </c>
      <c r="AU62" s="265">
        <f t="shared" si="3"/>
        <v>0</v>
      </c>
    </row>
    <row r="63">
      <c r="A63" s="157">
        <v>62.0</v>
      </c>
      <c r="B63" s="157" t="s">
        <v>591</v>
      </c>
      <c r="C63" s="49" t="s">
        <v>587</v>
      </c>
      <c r="D63" s="18" t="s">
        <v>588</v>
      </c>
      <c r="E63" s="631">
        <v>40487.0</v>
      </c>
      <c r="F63" s="265"/>
      <c r="G63" s="265"/>
      <c r="H63" s="265"/>
      <c r="I63" s="265"/>
      <c r="J63" s="265"/>
      <c r="K63" s="265"/>
      <c r="L63" s="265"/>
      <c r="M63" s="265"/>
      <c r="N63" s="265"/>
      <c r="O63" s="265"/>
      <c r="P63" s="265"/>
      <c r="Q63" s="265"/>
      <c r="R63" s="157">
        <v>0.0</v>
      </c>
      <c r="S63" s="157">
        <v>0.0</v>
      </c>
      <c r="T63" s="551" t="s">
        <v>354</v>
      </c>
      <c r="U63" s="551" t="s">
        <v>354</v>
      </c>
      <c r="V63" s="551" t="s">
        <v>354</v>
      </c>
      <c r="W63" s="157">
        <v>0.0</v>
      </c>
      <c r="X63" s="157">
        <v>0.0</v>
      </c>
      <c r="Y63" s="157" t="s">
        <v>354</v>
      </c>
      <c r="Z63" s="157" t="s">
        <v>354</v>
      </c>
      <c r="AA63" s="359" t="s">
        <v>356</v>
      </c>
      <c r="AB63" s="359" t="s">
        <v>354</v>
      </c>
      <c r="AC63" s="632" t="s">
        <v>356</v>
      </c>
      <c r="AD63" s="632" t="s">
        <v>354</v>
      </c>
      <c r="AE63" s="139" t="s">
        <v>356</v>
      </c>
      <c r="AF63" s="139" t="s">
        <v>354</v>
      </c>
      <c r="AG63" s="46">
        <f t="shared" si="1"/>
        <v>0</v>
      </c>
      <c r="AH63" s="265"/>
      <c r="AI63" s="265"/>
      <c r="AJ63" s="265"/>
      <c r="AK63" s="265"/>
      <c r="AL63" s="157">
        <v>0.0</v>
      </c>
      <c r="AM63" s="157">
        <v>0.0</v>
      </c>
      <c r="AN63" s="157">
        <v>0.0</v>
      </c>
      <c r="AO63" s="157">
        <v>0.0</v>
      </c>
      <c r="AP63" s="157">
        <v>0.0</v>
      </c>
      <c r="AQ63" s="157">
        <v>0.0</v>
      </c>
      <c r="AR63" s="157">
        <v>0.0</v>
      </c>
      <c r="AS63" s="157">
        <v>0.0</v>
      </c>
      <c r="AT63" s="265">
        <f t="shared" si="2"/>
        <v>0</v>
      </c>
      <c r="AU63" s="265">
        <f t="shared" si="3"/>
        <v>0</v>
      </c>
    </row>
    <row r="64">
      <c r="A64" s="157">
        <v>63.0</v>
      </c>
      <c r="B64" s="157" t="s">
        <v>818</v>
      </c>
      <c r="C64" s="49" t="s">
        <v>816</v>
      </c>
      <c r="D64" s="18" t="s">
        <v>817</v>
      </c>
      <c r="E64" s="631">
        <v>40487.0</v>
      </c>
      <c r="F64" s="265"/>
      <c r="G64" s="265"/>
      <c r="H64" s="265"/>
      <c r="I64" s="265"/>
      <c r="J64" s="265"/>
      <c r="K64" s="265"/>
      <c r="L64" s="265"/>
      <c r="M64" s="265"/>
      <c r="N64" s="265"/>
      <c r="O64" s="265"/>
      <c r="P64" s="265"/>
      <c r="Q64" s="265"/>
      <c r="R64" s="157">
        <v>0.0</v>
      </c>
      <c r="S64" s="157">
        <v>0.0</v>
      </c>
      <c r="T64" s="551" t="s">
        <v>354</v>
      </c>
      <c r="U64" s="551" t="s">
        <v>354</v>
      </c>
      <c r="V64" s="551" t="s">
        <v>354</v>
      </c>
      <c r="W64" s="157">
        <v>0.0</v>
      </c>
      <c r="X64" s="157">
        <v>0.0</v>
      </c>
      <c r="Y64" s="157" t="s">
        <v>354</v>
      </c>
      <c r="Z64" s="157" t="s">
        <v>354</v>
      </c>
      <c r="AA64" s="359" t="s">
        <v>356</v>
      </c>
      <c r="AB64" s="359" t="s">
        <v>354</v>
      </c>
      <c r="AC64" s="632" t="s">
        <v>356</v>
      </c>
      <c r="AD64" s="632" t="s">
        <v>354</v>
      </c>
      <c r="AE64" s="139" t="s">
        <v>356</v>
      </c>
      <c r="AF64" s="139" t="s">
        <v>354</v>
      </c>
      <c r="AG64" s="46">
        <f t="shared" si="1"/>
        <v>0</v>
      </c>
      <c r="AH64" s="265"/>
      <c r="AI64" s="265"/>
      <c r="AJ64" s="265"/>
      <c r="AK64" s="265"/>
      <c r="AL64" s="157">
        <v>0.0</v>
      </c>
      <c r="AM64" s="157">
        <v>0.0</v>
      </c>
      <c r="AN64" s="157">
        <v>0.0</v>
      </c>
      <c r="AO64" s="157">
        <v>0.0</v>
      </c>
      <c r="AP64" s="157">
        <v>0.0</v>
      </c>
      <c r="AQ64" s="157">
        <v>0.0</v>
      </c>
      <c r="AR64" s="157">
        <v>0.0</v>
      </c>
      <c r="AS64" s="157">
        <v>0.0</v>
      </c>
      <c r="AT64" s="265">
        <f t="shared" si="2"/>
        <v>0</v>
      </c>
      <c r="AU64" s="265">
        <f t="shared" si="3"/>
        <v>0</v>
      </c>
    </row>
    <row r="65">
      <c r="A65" s="157">
        <v>64.0</v>
      </c>
      <c r="B65" s="157" t="s">
        <v>493</v>
      </c>
      <c r="C65" s="49" t="s">
        <v>488</v>
      </c>
      <c r="D65" s="18" t="s">
        <v>489</v>
      </c>
      <c r="E65" s="631">
        <v>40487.0</v>
      </c>
      <c r="F65" s="265"/>
      <c r="G65" s="265"/>
      <c r="H65" s="265"/>
      <c r="I65" s="265"/>
      <c r="J65" s="265"/>
      <c r="K65" s="265"/>
      <c r="L65" s="265"/>
      <c r="M65" s="265"/>
      <c r="N65" s="265"/>
      <c r="O65" s="265"/>
      <c r="P65" s="265"/>
      <c r="Q65" s="265"/>
      <c r="R65" s="157">
        <v>0.0</v>
      </c>
      <c r="S65" s="157">
        <v>0.0</v>
      </c>
      <c r="T65" s="551" t="s">
        <v>354</v>
      </c>
      <c r="U65" s="551" t="s">
        <v>354</v>
      </c>
      <c r="V65" s="551" t="s">
        <v>354</v>
      </c>
      <c r="W65" s="157">
        <v>0.0</v>
      </c>
      <c r="X65" s="157">
        <v>0.0</v>
      </c>
      <c r="Y65" s="157" t="s">
        <v>354</v>
      </c>
      <c r="Z65" s="157" t="s">
        <v>354</v>
      </c>
      <c r="AA65" s="359" t="s">
        <v>356</v>
      </c>
      <c r="AB65" s="359" t="s">
        <v>354</v>
      </c>
      <c r="AC65" s="632" t="s">
        <v>356</v>
      </c>
      <c r="AD65" s="632" t="s">
        <v>354</v>
      </c>
      <c r="AE65" s="139" t="s">
        <v>356</v>
      </c>
      <c r="AF65" s="139" t="s">
        <v>354</v>
      </c>
      <c r="AG65" s="46">
        <f t="shared" si="1"/>
        <v>0</v>
      </c>
      <c r="AH65" s="265"/>
      <c r="AI65" s="265"/>
      <c r="AJ65" s="265"/>
      <c r="AK65" s="265"/>
      <c r="AL65" s="157">
        <v>0.0</v>
      </c>
      <c r="AM65" s="157">
        <v>0.0</v>
      </c>
      <c r="AN65" s="157">
        <v>0.0</v>
      </c>
      <c r="AO65" s="157">
        <v>0.0</v>
      </c>
      <c r="AP65" s="157">
        <v>0.0</v>
      </c>
      <c r="AQ65" s="157">
        <v>0.0</v>
      </c>
      <c r="AR65" s="157">
        <v>0.0</v>
      </c>
      <c r="AS65" s="157">
        <v>0.0</v>
      </c>
      <c r="AT65" s="265">
        <f t="shared" si="2"/>
        <v>0</v>
      </c>
      <c r="AU65" s="265">
        <f t="shared" si="3"/>
        <v>0</v>
      </c>
    </row>
    <row r="66">
      <c r="A66" s="157">
        <v>65.0</v>
      </c>
      <c r="B66" s="157" t="s">
        <v>950</v>
      </c>
      <c r="C66" s="49" t="s">
        <v>947</v>
      </c>
      <c r="D66" s="18" t="s">
        <v>1665</v>
      </c>
      <c r="E66" s="631">
        <v>40487.0</v>
      </c>
      <c r="F66" s="265"/>
      <c r="G66" s="265"/>
      <c r="H66" s="265"/>
      <c r="I66" s="265"/>
      <c r="J66" s="265"/>
      <c r="K66" s="265"/>
      <c r="L66" s="265"/>
      <c r="M66" s="265"/>
      <c r="N66" s="265"/>
      <c r="O66" s="265"/>
      <c r="P66" s="265"/>
      <c r="Q66" s="265"/>
      <c r="R66" s="157">
        <v>0.0</v>
      </c>
      <c r="S66" s="157">
        <v>0.0</v>
      </c>
      <c r="T66" s="551" t="s">
        <v>354</v>
      </c>
      <c r="U66" s="551" t="s">
        <v>354</v>
      </c>
      <c r="V66" s="551" t="s">
        <v>354</v>
      </c>
      <c r="W66" s="157">
        <v>0.0</v>
      </c>
      <c r="X66" s="157">
        <v>0.0</v>
      </c>
      <c r="Y66" s="157" t="s">
        <v>354</v>
      </c>
      <c r="Z66" s="157" t="s">
        <v>354</v>
      </c>
      <c r="AA66" s="359" t="s">
        <v>356</v>
      </c>
      <c r="AB66" s="359" t="s">
        <v>354</v>
      </c>
      <c r="AC66" s="365" t="s">
        <v>365</v>
      </c>
      <c r="AD66" s="391" t="s">
        <v>380</v>
      </c>
      <c r="AE66" s="139" t="s">
        <v>356</v>
      </c>
      <c r="AF66" s="139" t="s">
        <v>354</v>
      </c>
      <c r="AG66" s="367">
        <f t="shared" si="1"/>
        <v>1</v>
      </c>
      <c r="AH66" s="265"/>
      <c r="AI66" s="265"/>
      <c r="AJ66" s="265"/>
      <c r="AK66" s="265"/>
      <c r="AL66" s="157">
        <v>0.0</v>
      </c>
      <c r="AM66" s="157">
        <v>0.0</v>
      </c>
      <c r="AN66" s="157">
        <v>0.0</v>
      </c>
      <c r="AO66" s="157">
        <v>0.0</v>
      </c>
      <c r="AP66" s="157">
        <v>0.0</v>
      </c>
      <c r="AQ66" s="157">
        <v>0.0</v>
      </c>
      <c r="AR66" s="157">
        <v>1.0</v>
      </c>
      <c r="AS66" s="157">
        <v>0.0</v>
      </c>
      <c r="AT66" s="385">
        <f t="shared" si="2"/>
        <v>1</v>
      </c>
      <c r="AU66" s="385">
        <f t="shared" si="3"/>
        <v>1</v>
      </c>
    </row>
    <row r="67">
      <c r="A67" s="157">
        <v>66.0</v>
      </c>
      <c r="B67" s="157" t="s">
        <v>784</v>
      </c>
      <c r="C67" s="157" t="s">
        <v>784</v>
      </c>
      <c r="D67" s="273" t="s">
        <v>784</v>
      </c>
      <c r="E67" s="631">
        <v>40487.0</v>
      </c>
      <c r="F67" s="265"/>
      <c r="G67" s="265"/>
      <c r="H67" s="265"/>
      <c r="I67" s="265"/>
      <c r="J67" s="265"/>
      <c r="K67" s="265"/>
      <c r="L67" s="265"/>
      <c r="M67" s="265"/>
      <c r="N67" s="265"/>
      <c r="O67" s="265"/>
      <c r="P67" s="265"/>
      <c r="Q67" s="265"/>
      <c r="R67" s="157">
        <v>0.0</v>
      </c>
      <c r="S67" s="157">
        <v>0.0</v>
      </c>
      <c r="T67" s="551" t="s">
        <v>354</v>
      </c>
      <c r="U67" s="551" t="s">
        <v>354</v>
      </c>
      <c r="V67" s="551" t="s">
        <v>354</v>
      </c>
      <c r="W67" s="157">
        <v>0.0</v>
      </c>
      <c r="X67" s="157">
        <v>0.0</v>
      </c>
      <c r="Y67" s="157" t="s">
        <v>354</v>
      </c>
      <c r="Z67" s="157" t="s">
        <v>354</v>
      </c>
      <c r="AA67" s="359" t="s">
        <v>356</v>
      </c>
      <c r="AB67" s="359" t="s">
        <v>354</v>
      </c>
      <c r="AC67" s="632" t="s">
        <v>356</v>
      </c>
      <c r="AD67" s="632" t="s">
        <v>354</v>
      </c>
      <c r="AE67" s="139" t="s">
        <v>356</v>
      </c>
      <c r="AF67" s="139" t="s">
        <v>354</v>
      </c>
      <c r="AG67" s="46">
        <f t="shared" si="1"/>
        <v>0</v>
      </c>
      <c r="AH67" s="265"/>
      <c r="AI67" s="265"/>
      <c r="AJ67" s="265"/>
      <c r="AK67" s="265"/>
      <c r="AL67" s="157">
        <v>0.0</v>
      </c>
      <c r="AM67" s="157">
        <v>0.0</v>
      </c>
      <c r="AN67" s="157">
        <v>0.0</v>
      </c>
      <c r="AO67" s="157">
        <v>0.0</v>
      </c>
      <c r="AP67" s="157">
        <v>0.0</v>
      </c>
      <c r="AQ67" s="157">
        <v>0.0</v>
      </c>
      <c r="AR67" s="157">
        <v>0.0</v>
      </c>
      <c r="AS67" s="157">
        <v>0.0</v>
      </c>
      <c r="AT67" s="265">
        <f t="shared" si="2"/>
        <v>0</v>
      </c>
      <c r="AU67" s="265">
        <f t="shared" si="3"/>
        <v>0</v>
      </c>
    </row>
    <row r="68">
      <c r="A68" s="157">
        <v>67.0</v>
      </c>
      <c r="B68" s="157" t="s">
        <v>866</v>
      </c>
      <c r="C68" s="49" t="s">
        <v>863</v>
      </c>
      <c r="D68" s="18" t="s">
        <v>864</v>
      </c>
      <c r="E68" s="631">
        <v>40487.0</v>
      </c>
      <c r="F68" s="265"/>
      <c r="G68" s="265"/>
      <c r="H68" s="265"/>
      <c r="I68" s="265"/>
      <c r="J68" s="265"/>
      <c r="K68" s="265"/>
      <c r="L68" s="265"/>
      <c r="M68" s="265"/>
      <c r="N68" s="265"/>
      <c r="O68" s="265"/>
      <c r="P68" s="265"/>
      <c r="Q68" s="265"/>
      <c r="R68" s="157">
        <v>0.0</v>
      </c>
      <c r="S68" s="157">
        <v>0.0</v>
      </c>
      <c r="T68" s="551" t="s">
        <v>354</v>
      </c>
      <c r="U68" s="551" t="s">
        <v>354</v>
      </c>
      <c r="V68" s="551" t="s">
        <v>354</v>
      </c>
      <c r="W68" s="157">
        <v>0.0</v>
      </c>
      <c r="X68" s="157">
        <v>0.0</v>
      </c>
      <c r="Y68" s="157" t="s">
        <v>354</v>
      </c>
      <c r="Z68" s="157" t="s">
        <v>354</v>
      </c>
      <c r="AA68" s="359" t="s">
        <v>356</v>
      </c>
      <c r="AB68" s="359" t="s">
        <v>354</v>
      </c>
      <c r="AC68" s="632" t="s">
        <v>356</v>
      </c>
      <c r="AD68" s="632" t="s">
        <v>354</v>
      </c>
      <c r="AE68" s="139" t="s">
        <v>356</v>
      </c>
      <c r="AF68" s="139" t="s">
        <v>354</v>
      </c>
      <c r="AG68" s="46">
        <f t="shared" si="1"/>
        <v>0</v>
      </c>
      <c r="AH68" s="265"/>
      <c r="AI68" s="265"/>
      <c r="AJ68" s="265"/>
      <c r="AK68" s="265"/>
      <c r="AL68" s="157">
        <v>0.0</v>
      </c>
      <c r="AM68" s="157">
        <v>0.0</v>
      </c>
      <c r="AN68" s="157">
        <v>0.0</v>
      </c>
      <c r="AO68" s="157">
        <v>0.0</v>
      </c>
      <c r="AP68" s="157">
        <v>0.0</v>
      </c>
      <c r="AQ68" s="157">
        <v>0.0</v>
      </c>
      <c r="AR68" s="157">
        <v>0.0</v>
      </c>
      <c r="AS68" s="157">
        <v>0.0</v>
      </c>
      <c r="AT68" s="265">
        <f t="shared" si="2"/>
        <v>0</v>
      </c>
      <c r="AU68" s="265">
        <f t="shared" si="3"/>
        <v>0</v>
      </c>
    </row>
    <row r="69">
      <c r="A69" s="157" t="s">
        <v>356</v>
      </c>
      <c r="B69" s="157" t="s">
        <v>354</v>
      </c>
      <c r="C69" s="157" t="s">
        <v>354</v>
      </c>
      <c r="D69" s="157" t="s">
        <v>354</v>
      </c>
      <c r="E69" s="157" t="s">
        <v>354</v>
      </c>
      <c r="F69" s="265"/>
      <c r="G69" s="265"/>
      <c r="H69" s="265"/>
      <c r="I69" s="265"/>
      <c r="J69" s="265"/>
      <c r="K69" s="265"/>
      <c r="L69" s="265"/>
      <c r="M69" s="265"/>
      <c r="N69" s="265"/>
      <c r="O69" s="265"/>
      <c r="P69" s="265"/>
      <c r="Q69" s="265"/>
      <c r="R69" s="157">
        <v>0.0</v>
      </c>
      <c r="S69" s="157">
        <v>0.0</v>
      </c>
      <c r="T69" s="551" t="s">
        <v>354</v>
      </c>
      <c r="U69" s="551" t="s">
        <v>354</v>
      </c>
      <c r="V69" s="551" t="s">
        <v>354</v>
      </c>
      <c r="W69" s="157">
        <v>0.0</v>
      </c>
      <c r="X69" s="157">
        <v>0.0</v>
      </c>
      <c r="Y69" s="157" t="s">
        <v>354</v>
      </c>
      <c r="Z69" s="157" t="s">
        <v>354</v>
      </c>
      <c r="AA69" s="359" t="s">
        <v>356</v>
      </c>
      <c r="AB69" s="359" t="s">
        <v>354</v>
      </c>
      <c r="AC69" s="632" t="s">
        <v>356</v>
      </c>
      <c r="AD69" s="632" t="s">
        <v>354</v>
      </c>
      <c r="AE69" s="139" t="s">
        <v>356</v>
      </c>
      <c r="AF69" s="139" t="s">
        <v>354</v>
      </c>
      <c r="AG69" s="46">
        <f t="shared" si="1"/>
        <v>0</v>
      </c>
      <c r="AH69" s="265"/>
      <c r="AI69" s="265"/>
      <c r="AJ69" s="265"/>
      <c r="AK69" s="235" t="s">
        <v>1507</v>
      </c>
      <c r="AL69" s="265">
        <f t="shared" ref="AL69:AS69" si="4">sum(AL2:AL68)</f>
        <v>1</v>
      </c>
      <c r="AM69" s="265">
        <f t="shared" si="4"/>
        <v>3</v>
      </c>
      <c r="AN69" s="265">
        <f t="shared" si="4"/>
        <v>6</v>
      </c>
      <c r="AO69" s="265">
        <f t="shared" si="4"/>
        <v>5</v>
      </c>
      <c r="AP69" s="265">
        <f t="shared" si="4"/>
        <v>9</v>
      </c>
      <c r="AQ69" s="265">
        <f t="shared" si="4"/>
        <v>57</v>
      </c>
      <c r="AR69" s="265">
        <f t="shared" si="4"/>
        <v>6</v>
      </c>
      <c r="AS69" s="265">
        <f t="shared" si="4"/>
        <v>0</v>
      </c>
      <c r="AT69" s="265">
        <f t="shared" si="2"/>
        <v>87</v>
      </c>
      <c r="AU69" s="265"/>
    </row>
    <row r="70">
      <c r="A70" s="157" t="s">
        <v>365</v>
      </c>
      <c r="B70" s="157" t="s">
        <v>354</v>
      </c>
      <c r="C70" s="157" t="s">
        <v>354</v>
      </c>
      <c r="D70" s="157" t="s">
        <v>354</v>
      </c>
      <c r="E70" s="157" t="s">
        <v>354</v>
      </c>
      <c r="F70" s="265"/>
      <c r="G70" s="265"/>
      <c r="H70" s="265"/>
      <c r="I70" s="265"/>
      <c r="J70" s="265"/>
      <c r="K70" s="265"/>
      <c r="L70" s="265"/>
      <c r="M70" s="265"/>
      <c r="N70" s="265"/>
      <c r="O70" s="265"/>
      <c r="P70" s="265"/>
      <c r="Q70" s="265"/>
      <c r="R70" s="140">
        <v>17.4</v>
      </c>
      <c r="S70" s="140">
        <v>26.89</v>
      </c>
      <c r="T70" s="551" t="s">
        <v>354</v>
      </c>
      <c r="U70" s="551" t="s">
        <v>354</v>
      </c>
      <c r="V70" s="551" t="s">
        <v>354</v>
      </c>
      <c r="W70" s="140">
        <v>19.13</v>
      </c>
      <c r="X70" s="140">
        <v>33.16</v>
      </c>
      <c r="Y70" s="140" t="s">
        <v>365</v>
      </c>
      <c r="Z70" s="157" t="s">
        <v>1399</v>
      </c>
      <c r="AA70" s="355" t="s">
        <v>365</v>
      </c>
      <c r="AB70" s="359" t="s">
        <v>1400</v>
      </c>
      <c r="AC70" s="356" t="s">
        <v>365</v>
      </c>
      <c r="AD70" s="368" t="s">
        <v>1400</v>
      </c>
      <c r="AE70" s="387" t="s">
        <v>365</v>
      </c>
      <c r="AF70" s="387" t="s">
        <v>1400</v>
      </c>
      <c r="AG70" s="46">
        <f t="shared" si="1"/>
        <v>4</v>
      </c>
      <c r="AH70" s="265"/>
      <c r="AI70" s="265"/>
      <c r="AJ70" s="265"/>
      <c r="AK70" s="235" t="s">
        <v>1406</v>
      </c>
      <c r="AL70" s="381">
        <f t="shared" ref="AL70:AS70" si="5">sum(AL69/$AT$69)</f>
        <v>0.01149425287</v>
      </c>
      <c r="AM70" s="381">
        <f t="shared" si="5"/>
        <v>0.03448275862</v>
      </c>
      <c r="AN70" s="381">
        <f t="shared" si="5"/>
        <v>0.06896551724</v>
      </c>
      <c r="AO70" s="381">
        <f t="shared" si="5"/>
        <v>0.05747126437</v>
      </c>
      <c r="AP70" s="381">
        <f t="shared" si="5"/>
        <v>0.1034482759</v>
      </c>
      <c r="AQ70" s="381">
        <f t="shared" si="5"/>
        <v>0.6551724138</v>
      </c>
      <c r="AR70" s="381">
        <f t="shared" si="5"/>
        <v>0.06896551724</v>
      </c>
      <c r="AS70" s="381">
        <f t="shared" si="5"/>
        <v>0</v>
      </c>
      <c r="AT70" s="381">
        <f t="shared" si="2"/>
        <v>1</v>
      </c>
      <c r="AU70" s="381"/>
    </row>
    <row r="71">
      <c r="A71" s="265"/>
      <c r="B71" s="265"/>
      <c r="C71" s="265"/>
      <c r="D71" s="265"/>
      <c r="E71" s="265"/>
      <c r="F71" s="265"/>
      <c r="G71" s="265"/>
      <c r="H71" s="265"/>
      <c r="I71" s="265"/>
      <c r="J71" s="265"/>
      <c r="K71" s="265"/>
      <c r="L71" s="265"/>
      <c r="M71" s="265"/>
      <c r="N71" s="265"/>
      <c r="O71" s="265"/>
      <c r="P71" s="265"/>
      <c r="Q71" s="265"/>
      <c r="R71" s="265"/>
      <c r="S71" s="265"/>
      <c r="T71" s="265"/>
      <c r="U71" s="265"/>
      <c r="V71" s="265"/>
      <c r="W71" s="265"/>
      <c r="X71" s="265"/>
      <c r="Y71" s="265"/>
      <c r="Z71" s="265"/>
      <c r="AA71" s="265"/>
      <c r="AB71" s="265"/>
      <c r="AC71" s="265"/>
      <c r="AD71" s="265"/>
      <c r="AE71" s="265"/>
      <c r="AF71" s="265"/>
      <c r="AG71" s="265"/>
      <c r="AH71" s="265"/>
      <c r="AI71" s="265"/>
      <c r="AJ71" s="265"/>
      <c r="AK71" s="265"/>
      <c r="AL71" s="265"/>
      <c r="AM71" s="265"/>
      <c r="AN71" s="265"/>
      <c r="AO71" s="265"/>
      <c r="AP71" s="265"/>
      <c r="AQ71" s="265"/>
      <c r="AR71" s="265"/>
      <c r="AS71" s="265"/>
      <c r="AT71" s="265"/>
      <c r="AU71" s="265"/>
    </row>
    <row r="72">
      <c r="A72" s="265"/>
      <c r="B72" s="265"/>
      <c r="C72" s="265"/>
      <c r="D72" s="265"/>
      <c r="E72" s="265"/>
      <c r="F72" s="265"/>
      <c r="G72" s="265"/>
      <c r="H72" s="265"/>
      <c r="I72" s="265"/>
      <c r="J72" s="265"/>
      <c r="K72" s="265"/>
      <c r="L72" s="265"/>
      <c r="M72" s="265"/>
      <c r="N72" s="265"/>
      <c r="O72" s="265"/>
      <c r="P72" s="265"/>
      <c r="Q72" s="265"/>
      <c r="R72" s="46">
        <f>COUNTIF(R2:R68,"&gt;0")</f>
        <v>10</v>
      </c>
      <c r="S72" s="265"/>
      <c r="T72" s="265"/>
      <c r="U72" s="265"/>
      <c r="V72" s="265"/>
      <c r="W72" s="265"/>
      <c r="X72" s="46">
        <f>COUNTIF(X2:X68,"&gt;0")</f>
        <v>1</v>
      </c>
      <c r="Y72" s="46"/>
      <c r="Z72" s="46"/>
      <c r="AA72" s="46">
        <f>COUNTIF(AA2:AA68,"POS")</f>
        <v>32</v>
      </c>
      <c r="AB72" s="46"/>
      <c r="AC72" s="46">
        <f>COUNTIF(AC2:AC68,"POS")</f>
        <v>28</v>
      </c>
      <c r="AD72" s="46"/>
      <c r="AE72" s="46">
        <f>COUNTIF(AE2:AE68,"POS")</f>
        <v>27</v>
      </c>
      <c r="AF72" s="46"/>
      <c r="AG72" s="372">
        <f>COUNTIF($AG$2:$AG$68,"&gt;0")</f>
        <v>40</v>
      </c>
      <c r="AH72" s="372">
        <f>COUNTIF($AG$2:$AG$68,"&gt;1")</f>
        <v>27</v>
      </c>
      <c r="AI72" s="372">
        <f>COUNTIF($AG$2:$AG$68,"&gt;2")</f>
        <v>23</v>
      </c>
      <c r="AJ72" s="372">
        <f>COUNTIF($AG$2:$AG$68,"&gt;3")</f>
        <v>7</v>
      </c>
      <c r="AK72" s="373">
        <f>countif(AU2:AU68,"&gt;1")</f>
        <v>7</v>
      </c>
      <c r="AL72" s="157">
        <v>1.0</v>
      </c>
      <c r="AM72" s="157">
        <v>0.0</v>
      </c>
      <c r="AN72" s="157">
        <v>1.0</v>
      </c>
      <c r="AO72" s="157">
        <v>1.0</v>
      </c>
      <c r="AP72" s="157">
        <v>2.0</v>
      </c>
      <c r="AQ72" s="157">
        <v>23.0</v>
      </c>
      <c r="AR72" s="157">
        <v>5.0</v>
      </c>
      <c r="AS72" s="157">
        <v>0.0</v>
      </c>
      <c r="AT72" s="265"/>
      <c r="AU72" s="265"/>
    </row>
    <row r="73">
      <c r="A73" s="265"/>
      <c r="B73" s="265"/>
      <c r="C73" s="265"/>
      <c r="D73" s="265"/>
      <c r="E73" s="265"/>
      <c r="F73" s="265"/>
      <c r="G73" s="265"/>
      <c r="H73" s="265"/>
      <c r="I73" s="265"/>
      <c r="J73" s="265"/>
      <c r="K73" s="265"/>
      <c r="L73" s="265"/>
      <c r="M73" s="265"/>
      <c r="N73" s="265"/>
      <c r="O73" s="265"/>
      <c r="P73" s="265"/>
      <c r="Q73" s="265"/>
      <c r="R73" s="46">
        <f>COUNT($A$2:$A$68)</f>
        <v>67</v>
      </c>
      <c r="S73" s="265"/>
      <c r="T73" s="265"/>
      <c r="U73" s="265"/>
      <c r="V73" s="265"/>
      <c r="W73" s="265"/>
      <c r="X73" s="46">
        <f>COUNT($A$2:$A$68)</f>
        <v>67</v>
      </c>
      <c r="Y73" s="46"/>
      <c r="Z73" s="46"/>
      <c r="AA73" s="46">
        <f>COUNT($A$2:$A$68)</f>
        <v>67</v>
      </c>
      <c r="AB73" s="46"/>
      <c r="AC73" s="46">
        <f>COUNT($A$2:$A$68)</f>
        <v>67</v>
      </c>
      <c r="AD73" s="46"/>
      <c r="AE73" s="46">
        <f>COUNT($A$2:$A$68)</f>
        <v>67</v>
      </c>
      <c r="AF73" s="46"/>
      <c r="AG73" s="372">
        <f t="shared" ref="AG73:AK73" si="6">COUNT($A$2:$A$68)</f>
        <v>67</v>
      </c>
      <c r="AH73" s="372">
        <f t="shared" si="6"/>
        <v>67</v>
      </c>
      <c r="AI73" s="372">
        <f t="shared" si="6"/>
        <v>67</v>
      </c>
      <c r="AJ73" s="372">
        <f t="shared" si="6"/>
        <v>67</v>
      </c>
      <c r="AK73" s="372">
        <f t="shared" si="6"/>
        <v>67</v>
      </c>
      <c r="AL73" s="265"/>
      <c r="AM73" s="265"/>
      <c r="AN73" s="265"/>
      <c r="AO73" s="265"/>
      <c r="AP73" s="265"/>
      <c r="AQ73" s="265"/>
      <c r="AR73" s="265"/>
      <c r="AS73" s="265"/>
      <c r="AT73" s="265"/>
      <c r="AU73" s="265"/>
    </row>
    <row r="74">
      <c r="A74" s="265"/>
      <c r="B74" s="265"/>
      <c r="C74" s="265"/>
      <c r="D74" s="265"/>
      <c r="E74" s="265"/>
      <c r="F74" s="265"/>
      <c r="G74" s="265"/>
      <c r="H74" s="265"/>
      <c r="I74" s="265"/>
      <c r="J74" s="265"/>
      <c r="K74" s="265"/>
      <c r="L74" s="265"/>
      <c r="M74" s="265"/>
      <c r="N74" s="265"/>
      <c r="O74" s="265"/>
      <c r="P74" s="265"/>
      <c r="Q74" s="265"/>
      <c r="R74" s="374">
        <f>R72/R73</f>
        <v>0.1492537313</v>
      </c>
      <c r="S74" s="265"/>
      <c r="T74" s="265"/>
      <c r="U74" s="265"/>
      <c r="V74" s="265"/>
      <c r="W74" s="265"/>
      <c r="X74" s="374">
        <f>X72/X73</f>
        <v>0.01492537313</v>
      </c>
      <c r="Y74" s="374"/>
      <c r="Z74" s="374"/>
      <c r="AA74" s="374">
        <f>AA72/AA73</f>
        <v>0.4776119403</v>
      </c>
      <c r="AB74" s="46"/>
      <c r="AC74" s="374">
        <f>AC72/AC73</f>
        <v>0.4179104478</v>
      </c>
      <c r="AD74" s="46"/>
      <c r="AE74" s="374">
        <f>AE72/AE73</f>
        <v>0.4029850746</v>
      </c>
      <c r="AF74" s="46"/>
      <c r="AG74" s="564">
        <f t="shared" ref="AG74:AK74" si="7">AG72/AG73</f>
        <v>0.5970149254</v>
      </c>
      <c r="AH74" s="564">
        <f t="shared" si="7"/>
        <v>0.4029850746</v>
      </c>
      <c r="AI74" s="641">
        <f t="shared" si="7"/>
        <v>0.3432835821</v>
      </c>
      <c r="AJ74" s="641">
        <f t="shared" si="7"/>
        <v>0.1044776119</v>
      </c>
      <c r="AK74" s="621">
        <f t="shared" si="7"/>
        <v>0.1044776119</v>
      </c>
      <c r="AL74" s="265"/>
      <c r="AM74" s="265"/>
      <c r="AN74" s="265"/>
      <c r="AO74" s="265"/>
      <c r="AP74" s="265"/>
      <c r="AQ74" s="265"/>
      <c r="AR74" s="265"/>
      <c r="AS74" s="265"/>
      <c r="AT74" s="265"/>
      <c r="AU74" s="265"/>
    </row>
    <row r="75">
      <c r="A75" s="265"/>
      <c r="B75" s="265"/>
      <c r="C75" s="265"/>
      <c r="D75" s="265"/>
      <c r="E75" s="265"/>
      <c r="F75" s="265"/>
      <c r="G75" s="265"/>
      <c r="H75" s="265"/>
      <c r="I75" s="265"/>
      <c r="J75" s="265"/>
      <c r="K75" s="265"/>
      <c r="L75" s="265"/>
      <c r="M75" s="265"/>
      <c r="N75" s="265"/>
      <c r="O75" s="265"/>
      <c r="P75" s="265"/>
      <c r="Q75" s="265"/>
      <c r="R75" s="265"/>
      <c r="S75" s="265"/>
      <c r="T75" s="265"/>
      <c r="U75" s="265"/>
      <c r="V75" s="265"/>
      <c r="W75" s="265"/>
      <c r="X75" s="265"/>
      <c r="Y75" s="265"/>
      <c r="Z75" s="265"/>
      <c r="AA75" s="46"/>
      <c r="AB75" s="46"/>
      <c r="AC75" s="46"/>
      <c r="AD75" s="46"/>
      <c r="AE75" s="46"/>
      <c r="AF75" s="46"/>
      <c r="AG75" s="372" t="s">
        <v>1401</v>
      </c>
      <c r="AH75" s="372" t="s">
        <v>1402</v>
      </c>
      <c r="AI75" s="372" t="s">
        <v>1403</v>
      </c>
      <c r="AJ75" s="378" t="s">
        <v>1404</v>
      </c>
      <c r="AK75" s="373" t="s">
        <v>1376</v>
      </c>
      <c r="AL75" s="265"/>
      <c r="AM75" s="265"/>
      <c r="AN75" s="265"/>
      <c r="AO75" s="265"/>
      <c r="AP75" s="265"/>
      <c r="AQ75" s="265"/>
      <c r="AR75" s="265"/>
      <c r="AS75" s="265"/>
      <c r="AT75" s="265"/>
      <c r="AU75" s="265"/>
    </row>
    <row r="76">
      <c r="A76" s="265"/>
      <c r="B76" s="265"/>
      <c r="C76" s="265"/>
      <c r="D76" s="265"/>
      <c r="E76" s="265"/>
      <c r="F76" s="265"/>
      <c r="G76" s="265"/>
      <c r="H76" s="265"/>
      <c r="I76" s="265"/>
      <c r="J76" s="265"/>
      <c r="K76" s="265"/>
      <c r="L76" s="265"/>
      <c r="M76" s="265"/>
      <c r="N76" s="265"/>
      <c r="O76" s="265"/>
      <c r="P76" s="265"/>
      <c r="Q76" s="265"/>
      <c r="R76" s="265"/>
      <c r="S76" s="265"/>
      <c r="T76" s="265"/>
      <c r="U76" s="265"/>
      <c r="V76" s="265"/>
      <c r="W76" s="265"/>
      <c r="X76" s="265"/>
      <c r="Y76" s="265"/>
      <c r="Z76" s="265"/>
      <c r="AA76" s="265"/>
      <c r="AB76" s="265"/>
      <c r="AC76" s="265"/>
      <c r="AD76" s="265"/>
      <c r="AE76" s="265"/>
      <c r="AF76" s="265"/>
      <c r="AG76" s="265"/>
      <c r="AH76" s="265"/>
      <c r="AI76" s="265"/>
      <c r="AJ76" s="265"/>
      <c r="AK76" s="265"/>
      <c r="AL76" s="265"/>
      <c r="AM76" s="265"/>
      <c r="AN76" s="265"/>
      <c r="AO76" s="265"/>
      <c r="AP76" s="265"/>
      <c r="AQ76" s="265"/>
      <c r="AR76" s="265"/>
      <c r="AS76" s="265"/>
      <c r="AT76" s="265"/>
      <c r="AU76" s="265"/>
    </row>
    <row r="77">
      <c r="A77" s="265"/>
      <c r="B77" s="265"/>
      <c r="C77" s="265"/>
      <c r="D77" s="265"/>
      <c r="E77" s="265"/>
      <c r="F77" s="265"/>
      <c r="G77" s="265"/>
      <c r="H77" s="265"/>
      <c r="I77" s="265"/>
      <c r="K77" s="331" t="s">
        <v>1497</v>
      </c>
      <c r="L77" s="345" t="s">
        <v>389</v>
      </c>
      <c r="M77" s="346" t="s">
        <v>420</v>
      </c>
      <c r="N77" s="347" t="s">
        <v>358</v>
      </c>
      <c r="O77" s="348" t="s">
        <v>363</v>
      </c>
      <c r="P77" s="349" t="s">
        <v>413</v>
      </c>
      <c r="Q77" s="350" t="s">
        <v>357</v>
      </c>
      <c r="R77" s="351" t="s">
        <v>380</v>
      </c>
      <c r="S77" s="352" t="s">
        <v>387</v>
      </c>
      <c r="T77" s="642" t="s">
        <v>1427</v>
      </c>
      <c r="U77" s="643" t="s">
        <v>1190</v>
      </c>
      <c r="V77" s="644" t="s">
        <v>1214</v>
      </c>
      <c r="W77" s="645" t="s">
        <v>1120</v>
      </c>
      <c r="X77" s="646" t="s">
        <v>1188</v>
      </c>
      <c r="Y77" s="647" t="s">
        <v>1428</v>
      </c>
      <c r="Z77" s="648" t="s">
        <v>1429</v>
      </c>
      <c r="AA77" s="649" t="s">
        <v>1178</v>
      </c>
      <c r="AB77" s="650" t="s">
        <v>1145</v>
      </c>
      <c r="AC77" s="651" t="s">
        <v>1301</v>
      </c>
      <c r="AD77" s="652" t="s">
        <v>1130</v>
      </c>
      <c r="AE77" s="653" t="s">
        <v>1314</v>
      </c>
      <c r="AF77" s="654" t="s">
        <v>1431</v>
      </c>
      <c r="AG77" s="655" t="s">
        <v>1095</v>
      </c>
      <c r="AH77" s="656" t="s">
        <v>1103</v>
      </c>
      <c r="AI77" s="657" t="s">
        <v>1090</v>
      </c>
      <c r="AJ77" s="658" t="s">
        <v>1296</v>
      </c>
      <c r="AK77" s="659" t="s">
        <v>1270</v>
      </c>
      <c r="AL77" s="660" t="s">
        <v>1115</v>
      </c>
      <c r="AM77" s="661" t="s">
        <v>1089</v>
      </c>
      <c r="AN77" s="662" t="s">
        <v>1182</v>
      </c>
      <c r="AO77" s="663" t="s">
        <v>1298</v>
      </c>
      <c r="AP77" s="664" t="s">
        <v>1163</v>
      </c>
      <c r="AQ77" s="665" t="s">
        <v>1223</v>
      </c>
      <c r="AR77" s="666" t="s">
        <v>1441</v>
      </c>
      <c r="AS77" s="667" t="s">
        <v>1129</v>
      </c>
      <c r="AT77" s="668" t="s">
        <v>1447</v>
      </c>
      <c r="AU77" s="669" t="s">
        <v>1454</v>
      </c>
    </row>
    <row r="78">
      <c r="A78" s="265"/>
      <c r="B78" s="265"/>
      <c r="C78" s="265"/>
      <c r="D78" s="265"/>
      <c r="E78" s="265"/>
      <c r="F78" s="265"/>
      <c r="G78" s="265"/>
      <c r="H78" s="265"/>
      <c r="I78" s="265"/>
      <c r="K78" s="468">
        <f>correl(L78:S78,AL69:AS69)</f>
        <v>0.9925003007</v>
      </c>
      <c r="L78" s="80">
        <f t="shared" ref="L78:S78" si="8">countif(AL2:AL68,"&gt;0")</f>
        <v>1</v>
      </c>
      <c r="M78" s="80">
        <f t="shared" si="8"/>
        <v>2</v>
      </c>
      <c r="N78" s="80">
        <f t="shared" si="8"/>
        <v>4</v>
      </c>
      <c r="O78" s="80">
        <f t="shared" si="8"/>
        <v>2</v>
      </c>
      <c r="P78" s="80">
        <f t="shared" si="8"/>
        <v>5</v>
      </c>
      <c r="Q78" s="80">
        <f t="shared" si="8"/>
        <v>27</v>
      </c>
      <c r="R78" s="80">
        <f t="shared" si="8"/>
        <v>6</v>
      </c>
      <c r="S78" s="80">
        <f t="shared" si="8"/>
        <v>0</v>
      </c>
      <c r="T78" s="80">
        <f t="shared" ref="T78:Z78" si="9">countifs($AL$2:$AL$68,"&gt;0",AM2:AM68,"&gt;0")</f>
        <v>0</v>
      </c>
      <c r="U78" s="80">
        <f t="shared" si="9"/>
        <v>0</v>
      </c>
      <c r="V78" s="80">
        <f t="shared" si="9"/>
        <v>0</v>
      </c>
      <c r="W78" s="80">
        <f t="shared" si="9"/>
        <v>0</v>
      </c>
      <c r="X78" s="80">
        <f t="shared" si="9"/>
        <v>0</v>
      </c>
      <c r="Y78" s="80">
        <f t="shared" si="9"/>
        <v>0</v>
      </c>
      <c r="Z78" s="80">
        <f t="shared" si="9"/>
        <v>0</v>
      </c>
      <c r="AA78" s="670">
        <f t="shared" ref="AA78:AF78" si="10">countifs($AM$2:$AM$68,"&gt;0",AN2:AN68,"&gt;0")</f>
        <v>1</v>
      </c>
      <c r="AB78" s="80">
        <f t="shared" si="10"/>
        <v>0</v>
      </c>
      <c r="AC78" s="80">
        <f t="shared" si="10"/>
        <v>0</v>
      </c>
      <c r="AD78" s="80">
        <f t="shared" si="10"/>
        <v>0</v>
      </c>
      <c r="AE78" s="670">
        <f t="shared" si="10"/>
        <v>1</v>
      </c>
      <c r="AF78" s="80">
        <f t="shared" si="10"/>
        <v>0</v>
      </c>
      <c r="AG78" s="80">
        <f t="shared" ref="AG78:AK78" si="11">countifs($AN$2:$AN$68,"&gt;0",AO2:AO68,"&gt;0")</f>
        <v>0</v>
      </c>
      <c r="AH78" s="670">
        <f t="shared" si="11"/>
        <v>1</v>
      </c>
      <c r="AI78" s="670">
        <f t="shared" si="11"/>
        <v>1</v>
      </c>
      <c r="AJ78" s="80">
        <f t="shared" si="11"/>
        <v>0</v>
      </c>
      <c r="AK78" s="80">
        <f t="shared" si="11"/>
        <v>0</v>
      </c>
      <c r="AL78" s="80">
        <f t="shared" ref="AL78:AO78" si="12">countifs($AO$2:$AO$68,"&gt;0",AP2:AP68,"&gt;0")</f>
        <v>0</v>
      </c>
      <c r="AM78" s="670">
        <f t="shared" si="12"/>
        <v>1</v>
      </c>
      <c r="AN78" s="80">
        <f t="shared" si="12"/>
        <v>0</v>
      </c>
      <c r="AO78" s="80">
        <f t="shared" si="12"/>
        <v>0</v>
      </c>
      <c r="AP78" s="670">
        <f t="shared" ref="AP78:AR78" si="13">countifs($AP$2:$AP$68,"&gt;0",AQ2:AQ68,"&gt;0")</f>
        <v>2</v>
      </c>
      <c r="AQ78" s="80">
        <f t="shared" si="13"/>
        <v>0</v>
      </c>
      <c r="AR78" s="80">
        <f t="shared" si="13"/>
        <v>0</v>
      </c>
      <c r="AS78" s="80">
        <f t="shared" ref="AS78:AT78" si="14">countifs($AQ$2:$AQ$68,"&gt;0",AR2:AR68,"&gt;0")</f>
        <v>0</v>
      </c>
      <c r="AT78" s="80">
        <f t="shared" si="14"/>
        <v>0</v>
      </c>
      <c r="AU78" s="80">
        <f>countifs($AR$2:$AR$68,"&gt;0",AS2:AS68,"&gt;0")</f>
        <v>0</v>
      </c>
    </row>
    <row r="79">
      <c r="A79" s="265"/>
      <c r="B79" s="265"/>
      <c r="C79" s="265"/>
      <c r="D79" s="265"/>
      <c r="E79" s="265"/>
      <c r="F79" s="265"/>
      <c r="G79" s="265"/>
      <c r="H79" s="265"/>
      <c r="I79" s="265"/>
      <c r="L79" s="76">
        <f t="shared" ref="L79:S79" si="15">L78/sum($L$78:$S$78)</f>
        <v>0.02127659574</v>
      </c>
      <c r="M79" s="76">
        <f t="shared" si="15"/>
        <v>0.04255319149</v>
      </c>
      <c r="N79" s="76">
        <f t="shared" si="15"/>
        <v>0.08510638298</v>
      </c>
      <c r="O79" s="76">
        <f t="shared" si="15"/>
        <v>0.04255319149</v>
      </c>
      <c r="P79" s="76">
        <f t="shared" si="15"/>
        <v>0.1063829787</v>
      </c>
      <c r="Q79" s="76">
        <f t="shared" si="15"/>
        <v>0.5744680851</v>
      </c>
      <c r="R79" s="76">
        <f t="shared" si="15"/>
        <v>0.1276595745</v>
      </c>
      <c r="S79" s="76">
        <f t="shared" si="15"/>
        <v>0</v>
      </c>
      <c r="T79" s="80"/>
      <c r="U79" s="80"/>
      <c r="V79" s="80"/>
      <c r="W79" s="80"/>
      <c r="X79" s="80"/>
      <c r="Y79" s="80"/>
      <c r="Z79" s="80"/>
      <c r="AA79" s="80"/>
      <c r="AB79" s="80"/>
      <c r="AC79" s="80"/>
      <c r="AD79" s="80"/>
      <c r="AE79" s="80"/>
      <c r="AF79" s="80"/>
      <c r="AG79" s="80"/>
      <c r="AH79" s="80"/>
      <c r="AI79" s="80"/>
      <c r="AJ79" s="80"/>
      <c r="AK79" s="80"/>
      <c r="AL79" s="80"/>
      <c r="AM79" s="80"/>
      <c r="AN79" s="80"/>
      <c r="AO79" s="80"/>
      <c r="AP79" s="80"/>
      <c r="AQ79" s="80"/>
      <c r="AR79" s="80"/>
      <c r="AS79" s="80"/>
      <c r="AT79" s="80"/>
      <c r="AU79" s="80"/>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7.29" defaultRowHeight="15.0"/>
  <cols>
    <col customWidth="1" min="1" max="1" width="5.57"/>
    <col customWidth="1" min="2" max="2" width="9.29"/>
    <col customWidth="1" min="3" max="3" width="16.0"/>
    <col customWidth="1" min="4" max="4" width="25.71"/>
    <col customWidth="1" min="5" max="5" width="13.86"/>
    <col customWidth="1" min="6" max="6" width="7.0"/>
    <col customWidth="1" min="7" max="7" width="4.0"/>
    <col customWidth="1" min="8" max="8" width="15.14"/>
    <col customWidth="1" min="9" max="9" width="5.14"/>
    <col customWidth="1" min="10" max="10" width="10.0"/>
    <col customWidth="1" min="11" max="11" width="5.86"/>
    <col customWidth="1" min="12" max="12" width="6.43"/>
    <col customWidth="1" min="13" max="13" width="8.29"/>
    <col customWidth="1" min="14" max="14" width="6.71"/>
    <col customWidth="1" min="15" max="15" width="10.57"/>
    <col customWidth="1" min="16" max="16" width="19.43"/>
    <col customWidth="1" min="17" max="17" width="16.0"/>
    <col customWidth="1" min="18" max="18" width="14.14"/>
    <col customWidth="1" min="19" max="19" width="20.57"/>
    <col customWidth="1" min="20" max="20" width="14.57"/>
    <col customWidth="1" min="21" max="21" width="9.71"/>
    <col customWidth="1" min="22" max="22" width="14.86"/>
    <col customWidth="1" min="23" max="23" width="26.86"/>
    <col customWidth="1" min="24" max="24" width="12.0"/>
    <col customWidth="1" min="25" max="25" width="9.71"/>
    <col customWidth="1" min="26" max="26" width="8.71"/>
    <col customWidth="1" min="27" max="29" width="9.43"/>
    <col customWidth="1" min="30" max="30" width="8.71"/>
    <col customWidth="1" min="31" max="31" width="6.14"/>
    <col customWidth="1" min="32" max="32" width="6.57"/>
    <col customWidth="1" min="33" max="34" width="8.71"/>
    <col customWidth="1" min="35" max="35" width="6.57"/>
    <col customWidth="1" min="36" max="37" width="8.71"/>
    <col customWidth="1" min="38" max="39" width="9.14"/>
    <col customWidth="1" min="40" max="40" width="11.29"/>
  </cols>
  <sheetData>
    <row r="1">
      <c r="A1" s="310" t="s">
        <v>1355</v>
      </c>
      <c r="B1" s="310" t="s">
        <v>1356</v>
      </c>
      <c r="C1" s="309" t="s">
        <v>1246</v>
      </c>
      <c r="D1" s="310" t="s">
        <v>331</v>
      </c>
      <c r="E1" s="310" t="s">
        <v>1357</v>
      </c>
      <c r="F1" s="310" t="s">
        <v>1</v>
      </c>
      <c r="G1" s="310" t="s">
        <v>4</v>
      </c>
      <c r="H1" s="310" t="s">
        <v>1358</v>
      </c>
      <c r="I1" s="310" t="s">
        <v>1359</v>
      </c>
      <c r="J1" s="310" t="s">
        <v>336</v>
      </c>
      <c r="K1" s="310" t="s">
        <v>337</v>
      </c>
      <c r="L1" s="311" t="s">
        <v>338</v>
      </c>
      <c r="M1" s="311" t="s">
        <v>332</v>
      </c>
      <c r="N1" s="311" t="s">
        <v>1360</v>
      </c>
      <c r="O1" s="310" t="s">
        <v>339</v>
      </c>
      <c r="P1" s="340" t="s">
        <v>1361</v>
      </c>
      <c r="Q1" s="340" t="s">
        <v>1362</v>
      </c>
      <c r="R1" s="340" t="s">
        <v>1364</v>
      </c>
      <c r="S1" s="340" t="s">
        <v>1407</v>
      </c>
      <c r="T1" s="671" t="s">
        <v>1368</v>
      </c>
      <c r="U1" s="671" t="s">
        <v>1369</v>
      </c>
      <c r="V1" s="672" t="s">
        <v>1370</v>
      </c>
      <c r="W1" s="672" t="s">
        <v>1371</v>
      </c>
      <c r="X1" s="343" t="s">
        <v>1372</v>
      </c>
      <c r="Y1" s="344" t="s">
        <v>1373</v>
      </c>
      <c r="Z1" s="313" t="s">
        <v>1374</v>
      </c>
      <c r="AA1" s="265"/>
      <c r="AB1" s="265"/>
      <c r="AC1" s="265"/>
      <c r="AD1" s="265"/>
      <c r="AE1" s="345" t="s">
        <v>389</v>
      </c>
      <c r="AF1" s="346" t="s">
        <v>420</v>
      </c>
      <c r="AG1" s="347" t="s">
        <v>358</v>
      </c>
      <c r="AH1" s="348" t="s">
        <v>363</v>
      </c>
      <c r="AI1" s="349" t="s">
        <v>413</v>
      </c>
      <c r="AJ1" s="350" t="s">
        <v>357</v>
      </c>
      <c r="AK1" s="351" t="s">
        <v>380</v>
      </c>
      <c r="AL1" s="352" t="s">
        <v>387</v>
      </c>
      <c r="AM1" s="353" t="s">
        <v>1375</v>
      </c>
      <c r="AN1" s="353" t="s">
        <v>1376</v>
      </c>
    </row>
    <row r="2">
      <c r="A2" s="157">
        <v>1.0</v>
      </c>
      <c r="B2" s="673" t="s">
        <v>1669</v>
      </c>
      <c r="C2" s="63" t="s">
        <v>616</v>
      </c>
      <c r="D2" s="482" t="s">
        <v>617</v>
      </c>
      <c r="E2" s="354">
        <v>40606.0</v>
      </c>
      <c r="F2" s="157" t="s">
        <v>354</v>
      </c>
      <c r="G2" s="157" t="s">
        <v>354</v>
      </c>
      <c r="H2" s="157" t="s">
        <v>354</v>
      </c>
      <c r="I2" s="157" t="s">
        <v>354</v>
      </c>
      <c r="J2" s="157" t="s">
        <v>354</v>
      </c>
      <c r="K2" s="157" t="s">
        <v>354</v>
      </c>
      <c r="L2" s="157" t="s">
        <v>354</v>
      </c>
      <c r="M2" s="157" t="s">
        <v>354</v>
      </c>
      <c r="N2" s="157" t="s">
        <v>354</v>
      </c>
      <c r="O2" s="157" t="s">
        <v>354</v>
      </c>
      <c r="P2" s="157">
        <v>0.0</v>
      </c>
      <c r="Q2" s="157">
        <v>0.0</v>
      </c>
      <c r="R2" s="157">
        <v>0.0</v>
      </c>
      <c r="S2" s="157">
        <v>0.0</v>
      </c>
      <c r="T2" s="674" t="s">
        <v>356</v>
      </c>
      <c r="U2" s="674" t="s">
        <v>354</v>
      </c>
      <c r="V2" s="675" t="s">
        <v>356</v>
      </c>
      <c r="W2" s="675" t="s">
        <v>354</v>
      </c>
      <c r="X2" s="139" t="s">
        <v>356</v>
      </c>
      <c r="Y2" s="139" t="s">
        <v>354</v>
      </c>
      <c r="Z2" s="46">
        <f t="shared" ref="Z2:Z62" si="1">sum(COUNTIF(T2:Y2,"POS"),countif(P2,"&gt;0"))</f>
        <v>0</v>
      </c>
      <c r="AA2" s="265"/>
      <c r="AB2" s="265"/>
      <c r="AC2" s="265"/>
      <c r="AD2" s="265"/>
      <c r="AE2" s="80">
        <v>0.0</v>
      </c>
      <c r="AF2" s="80">
        <v>0.0</v>
      </c>
      <c r="AG2" s="80">
        <v>0.0</v>
      </c>
      <c r="AH2" s="80">
        <v>0.0</v>
      </c>
      <c r="AI2" s="80">
        <v>0.0</v>
      </c>
      <c r="AJ2" s="80">
        <v>0.0</v>
      </c>
      <c r="AK2" s="80">
        <v>0.0</v>
      </c>
      <c r="AL2" s="80">
        <v>0.0</v>
      </c>
      <c r="AM2" s="235">
        <f t="shared" ref="AM2:AM62" si="2">sum(AE2:AL2)</f>
        <v>0</v>
      </c>
      <c r="AN2" s="235">
        <f t="shared" ref="AN2:AN60" si="3">countif(AE2:AL2,"&gt;0")</f>
        <v>0</v>
      </c>
    </row>
    <row r="3">
      <c r="A3" s="157">
        <v>2.0</v>
      </c>
      <c r="B3" s="673" t="s">
        <v>105</v>
      </c>
      <c r="C3" s="676" t="s">
        <v>105</v>
      </c>
      <c r="D3" s="482" t="s">
        <v>522</v>
      </c>
      <c r="E3" s="354">
        <v>40606.0</v>
      </c>
      <c r="F3" s="157" t="s">
        <v>354</v>
      </c>
      <c r="G3" s="157" t="s">
        <v>354</v>
      </c>
      <c r="H3" s="157" t="s">
        <v>354</v>
      </c>
      <c r="I3" s="157" t="s">
        <v>354</v>
      </c>
      <c r="J3" s="157" t="s">
        <v>354</v>
      </c>
      <c r="K3" s="157" t="s">
        <v>354</v>
      </c>
      <c r="L3" s="157" t="s">
        <v>354</v>
      </c>
      <c r="M3" s="157" t="s">
        <v>354</v>
      </c>
      <c r="N3" s="157" t="s">
        <v>354</v>
      </c>
      <c r="O3" s="157" t="s">
        <v>354</v>
      </c>
      <c r="P3" s="140">
        <v>34.23</v>
      </c>
      <c r="Q3" s="157">
        <v>0.0</v>
      </c>
      <c r="R3" s="157">
        <v>0.0</v>
      </c>
      <c r="S3" s="157">
        <v>0.0</v>
      </c>
      <c r="T3" s="674" t="s">
        <v>356</v>
      </c>
      <c r="U3" s="674" t="s">
        <v>354</v>
      </c>
      <c r="V3" s="677" t="s">
        <v>365</v>
      </c>
      <c r="W3" s="143" t="s">
        <v>358</v>
      </c>
      <c r="X3" s="144" t="s">
        <v>365</v>
      </c>
      <c r="Y3" s="143" t="s">
        <v>358</v>
      </c>
      <c r="Z3" s="357">
        <f t="shared" si="1"/>
        <v>3</v>
      </c>
      <c r="AA3" s="265"/>
      <c r="AB3" s="265"/>
      <c r="AC3" s="265"/>
      <c r="AD3" s="265"/>
      <c r="AE3" s="80">
        <v>0.0</v>
      </c>
      <c r="AF3" s="80">
        <v>0.0</v>
      </c>
      <c r="AG3" s="224">
        <v>2.0</v>
      </c>
      <c r="AH3" s="80">
        <v>0.0</v>
      </c>
      <c r="AI3" s="80">
        <v>0.0</v>
      </c>
      <c r="AJ3" s="80">
        <v>0.0</v>
      </c>
      <c r="AK3" s="80">
        <v>0.0</v>
      </c>
      <c r="AL3" s="80">
        <v>0.0</v>
      </c>
      <c r="AM3" s="678">
        <f t="shared" si="2"/>
        <v>2</v>
      </c>
      <c r="AN3" s="678">
        <f t="shared" si="3"/>
        <v>1</v>
      </c>
    </row>
    <row r="4">
      <c r="A4" s="157">
        <v>3.0</v>
      </c>
      <c r="B4" s="673" t="s">
        <v>225</v>
      </c>
      <c r="C4" s="676" t="s">
        <v>225</v>
      </c>
      <c r="D4" s="605" t="s">
        <v>789</v>
      </c>
      <c r="E4" s="354">
        <v>40606.0</v>
      </c>
      <c r="F4" s="157" t="s">
        <v>354</v>
      </c>
      <c r="G4" s="157" t="s">
        <v>354</v>
      </c>
      <c r="H4" s="157" t="s">
        <v>354</v>
      </c>
      <c r="I4" s="157" t="s">
        <v>354</v>
      </c>
      <c r="J4" s="157" t="s">
        <v>354</v>
      </c>
      <c r="K4" s="157" t="s">
        <v>354</v>
      </c>
      <c r="L4" s="157" t="s">
        <v>354</v>
      </c>
      <c r="M4" s="157" t="s">
        <v>354</v>
      </c>
      <c r="N4" s="157" t="s">
        <v>354</v>
      </c>
      <c r="O4" s="157" t="s">
        <v>354</v>
      </c>
      <c r="P4" s="157">
        <v>0.0</v>
      </c>
      <c r="Q4" s="157">
        <v>0.0</v>
      </c>
      <c r="R4" s="157">
        <v>0.0</v>
      </c>
      <c r="S4" s="157">
        <v>0.0</v>
      </c>
      <c r="T4" s="674" t="s">
        <v>356</v>
      </c>
      <c r="U4" s="674" t="s">
        <v>354</v>
      </c>
      <c r="V4" s="675" t="s">
        <v>356</v>
      </c>
      <c r="W4" s="675" t="s">
        <v>354</v>
      </c>
      <c r="X4" s="144" t="s">
        <v>365</v>
      </c>
      <c r="Y4" s="143" t="s">
        <v>358</v>
      </c>
      <c r="Z4" s="367">
        <f t="shared" si="1"/>
        <v>1</v>
      </c>
      <c r="AA4" s="265"/>
      <c r="AB4" s="265"/>
      <c r="AC4" s="265"/>
      <c r="AD4" s="265"/>
      <c r="AE4" s="80">
        <v>0.0</v>
      </c>
      <c r="AF4" s="80">
        <v>0.0</v>
      </c>
      <c r="AG4" s="224">
        <v>1.0</v>
      </c>
      <c r="AH4" s="80">
        <v>0.0</v>
      </c>
      <c r="AI4" s="80">
        <v>0.0</v>
      </c>
      <c r="AJ4" s="80">
        <v>0.0</v>
      </c>
      <c r="AK4" s="80">
        <v>0.0</v>
      </c>
      <c r="AL4" s="80">
        <v>0.0</v>
      </c>
      <c r="AM4" s="679">
        <f t="shared" si="2"/>
        <v>1</v>
      </c>
      <c r="AN4" s="679">
        <f t="shared" si="3"/>
        <v>1</v>
      </c>
    </row>
    <row r="5">
      <c r="A5" s="157">
        <v>4.0</v>
      </c>
      <c r="B5" s="673" t="s">
        <v>195</v>
      </c>
      <c r="C5" s="676" t="s">
        <v>195</v>
      </c>
      <c r="D5" s="482" t="s">
        <v>707</v>
      </c>
      <c r="E5" s="354">
        <v>40606.0</v>
      </c>
      <c r="F5" s="157" t="s">
        <v>354</v>
      </c>
      <c r="G5" s="157" t="s">
        <v>354</v>
      </c>
      <c r="H5" s="157" t="s">
        <v>354</v>
      </c>
      <c r="I5" s="157" t="s">
        <v>354</v>
      </c>
      <c r="J5" s="157" t="s">
        <v>354</v>
      </c>
      <c r="K5" s="157" t="s">
        <v>354</v>
      </c>
      <c r="L5" s="157" t="s">
        <v>354</v>
      </c>
      <c r="M5" s="157" t="s">
        <v>354</v>
      </c>
      <c r="N5" s="157" t="s">
        <v>354</v>
      </c>
      <c r="O5" s="157" t="s">
        <v>354</v>
      </c>
      <c r="P5" s="157">
        <v>0.0</v>
      </c>
      <c r="Q5" s="157">
        <v>0.0</v>
      </c>
      <c r="R5" s="157">
        <v>0.0</v>
      </c>
      <c r="S5" s="157">
        <v>0.0</v>
      </c>
      <c r="T5" s="674" t="s">
        <v>356</v>
      </c>
      <c r="U5" s="674" t="s">
        <v>354</v>
      </c>
      <c r="V5" s="677" t="s">
        <v>365</v>
      </c>
      <c r="W5" s="40" t="s">
        <v>357</v>
      </c>
      <c r="X5" s="139" t="s">
        <v>356</v>
      </c>
      <c r="Y5" s="139" t="s">
        <v>354</v>
      </c>
      <c r="Z5" s="367">
        <f t="shared" si="1"/>
        <v>1</v>
      </c>
      <c r="AA5" s="265"/>
      <c r="AB5" s="265"/>
      <c r="AC5" s="265"/>
      <c r="AD5" s="265"/>
      <c r="AE5" s="80">
        <v>0.0</v>
      </c>
      <c r="AF5" s="80">
        <v>0.0</v>
      </c>
      <c r="AG5" s="80">
        <v>0.0</v>
      </c>
      <c r="AH5" s="80">
        <v>0.0</v>
      </c>
      <c r="AI5" s="80">
        <v>0.0</v>
      </c>
      <c r="AJ5" s="224">
        <v>1.0</v>
      </c>
      <c r="AK5" s="80">
        <v>0.0</v>
      </c>
      <c r="AL5" s="80">
        <v>0.0</v>
      </c>
      <c r="AM5" s="679">
        <f t="shared" si="2"/>
        <v>1</v>
      </c>
      <c r="AN5" s="679">
        <f t="shared" si="3"/>
        <v>1</v>
      </c>
    </row>
    <row r="6">
      <c r="A6" s="157">
        <v>5.0</v>
      </c>
      <c r="B6" s="673" t="s">
        <v>177</v>
      </c>
      <c r="C6" s="63" t="s">
        <v>675</v>
      </c>
      <c r="D6" s="482" t="s">
        <v>676</v>
      </c>
      <c r="E6" s="354">
        <v>40606.0</v>
      </c>
      <c r="F6" s="157" t="s">
        <v>354</v>
      </c>
      <c r="G6" s="157" t="s">
        <v>354</v>
      </c>
      <c r="H6" s="157" t="s">
        <v>354</v>
      </c>
      <c r="I6" s="157" t="s">
        <v>354</v>
      </c>
      <c r="J6" s="157" t="s">
        <v>354</v>
      </c>
      <c r="K6" s="157" t="s">
        <v>354</v>
      </c>
      <c r="L6" s="157" t="s">
        <v>354</v>
      </c>
      <c r="M6" s="157" t="s">
        <v>354</v>
      </c>
      <c r="N6" s="157" t="s">
        <v>354</v>
      </c>
      <c r="O6" s="157" t="s">
        <v>354</v>
      </c>
      <c r="P6" s="157">
        <v>0.0</v>
      </c>
      <c r="Q6" s="157">
        <v>0.0</v>
      </c>
      <c r="R6" s="157">
        <v>0.0</v>
      </c>
      <c r="S6" s="157">
        <v>0.0</v>
      </c>
      <c r="T6" s="674" t="s">
        <v>356</v>
      </c>
      <c r="U6" s="674" t="s">
        <v>354</v>
      </c>
      <c r="V6" s="675" t="s">
        <v>356</v>
      </c>
      <c r="W6" s="675" t="s">
        <v>354</v>
      </c>
      <c r="X6" s="139" t="s">
        <v>356</v>
      </c>
      <c r="Y6" s="139" t="s">
        <v>354</v>
      </c>
      <c r="Z6" s="46">
        <f t="shared" si="1"/>
        <v>0</v>
      </c>
      <c r="AA6" s="265"/>
      <c r="AB6" s="265"/>
      <c r="AC6" s="265"/>
      <c r="AD6" s="265"/>
      <c r="AE6" s="80">
        <v>0.0</v>
      </c>
      <c r="AF6" s="80">
        <v>0.0</v>
      </c>
      <c r="AG6" s="80">
        <v>0.0</v>
      </c>
      <c r="AH6" s="80">
        <v>0.0</v>
      </c>
      <c r="AI6" s="80">
        <v>0.0</v>
      </c>
      <c r="AJ6" s="80">
        <v>0.0</v>
      </c>
      <c r="AK6" s="80">
        <v>0.0</v>
      </c>
      <c r="AL6" s="80">
        <v>0.0</v>
      </c>
      <c r="AM6" s="235">
        <f t="shared" si="2"/>
        <v>0</v>
      </c>
      <c r="AN6" s="235">
        <f t="shared" si="3"/>
        <v>0</v>
      </c>
    </row>
    <row r="7">
      <c r="A7" s="157">
        <v>6.0</v>
      </c>
      <c r="B7" s="673" t="s">
        <v>168</v>
      </c>
      <c r="C7" s="676" t="s">
        <v>168</v>
      </c>
      <c r="D7" s="482" t="s">
        <v>656</v>
      </c>
      <c r="E7" s="354">
        <v>40606.0</v>
      </c>
      <c r="F7" s="157" t="s">
        <v>354</v>
      </c>
      <c r="G7" s="157" t="s">
        <v>354</v>
      </c>
      <c r="H7" s="157" t="s">
        <v>354</v>
      </c>
      <c r="I7" s="157" t="s">
        <v>354</v>
      </c>
      <c r="J7" s="157" t="s">
        <v>354</v>
      </c>
      <c r="K7" s="157" t="s">
        <v>354</v>
      </c>
      <c r="L7" s="157" t="s">
        <v>354</v>
      </c>
      <c r="M7" s="157" t="s">
        <v>354</v>
      </c>
      <c r="N7" s="157" t="s">
        <v>354</v>
      </c>
      <c r="O7" s="157" t="s">
        <v>354</v>
      </c>
      <c r="P7" s="157">
        <v>0.0</v>
      </c>
      <c r="Q7" s="157">
        <v>0.0</v>
      </c>
      <c r="R7" s="157">
        <v>0.0</v>
      </c>
      <c r="S7" s="157">
        <v>0.0</v>
      </c>
      <c r="T7" s="674" t="s">
        <v>356</v>
      </c>
      <c r="U7" s="674" t="s">
        <v>354</v>
      </c>
      <c r="V7" s="675" t="s">
        <v>356</v>
      </c>
      <c r="W7" s="675" t="s">
        <v>354</v>
      </c>
      <c r="X7" s="139" t="s">
        <v>356</v>
      </c>
      <c r="Y7" s="139" t="s">
        <v>354</v>
      </c>
      <c r="Z7" s="46">
        <f t="shared" si="1"/>
        <v>0</v>
      </c>
      <c r="AA7" s="265"/>
      <c r="AB7" s="265"/>
      <c r="AC7" s="265"/>
      <c r="AD7" s="265"/>
      <c r="AE7" s="80">
        <v>0.0</v>
      </c>
      <c r="AF7" s="80">
        <v>0.0</v>
      </c>
      <c r="AG7" s="80">
        <v>0.0</v>
      </c>
      <c r="AH7" s="80">
        <v>0.0</v>
      </c>
      <c r="AI7" s="80">
        <v>0.0</v>
      </c>
      <c r="AJ7" s="80">
        <v>0.0</v>
      </c>
      <c r="AK7" s="80">
        <v>0.0</v>
      </c>
      <c r="AL7" s="80">
        <v>0.0</v>
      </c>
      <c r="AM7" s="235">
        <f t="shared" si="2"/>
        <v>0</v>
      </c>
      <c r="AN7" s="235">
        <f t="shared" si="3"/>
        <v>0</v>
      </c>
    </row>
    <row r="8">
      <c r="A8" s="157">
        <v>7.0</v>
      </c>
      <c r="B8" s="673" t="s">
        <v>138</v>
      </c>
      <c r="C8" s="676" t="s">
        <v>138</v>
      </c>
      <c r="D8" s="482" t="s">
        <v>1614</v>
      </c>
      <c r="E8" s="354">
        <v>40606.0</v>
      </c>
      <c r="F8" s="157" t="s">
        <v>354</v>
      </c>
      <c r="G8" s="157" t="s">
        <v>354</v>
      </c>
      <c r="H8" s="157" t="s">
        <v>354</v>
      </c>
      <c r="I8" s="157" t="s">
        <v>354</v>
      </c>
      <c r="J8" s="157" t="s">
        <v>354</v>
      </c>
      <c r="K8" s="157" t="s">
        <v>354</v>
      </c>
      <c r="L8" s="157" t="s">
        <v>354</v>
      </c>
      <c r="M8" s="157" t="s">
        <v>354</v>
      </c>
      <c r="N8" s="157" t="s">
        <v>354</v>
      </c>
      <c r="O8" s="157" t="s">
        <v>354</v>
      </c>
      <c r="P8" s="157">
        <v>0.0</v>
      </c>
      <c r="Q8" s="157">
        <v>0.0</v>
      </c>
      <c r="R8" s="157">
        <v>0.0</v>
      </c>
      <c r="S8" s="157">
        <v>0.0</v>
      </c>
      <c r="T8" s="674" t="s">
        <v>356</v>
      </c>
      <c r="U8" s="674" t="s">
        <v>354</v>
      </c>
      <c r="V8" s="675" t="s">
        <v>356</v>
      </c>
      <c r="W8" s="675" t="s">
        <v>354</v>
      </c>
      <c r="X8" s="139" t="s">
        <v>356</v>
      </c>
      <c r="Y8" s="139" t="s">
        <v>354</v>
      </c>
      <c r="Z8" s="46">
        <f t="shared" si="1"/>
        <v>0</v>
      </c>
      <c r="AA8" s="265"/>
      <c r="AB8" s="265"/>
      <c r="AC8" s="265"/>
      <c r="AD8" s="265"/>
      <c r="AE8" s="80">
        <v>0.0</v>
      </c>
      <c r="AF8" s="80">
        <v>0.0</v>
      </c>
      <c r="AG8" s="80">
        <v>0.0</v>
      </c>
      <c r="AH8" s="80">
        <v>0.0</v>
      </c>
      <c r="AI8" s="80">
        <v>0.0</v>
      </c>
      <c r="AJ8" s="80">
        <v>0.0</v>
      </c>
      <c r="AK8" s="80">
        <v>0.0</v>
      </c>
      <c r="AL8" s="80">
        <v>0.0</v>
      </c>
      <c r="AM8" s="235">
        <f t="shared" si="2"/>
        <v>0</v>
      </c>
      <c r="AN8" s="235">
        <f t="shared" si="3"/>
        <v>0</v>
      </c>
    </row>
    <row r="9">
      <c r="A9" s="157">
        <v>8.0</v>
      </c>
      <c r="B9" s="673" t="s">
        <v>152</v>
      </c>
      <c r="C9" s="676" t="s">
        <v>152</v>
      </c>
      <c r="D9" s="482" t="s">
        <v>629</v>
      </c>
      <c r="E9" s="354">
        <v>40606.0</v>
      </c>
      <c r="F9" s="157" t="s">
        <v>354</v>
      </c>
      <c r="G9" s="157" t="s">
        <v>354</v>
      </c>
      <c r="H9" s="157" t="s">
        <v>354</v>
      </c>
      <c r="I9" s="157" t="s">
        <v>354</v>
      </c>
      <c r="J9" s="157" t="s">
        <v>354</v>
      </c>
      <c r="K9" s="157" t="s">
        <v>354</v>
      </c>
      <c r="L9" s="157" t="s">
        <v>354</v>
      </c>
      <c r="M9" s="157" t="s">
        <v>354</v>
      </c>
      <c r="N9" s="157" t="s">
        <v>354</v>
      </c>
      <c r="O9" s="157" t="s">
        <v>354</v>
      </c>
      <c r="P9" s="157">
        <v>0.0</v>
      </c>
      <c r="Q9" s="157">
        <v>0.0</v>
      </c>
      <c r="R9" s="157">
        <v>0.0</v>
      </c>
      <c r="S9" s="157">
        <v>0.0</v>
      </c>
      <c r="T9" s="674" t="s">
        <v>356</v>
      </c>
      <c r="U9" s="674" t="s">
        <v>354</v>
      </c>
      <c r="V9" s="675" t="s">
        <v>356</v>
      </c>
      <c r="W9" s="675" t="s">
        <v>354</v>
      </c>
      <c r="X9" s="139" t="s">
        <v>356</v>
      </c>
      <c r="Y9" s="139" t="s">
        <v>354</v>
      </c>
      <c r="Z9" s="46">
        <f t="shared" si="1"/>
        <v>0</v>
      </c>
      <c r="AA9" s="265"/>
      <c r="AB9" s="265"/>
      <c r="AC9" s="265"/>
      <c r="AD9" s="265"/>
      <c r="AE9" s="80">
        <v>0.0</v>
      </c>
      <c r="AF9" s="80">
        <v>0.0</v>
      </c>
      <c r="AG9" s="80">
        <v>0.0</v>
      </c>
      <c r="AH9" s="80">
        <v>0.0</v>
      </c>
      <c r="AI9" s="80">
        <v>0.0</v>
      </c>
      <c r="AJ9" s="80">
        <v>0.0</v>
      </c>
      <c r="AK9" s="80">
        <v>0.0</v>
      </c>
      <c r="AL9" s="80">
        <v>0.0</v>
      </c>
      <c r="AM9" s="235">
        <f t="shared" si="2"/>
        <v>0</v>
      </c>
      <c r="AN9" s="235">
        <f t="shared" si="3"/>
        <v>0</v>
      </c>
    </row>
    <row r="10">
      <c r="A10" s="157">
        <v>9.0</v>
      </c>
      <c r="B10" s="673" t="s">
        <v>238</v>
      </c>
      <c r="C10" s="676" t="s">
        <v>238</v>
      </c>
      <c r="D10" s="482" t="s">
        <v>844</v>
      </c>
      <c r="E10" s="354">
        <v>40606.0</v>
      </c>
      <c r="F10" s="157" t="s">
        <v>354</v>
      </c>
      <c r="G10" s="157" t="s">
        <v>354</v>
      </c>
      <c r="H10" s="157" t="s">
        <v>354</v>
      </c>
      <c r="I10" s="157" t="s">
        <v>354</v>
      </c>
      <c r="J10" s="157" t="s">
        <v>354</v>
      </c>
      <c r="K10" s="157" t="s">
        <v>354</v>
      </c>
      <c r="L10" s="157" t="s">
        <v>354</v>
      </c>
      <c r="M10" s="157" t="s">
        <v>354</v>
      </c>
      <c r="N10" s="157" t="s">
        <v>354</v>
      </c>
      <c r="O10" s="157" t="s">
        <v>354</v>
      </c>
      <c r="P10" s="157">
        <v>0.0</v>
      </c>
      <c r="Q10" s="157">
        <v>0.0</v>
      </c>
      <c r="R10" s="157">
        <v>0.0</v>
      </c>
      <c r="S10" s="157">
        <v>0.0</v>
      </c>
      <c r="T10" s="674" t="s">
        <v>356</v>
      </c>
      <c r="U10" s="674" t="s">
        <v>354</v>
      </c>
      <c r="V10" s="675" t="s">
        <v>356</v>
      </c>
      <c r="W10" s="675" t="s">
        <v>354</v>
      </c>
      <c r="X10" s="139" t="s">
        <v>356</v>
      </c>
      <c r="Y10" s="139" t="s">
        <v>354</v>
      </c>
      <c r="Z10" s="46">
        <f t="shared" si="1"/>
        <v>0</v>
      </c>
      <c r="AA10" s="265"/>
      <c r="AB10" s="265"/>
      <c r="AC10" s="265"/>
      <c r="AD10" s="265"/>
      <c r="AE10" s="80">
        <v>0.0</v>
      </c>
      <c r="AF10" s="80">
        <v>0.0</v>
      </c>
      <c r="AG10" s="80">
        <v>0.0</v>
      </c>
      <c r="AH10" s="80">
        <v>0.0</v>
      </c>
      <c r="AI10" s="80">
        <v>0.0</v>
      </c>
      <c r="AJ10" s="80">
        <v>0.0</v>
      </c>
      <c r="AK10" s="80">
        <v>0.0</v>
      </c>
      <c r="AL10" s="80">
        <v>0.0</v>
      </c>
      <c r="AM10" s="235">
        <f t="shared" si="2"/>
        <v>0</v>
      </c>
      <c r="AN10" s="235">
        <f t="shared" si="3"/>
        <v>0</v>
      </c>
    </row>
    <row r="11">
      <c r="A11" s="157">
        <v>10.0</v>
      </c>
      <c r="B11" s="673" t="s">
        <v>1670</v>
      </c>
      <c r="C11" s="63" t="s">
        <v>1671</v>
      </c>
      <c r="D11" s="482" t="s">
        <v>1671</v>
      </c>
      <c r="E11" s="354">
        <v>40606.0</v>
      </c>
      <c r="F11" s="157" t="s">
        <v>354</v>
      </c>
      <c r="G11" s="157" t="s">
        <v>354</v>
      </c>
      <c r="H11" s="157" t="s">
        <v>354</v>
      </c>
      <c r="I11" s="157" t="s">
        <v>354</v>
      </c>
      <c r="J11" s="157" t="s">
        <v>354</v>
      </c>
      <c r="K11" s="157" t="s">
        <v>354</v>
      </c>
      <c r="L11" s="157" t="s">
        <v>354</v>
      </c>
      <c r="M11" s="157" t="s">
        <v>354</v>
      </c>
      <c r="N11" s="157" t="s">
        <v>354</v>
      </c>
      <c r="O11" s="157" t="s">
        <v>354</v>
      </c>
      <c r="P11" s="157">
        <v>0.0</v>
      </c>
      <c r="Q11" s="157">
        <v>0.0</v>
      </c>
      <c r="R11" s="157">
        <v>0.0</v>
      </c>
      <c r="S11" s="157">
        <v>0.0</v>
      </c>
      <c r="T11" s="674" t="s">
        <v>356</v>
      </c>
      <c r="U11" s="674" t="s">
        <v>354</v>
      </c>
      <c r="V11" s="677" t="s">
        <v>365</v>
      </c>
      <c r="W11" s="40" t="s">
        <v>357</v>
      </c>
      <c r="X11" s="139" t="s">
        <v>356</v>
      </c>
      <c r="Y11" s="139" t="s">
        <v>354</v>
      </c>
      <c r="Z11" s="367">
        <f t="shared" si="1"/>
        <v>1</v>
      </c>
      <c r="AA11" s="265"/>
      <c r="AB11" s="265"/>
      <c r="AC11" s="265"/>
      <c r="AD11" s="265"/>
      <c r="AE11" s="80">
        <v>0.0</v>
      </c>
      <c r="AF11" s="80">
        <v>0.0</v>
      </c>
      <c r="AG11" s="80">
        <v>0.0</v>
      </c>
      <c r="AH11" s="80">
        <v>0.0</v>
      </c>
      <c r="AI11" s="80">
        <v>0.0</v>
      </c>
      <c r="AJ11" s="224">
        <v>1.0</v>
      </c>
      <c r="AK11" s="80">
        <v>0.0</v>
      </c>
      <c r="AL11" s="80">
        <v>0.0</v>
      </c>
      <c r="AM11" s="679">
        <f t="shared" si="2"/>
        <v>1</v>
      </c>
      <c r="AN11" s="679">
        <f t="shared" si="3"/>
        <v>1</v>
      </c>
    </row>
    <row r="12">
      <c r="A12" s="157">
        <v>11.0</v>
      </c>
      <c r="B12" s="673" t="s">
        <v>219</v>
      </c>
      <c r="C12" s="63" t="s">
        <v>768</v>
      </c>
      <c r="D12" s="482" t="s">
        <v>769</v>
      </c>
      <c r="E12" s="354">
        <v>40606.0</v>
      </c>
      <c r="F12" s="157" t="s">
        <v>354</v>
      </c>
      <c r="G12" s="157" t="s">
        <v>354</v>
      </c>
      <c r="H12" s="157" t="s">
        <v>354</v>
      </c>
      <c r="I12" s="157" t="s">
        <v>354</v>
      </c>
      <c r="J12" s="157" t="s">
        <v>354</v>
      </c>
      <c r="K12" s="157" t="s">
        <v>354</v>
      </c>
      <c r="L12" s="157" t="s">
        <v>354</v>
      </c>
      <c r="M12" s="157" t="s">
        <v>354</v>
      </c>
      <c r="N12" s="157" t="s">
        <v>354</v>
      </c>
      <c r="O12" s="157" t="s">
        <v>354</v>
      </c>
      <c r="P12" s="157">
        <v>0.0</v>
      </c>
      <c r="Q12" s="157">
        <v>0.0</v>
      </c>
      <c r="R12" s="157">
        <v>0.0</v>
      </c>
      <c r="S12" s="157">
        <v>0.0</v>
      </c>
      <c r="T12" s="674" t="s">
        <v>356</v>
      </c>
      <c r="U12" s="674" t="s">
        <v>354</v>
      </c>
      <c r="V12" s="677" t="s">
        <v>365</v>
      </c>
      <c r="W12" s="162" t="s">
        <v>363</v>
      </c>
      <c r="X12" s="144" t="s">
        <v>365</v>
      </c>
      <c r="Y12" s="162" t="s">
        <v>363</v>
      </c>
      <c r="Z12" s="357">
        <f t="shared" si="1"/>
        <v>2</v>
      </c>
      <c r="AA12" s="265"/>
      <c r="AB12" s="265"/>
      <c r="AC12" s="265"/>
      <c r="AD12" s="265"/>
      <c r="AE12" s="80">
        <v>0.0</v>
      </c>
      <c r="AF12" s="80">
        <v>0.0</v>
      </c>
      <c r="AG12" s="80">
        <v>0.0</v>
      </c>
      <c r="AH12" s="224">
        <v>2.0</v>
      </c>
      <c r="AI12" s="80">
        <v>0.0</v>
      </c>
      <c r="AJ12" s="80">
        <v>0.0</v>
      </c>
      <c r="AK12" s="80">
        <v>0.0</v>
      </c>
      <c r="AL12" s="80">
        <v>0.0</v>
      </c>
      <c r="AM12" s="678">
        <f t="shared" si="2"/>
        <v>2</v>
      </c>
      <c r="AN12" s="678">
        <f t="shared" si="3"/>
        <v>1</v>
      </c>
    </row>
    <row r="13">
      <c r="A13" s="157">
        <v>12.0</v>
      </c>
      <c r="B13" s="673" t="s">
        <v>280</v>
      </c>
      <c r="C13" s="63" t="s">
        <v>931</v>
      </c>
      <c r="D13" s="482" t="s">
        <v>932</v>
      </c>
      <c r="E13" s="354">
        <v>40606.0</v>
      </c>
      <c r="F13" s="157" t="s">
        <v>354</v>
      </c>
      <c r="G13" s="157" t="s">
        <v>354</v>
      </c>
      <c r="H13" s="157" t="s">
        <v>354</v>
      </c>
      <c r="I13" s="157" t="s">
        <v>354</v>
      </c>
      <c r="J13" s="157" t="s">
        <v>354</v>
      </c>
      <c r="K13" s="157" t="s">
        <v>354</v>
      </c>
      <c r="L13" s="157" t="s">
        <v>354</v>
      </c>
      <c r="M13" s="157" t="s">
        <v>354</v>
      </c>
      <c r="N13" s="157" t="s">
        <v>354</v>
      </c>
      <c r="O13" s="157" t="s">
        <v>354</v>
      </c>
      <c r="P13" s="157">
        <v>0.0</v>
      </c>
      <c r="Q13" s="157">
        <v>0.0</v>
      </c>
      <c r="R13" s="157">
        <v>0.0</v>
      </c>
      <c r="S13" s="157">
        <v>0.0</v>
      </c>
      <c r="T13" s="674" t="s">
        <v>356</v>
      </c>
      <c r="U13" s="674" t="s">
        <v>354</v>
      </c>
      <c r="V13" s="675" t="s">
        <v>356</v>
      </c>
      <c r="W13" s="675" t="s">
        <v>354</v>
      </c>
      <c r="X13" s="139" t="s">
        <v>356</v>
      </c>
      <c r="Y13" s="139" t="s">
        <v>354</v>
      </c>
      <c r="Z13" s="46">
        <f t="shared" si="1"/>
        <v>0</v>
      </c>
      <c r="AA13" s="265"/>
      <c r="AB13" s="265"/>
      <c r="AC13" s="265"/>
      <c r="AD13" s="265"/>
      <c r="AE13" s="80">
        <v>0.0</v>
      </c>
      <c r="AF13" s="80">
        <v>0.0</v>
      </c>
      <c r="AG13" s="80">
        <v>0.0</v>
      </c>
      <c r="AH13" s="80">
        <v>0.0</v>
      </c>
      <c r="AI13" s="80">
        <v>0.0</v>
      </c>
      <c r="AJ13" s="80">
        <v>0.0</v>
      </c>
      <c r="AK13" s="80">
        <v>0.0</v>
      </c>
      <c r="AL13" s="80">
        <v>0.0</v>
      </c>
      <c r="AM13" s="235">
        <f t="shared" si="2"/>
        <v>0</v>
      </c>
      <c r="AN13" s="235">
        <f t="shared" si="3"/>
        <v>0</v>
      </c>
    </row>
    <row r="14">
      <c r="A14" s="157">
        <v>13.0</v>
      </c>
      <c r="B14" s="673" t="s">
        <v>98</v>
      </c>
      <c r="C14" s="676" t="s">
        <v>98</v>
      </c>
      <c r="D14" s="482" t="s">
        <v>1610</v>
      </c>
      <c r="E14" s="354">
        <v>40606.0</v>
      </c>
      <c r="F14" s="157" t="s">
        <v>354</v>
      </c>
      <c r="G14" s="157" t="s">
        <v>354</v>
      </c>
      <c r="H14" s="157" t="s">
        <v>354</v>
      </c>
      <c r="I14" s="157" t="s">
        <v>354</v>
      </c>
      <c r="J14" s="157" t="s">
        <v>354</v>
      </c>
      <c r="K14" s="157" t="s">
        <v>354</v>
      </c>
      <c r="L14" s="157" t="s">
        <v>354</v>
      </c>
      <c r="M14" s="157" t="s">
        <v>354</v>
      </c>
      <c r="N14" s="157" t="s">
        <v>354</v>
      </c>
      <c r="O14" s="157" t="s">
        <v>354</v>
      </c>
      <c r="P14" s="157">
        <v>0.0</v>
      </c>
      <c r="Q14" s="157">
        <v>0.0</v>
      </c>
      <c r="R14" s="157">
        <v>0.0</v>
      </c>
      <c r="S14" s="157">
        <v>0.0</v>
      </c>
      <c r="T14" s="674" t="s">
        <v>356</v>
      </c>
      <c r="U14" s="674" t="s">
        <v>354</v>
      </c>
      <c r="V14" s="675" t="s">
        <v>356</v>
      </c>
      <c r="W14" s="675" t="s">
        <v>354</v>
      </c>
      <c r="X14" s="139" t="s">
        <v>356</v>
      </c>
      <c r="Y14" s="139" t="s">
        <v>354</v>
      </c>
      <c r="Z14" s="46">
        <f t="shared" si="1"/>
        <v>0</v>
      </c>
      <c r="AA14" s="265"/>
      <c r="AB14" s="265"/>
      <c r="AC14" s="265"/>
      <c r="AD14" s="265"/>
      <c r="AE14" s="80">
        <v>0.0</v>
      </c>
      <c r="AF14" s="80">
        <v>0.0</v>
      </c>
      <c r="AG14" s="80">
        <v>0.0</v>
      </c>
      <c r="AH14" s="80">
        <v>0.0</v>
      </c>
      <c r="AI14" s="80">
        <v>0.0</v>
      </c>
      <c r="AJ14" s="80">
        <v>0.0</v>
      </c>
      <c r="AK14" s="80">
        <v>0.0</v>
      </c>
      <c r="AL14" s="80">
        <v>0.0</v>
      </c>
      <c r="AM14" s="235">
        <f t="shared" si="2"/>
        <v>0</v>
      </c>
      <c r="AN14" s="235">
        <f t="shared" si="3"/>
        <v>0</v>
      </c>
    </row>
    <row r="15">
      <c r="A15" s="157">
        <v>14.0</v>
      </c>
      <c r="B15" s="673" t="s">
        <v>231</v>
      </c>
      <c r="C15" s="676" t="s">
        <v>231</v>
      </c>
      <c r="D15" s="482" t="s">
        <v>808</v>
      </c>
      <c r="E15" s="354">
        <v>40606.0</v>
      </c>
      <c r="F15" s="157" t="s">
        <v>354</v>
      </c>
      <c r="G15" s="157" t="s">
        <v>354</v>
      </c>
      <c r="H15" s="157" t="s">
        <v>354</v>
      </c>
      <c r="I15" s="157" t="s">
        <v>354</v>
      </c>
      <c r="J15" s="157" t="s">
        <v>354</v>
      </c>
      <c r="K15" s="157" t="s">
        <v>354</v>
      </c>
      <c r="L15" s="157" t="s">
        <v>354</v>
      </c>
      <c r="M15" s="157" t="s">
        <v>354</v>
      </c>
      <c r="N15" s="157" t="s">
        <v>354</v>
      </c>
      <c r="O15" s="157" t="s">
        <v>354</v>
      </c>
      <c r="P15" s="157">
        <v>0.0</v>
      </c>
      <c r="Q15" s="157">
        <v>0.0</v>
      </c>
      <c r="R15" s="157">
        <v>0.0</v>
      </c>
      <c r="S15" s="157">
        <v>0.0</v>
      </c>
      <c r="T15" s="674" t="s">
        <v>356</v>
      </c>
      <c r="U15" s="674" t="s">
        <v>354</v>
      </c>
      <c r="V15" s="675" t="s">
        <v>356</v>
      </c>
      <c r="W15" s="675" t="s">
        <v>354</v>
      </c>
      <c r="X15" s="139" t="s">
        <v>356</v>
      </c>
      <c r="Y15" s="139" t="s">
        <v>354</v>
      </c>
      <c r="Z15" s="46">
        <f t="shared" si="1"/>
        <v>0</v>
      </c>
      <c r="AA15" s="265"/>
      <c r="AB15" s="265"/>
      <c r="AC15" s="265"/>
      <c r="AD15" s="265"/>
      <c r="AE15" s="80">
        <v>0.0</v>
      </c>
      <c r="AF15" s="80">
        <v>0.0</v>
      </c>
      <c r="AG15" s="80">
        <v>0.0</v>
      </c>
      <c r="AH15" s="80">
        <v>0.0</v>
      </c>
      <c r="AI15" s="80">
        <v>0.0</v>
      </c>
      <c r="AJ15" s="80">
        <v>0.0</v>
      </c>
      <c r="AK15" s="80">
        <v>0.0</v>
      </c>
      <c r="AL15" s="80">
        <v>0.0</v>
      </c>
      <c r="AM15" s="235">
        <f t="shared" si="2"/>
        <v>0</v>
      </c>
      <c r="AN15" s="235">
        <f t="shared" si="3"/>
        <v>0</v>
      </c>
    </row>
    <row r="16">
      <c r="A16" s="157">
        <v>15.0</v>
      </c>
      <c r="B16" s="673" t="s">
        <v>6</v>
      </c>
      <c r="C16" s="676" t="s">
        <v>6</v>
      </c>
      <c r="D16" s="482" t="s">
        <v>1599</v>
      </c>
      <c r="E16" s="354">
        <v>40606.0</v>
      </c>
      <c r="F16" s="157" t="s">
        <v>354</v>
      </c>
      <c r="G16" s="157" t="s">
        <v>354</v>
      </c>
      <c r="H16" s="157" t="s">
        <v>354</v>
      </c>
      <c r="I16" s="157" t="s">
        <v>354</v>
      </c>
      <c r="J16" s="157" t="s">
        <v>354</v>
      </c>
      <c r="K16" s="157" t="s">
        <v>354</v>
      </c>
      <c r="L16" s="157" t="s">
        <v>354</v>
      </c>
      <c r="M16" s="157" t="s">
        <v>354</v>
      </c>
      <c r="N16" s="157" t="s">
        <v>354</v>
      </c>
      <c r="O16" s="157" t="s">
        <v>354</v>
      </c>
      <c r="P16" s="157">
        <v>0.0</v>
      </c>
      <c r="Q16" s="157">
        <v>0.0</v>
      </c>
      <c r="R16" s="157">
        <v>0.0</v>
      </c>
      <c r="S16" s="157">
        <v>0.0</v>
      </c>
      <c r="T16" s="674" t="s">
        <v>356</v>
      </c>
      <c r="U16" s="674" t="s">
        <v>354</v>
      </c>
      <c r="V16" s="675" t="s">
        <v>356</v>
      </c>
      <c r="W16" s="675" t="s">
        <v>354</v>
      </c>
      <c r="X16" s="139" t="s">
        <v>356</v>
      </c>
      <c r="Y16" s="139" t="s">
        <v>354</v>
      </c>
      <c r="Z16" s="46">
        <f t="shared" si="1"/>
        <v>0</v>
      </c>
      <c r="AA16" s="265"/>
      <c r="AB16" s="265"/>
      <c r="AC16" s="265"/>
      <c r="AD16" s="265"/>
      <c r="AE16" s="80">
        <v>0.0</v>
      </c>
      <c r="AF16" s="80">
        <v>0.0</v>
      </c>
      <c r="AG16" s="80">
        <v>0.0</v>
      </c>
      <c r="AH16" s="80">
        <v>0.0</v>
      </c>
      <c r="AI16" s="80">
        <v>0.0</v>
      </c>
      <c r="AJ16" s="80">
        <v>0.0</v>
      </c>
      <c r="AK16" s="80">
        <v>0.0</v>
      </c>
      <c r="AL16" s="80">
        <v>0.0</v>
      </c>
      <c r="AM16" s="235">
        <f t="shared" si="2"/>
        <v>0</v>
      </c>
      <c r="AN16" s="235">
        <f t="shared" si="3"/>
        <v>0</v>
      </c>
    </row>
    <row r="17">
      <c r="A17" s="157">
        <v>16.0</v>
      </c>
      <c r="B17" s="673" t="s">
        <v>198</v>
      </c>
      <c r="C17" s="63" t="s">
        <v>712</v>
      </c>
      <c r="D17" s="482" t="s">
        <v>1171</v>
      </c>
      <c r="E17" s="354">
        <v>40606.0</v>
      </c>
      <c r="F17" s="157" t="s">
        <v>354</v>
      </c>
      <c r="G17" s="157" t="s">
        <v>354</v>
      </c>
      <c r="H17" s="157" t="s">
        <v>354</v>
      </c>
      <c r="I17" s="157" t="s">
        <v>354</v>
      </c>
      <c r="J17" s="157" t="s">
        <v>354</v>
      </c>
      <c r="K17" s="157" t="s">
        <v>354</v>
      </c>
      <c r="L17" s="157" t="s">
        <v>354</v>
      </c>
      <c r="M17" s="157" t="s">
        <v>354</v>
      </c>
      <c r="N17" s="157" t="s">
        <v>354</v>
      </c>
      <c r="O17" s="157" t="s">
        <v>354</v>
      </c>
      <c r="P17" s="157">
        <v>0.0</v>
      </c>
      <c r="Q17" s="157">
        <v>0.0</v>
      </c>
      <c r="R17" s="157">
        <v>0.0</v>
      </c>
      <c r="S17" s="157">
        <v>0.0</v>
      </c>
      <c r="T17" s="674" t="s">
        <v>356</v>
      </c>
      <c r="U17" s="674" t="s">
        <v>354</v>
      </c>
      <c r="V17" s="675" t="s">
        <v>356</v>
      </c>
      <c r="W17" s="675" t="s">
        <v>354</v>
      </c>
      <c r="X17" s="139" t="s">
        <v>356</v>
      </c>
      <c r="Y17" s="139" t="s">
        <v>354</v>
      </c>
      <c r="Z17" s="46">
        <f t="shared" si="1"/>
        <v>0</v>
      </c>
      <c r="AA17" s="265"/>
      <c r="AB17" s="265"/>
      <c r="AC17" s="265"/>
      <c r="AD17" s="265"/>
      <c r="AE17" s="80">
        <v>0.0</v>
      </c>
      <c r="AF17" s="80">
        <v>0.0</v>
      </c>
      <c r="AG17" s="80">
        <v>0.0</v>
      </c>
      <c r="AH17" s="80">
        <v>0.0</v>
      </c>
      <c r="AI17" s="80">
        <v>0.0</v>
      </c>
      <c r="AJ17" s="80">
        <v>0.0</v>
      </c>
      <c r="AK17" s="80">
        <v>0.0</v>
      </c>
      <c r="AL17" s="80">
        <v>0.0</v>
      </c>
      <c r="AM17" s="235">
        <f t="shared" si="2"/>
        <v>0</v>
      </c>
      <c r="AN17" s="235">
        <f t="shared" si="3"/>
        <v>0</v>
      </c>
    </row>
    <row r="18">
      <c r="A18" s="157">
        <v>17.0</v>
      </c>
      <c r="B18" s="673" t="s">
        <v>213</v>
      </c>
      <c r="C18" s="676" t="s">
        <v>213</v>
      </c>
      <c r="D18" s="482" t="s">
        <v>753</v>
      </c>
      <c r="E18" s="354">
        <v>40606.0</v>
      </c>
      <c r="F18" s="157" t="s">
        <v>354</v>
      </c>
      <c r="G18" s="157" t="s">
        <v>354</v>
      </c>
      <c r="H18" s="157" t="s">
        <v>354</v>
      </c>
      <c r="I18" s="157" t="s">
        <v>354</v>
      </c>
      <c r="J18" s="157" t="s">
        <v>354</v>
      </c>
      <c r="K18" s="157" t="s">
        <v>354</v>
      </c>
      <c r="L18" s="157" t="s">
        <v>354</v>
      </c>
      <c r="M18" s="157" t="s">
        <v>354</v>
      </c>
      <c r="N18" s="157" t="s">
        <v>354</v>
      </c>
      <c r="O18" s="157" t="s">
        <v>354</v>
      </c>
      <c r="P18" s="157">
        <v>0.0</v>
      </c>
      <c r="Q18" s="157">
        <v>0.0</v>
      </c>
      <c r="R18" s="157">
        <v>0.0</v>
      </c>
      <c r="S18" s="157">
        <v>0.0</v>
      </c>
      <c r="T18" s="674" t="s">
        <v>356</v>
      </c>
      <c r="U18" s="674" t="s">
        <v>354</v>
      </c>
      <c r="V18" s="675" t="s">
        <v>356</v>
      </c>
      <c r="W18" s="675" t="s">
        <v>354</v>
      </c>
      <c r="X18" s="139" t="s">
        <v>356</v>
      </c>
      <c r="Y18" s="139" t="s">
        <v>354</v>
      </c>
      <c r="Z18" s="46">
        <f t="shared" si="1"/>
        <v>0</v>
      </c>
      <c r="AA18" s="265"/>
      <c r="AB18" s="265"/>
      <c r="AC18" s="265"/>
      <c r="AD18" s="265"/>
      <c r="AE18" s="80">
        <v>0.0</v>
      </c>
      <c r="AF18" s="80">
        <v>0.0</v>
      </c>
      <c r="AG18" s="80">
        <v>0.0</v>
      </c>
      <c r="AH18" s="80">
        <v>0.0</v>
      </c>
      <c r="AI18" s="80">
        <v>0.0</v>
      </c>
      <c r="AJ18" s="80">
        <v>0.0</v>
      </c>
      <c r="AK18" s="80">
        <v>0.0</v>
      </c>
      <c r="AL18" s="80">
        <v>0.0</v>
      </c>
      <c r="AM18" s="235">
        <f t="shared" si="2"/>
        <v>0</v>
      </c>
      <c r="AN18" s="235">
        <f t="shared" si="3"/>
        <v>0</v>
      </c>
    </row>
    <row r="19">
      <c r="A19" s="157">
        <v>18.0</v>
      </c>
      <c r="B19" s="673" t="s">
        <v>19</v>
      </c>
      <c r="C19" s="676" t="s">
        <v>19</v>
      </c>
      <c r="D19" s="482" t="s">
        <v>383</v>
      </c>
      <c r="E19" s="354">
        <v>40606.0</v>
      </c>
      <c r="F19" s="157" t="s">
        <v>354</v>
      </c>
      <c r="G19" s="157" t="s">
        <v>354</v>
      </c>
      <c r="H19" s="157" t="s">
        <v>354</v>
      </c>
      <c r="I19" s="157" t="s">
        <v>354</v>
      </c>
      <c r="J19" s="157" t="s">
        <v>354</v>
      </c>
      <c r="K19" s="157" t="s">
        <v>354</v>
      </c>
      <c r="L19" s="157" t="s">
        <v>354</v>
      </c>
      <c r="M19" s="157" t="s">
        <v>354</v>
      </c>
      <c r="N19" s="157" t="s">
        <v>354</v>
      </c>
      <c r="O19" s="157" t="s">
        <v>354</v>
      </c>
      <c r="P19" s="157">
        <v>0.0</v>
      </c>
      <c r="Q19" s="157">
        <v>0.0</v>
      </c>
      <c r="R19" s="157">
        <v>0.0</v>
      </c>
      <c r="S19" s="157">
        <v>0.0</v>
      </c>
      <c r="T19" s="674" t="s">
        <v>356</v>
      </c>
      <c r="U19" s="674" t="s">
        <v>354</v>
      </c>
      <c r="V19" s="680" t="s">
        <v>361</v>
      </c>
      <c r="W19" s="680" t="s">
        <v>361</v>
      </c>
      <c r="X19" s="139" t="s">
        <v>356</v>
      </c>
      <c r="Y19" s="139" t="s">
        <v>354</v>
      </c>
      <c r="Z19" s="46">
        <f t="shared" si="1"/>
        <v>0</v>
      </c>
      <c r="AA19" s="265"/>
      <c r="AB19" s="265"/>
      <c r="AC19" s="265"/>
      <c r="AD19" s="265"/>
      <c r="AE19" s="80">
        <v>0.0</v>
      </c>
      <c r="AF19" s="80">
        <v>0.0</v>
      </c>
      <c r="AG19" s="80">
        <v>0.0</v>
      </c>
      <c r="AH19" s="80">
        <v>0.0</v>
      </c>
      <c r="AI19" s="80">
        <v>0.0</v>
      </c>
      <c r="AJ19" s="80">
        <v>0.0</v>
      </c>
      <c r="AK19" s="80">
        <v>0.0</v>
      </c>
      <c r="AL19" s="80">
        <v>0.0</v>
      </c>
      <c r="AM19" s="235">
        <f t="shared" si="2"/>
        <v>0</v>
      </c>
      <c r="AN19" s="235">
        <f t="shared" si="3"/>
        <v>0</v>
      </c>
    </row>
    <row r="20">
      <c r="A20" s="157">
        <v>19.0</v>
      </c>
      <c r="B20" s="673" t="s">
        <v>42</v>
      </c>
      <c r="C20" s="63" t="s">
        <v>1672</v>
      </c>
      <c r="D20" s="482" t="s">
        <v>421</v>
      </c>
      <c r="E20" s="354">
        <v>40606.0</v>
      </c>
      <c r="F20" s="157" t="s">
        <v>354</v>
      </c>
      <c r="G20" s="157" t="s">
        <v>354</v>
      </c>
      <c r="H20" s="157" t="s">
        <v>354</v>
      </c>
      <c r="I20" s="157" t="s">
        <v>354</v>
      </c>
      <c r="J20" s="157" t="s">
        <v>354</v>
      </c>
      <c r="K20" s="157" t="s">
        <v>354</v>
      </c>
      <c r="L20" s="157" t="s">
        <v>354</v>
      </c>
      <c r="M20" s="157" t="s">
        <v>354</v>
      </c>
      <c r="N20" s="157" t="s">
        <v>354</v>
      </c>
      <c r="O20" s="157" t="s">
        <v>354</v>
      </c>
      <c r="P20" s="157">
        <v>0.0</v>
      </c>
      <c r="Q20" s="157">
        <v>0.0</v>
      </c>
      <c r="R20" s="157">
        <v>0.0</v>
      </c>
      <c r="S20" s="157">
        <v>0.0</v>
      </c>
      <c r="T20" s="674" t="s">
        <v>356</v>
      </c>
      <c r="U20" s="674" t="s">
        <v>354</v>
      </c>
      <c r="V20" s="365" t="s">
        <v>365</v>
      </c>
      <c r="W20" s="391" t="s">
        <v>380</v>
      </c>
      <c r="X20" s="139" t="s">
        <v>356</v>
      </c>
      <c r="Y20" s="139" t="s">
        <v>354</v>
      </c>
      <c r="Z20" s="367">
        <f t="shared" si="1"/>
        <v>1</v>
      </c>
      <c r="AA20" s="265"/>
      <c r="AB20" s="265"/>
      <c r="AC20" s="265"/>
      <c r="AD20" s="265"/>
      <c r="AE20" s="80">
        <v>0.0</v>
      </c>
      <c r="AF20" s="80">
        <v>0.0</v>
      </c>
      <c r="AG20" s="80">
        <v>0.0</v>
      </c>
      <c r="AH20" s="80">
        <v>0.0</v>
      </c>
      <c r="AI20" s="80">
        <v>0.0</v>
      </c>
      <c r="AJ20" s="80">
        <v>0.0</v>
      </c>
      <c r="AK20" s="224">
        <v>1.0</v>
      </c>
      <c r="AL20" s="80">
        <v>0.0</v>
      </c>
      <c r="AM20" s="679">
        <f t="shared" si="2"/>
        <v>1</v>
      </c>
      <c r="AN20" s="679">
        <f t="shared" si="3"/>
        <v>1</v>
      </c>
    </row>
    <row r="21">
      <c r="A21" s="157">
        <v>20.0</v>
      </c>
      <c r="B21" s="673" t="s">
        <v>1673</v>
      </c>
      <c r="C21" s="63" t="s">
        <v>835</v>
      </c>
      <c r="D21" s="482" t="s">
        <v>1661</v>
      </c>
      <c r="E21" s="354">
        <v>40606.0</v>
      </c>
      <c r="F21" s="157" t="s">
        <v>354</v>
      </c>
      <c r="G21" s="157" t="s">
        <v>354</v>
      </c>
      <c r="H21" s="157" t="s">
        <v>354</v>
      </c>
      <c r="I21" s="157" t="s">
        <v>354</v>
      </c>
      <c r="J21" s="157" t="s">
        <v>354</v>
      </c>
      <c r="K21" s="157" t="s">
        <v>354</v>
      </c>
      <c r="L21" s="157" t="s">
        <v>354</v>
      </c>
      <c r="M21" s="157" t="s">
        <v>354</v>
      </c>
      <c r="N21" s="157" t="s">
        <v>354</v>
      </c>
      <c r="O21" s="157" t="s">
        <v>354</v>
      </c>
      <c r="P21" s="157">
        <v>0.0</v>
      </c>
      <c r="Q21" s="157">
        <v>0.0</v>
      </c>
      <c r="R21" s="157">
        <v>0.0</v>
      </c>
      <c r="S21" s="157">
        <v>0.0</v>
      </c>
      <c r="T21" s="674" t="s">
        <v>356</v>
      </c>
      <c r="U21" s="674" t="s">
        <v>354</v>
      </c>
      <c r="V21" s="675" t="s">
        <v>356</v>
      </c>
      <c r="W21" s="675" t="s">
        <v>354</v>
      </c>
      <c r="X21" s="139" t="s">
        <v>356</v>
      </c>
      <c r="Y21" s="139" t="s">
        <v>354</v>
      </c>
      <c r="Z21" s="46">
        <f t="shared" si="1"/>
        <v>0</v>
      </c>
      <c r="AA21" s="265"/>
      <c r="AB21" s="265"/>
      <c r="AC21" s="265"/>
      <c r="AD21" s="265"/>
      <c r="AE21" s="80">
        <v>0.0</v>
      </c>
      <c r="AF21" s="80">
        <v>0.0</v>
      </c>
      <c r="AG21" s="80">
        <v>0.0</v>
      </c>
      <c r="AH21" s="80">
        <v>0.0</v>
      </c>
      <c r="AI21" s="80">
        <v>0.0</v>
      </c>
      <c r="AJ21" s="80">
        <v>0.0</v>
      </c>
      <c r="AK21" s="80">
        <v>0.0</v>
      </c>
      <c r="AL21" s="80">
        <v>0.0</v>
      </c>
      <c r="AM21" s="235">
        <f t="shared" si="2"/>
        <v>0</v>
      </c>
      <c r="AN21" s="235">
        <f t="shared" si="3"/>
        <v>0</v>
      </c>
    </row>
    <row r="22">
      <c r="A22" s="157">
        <v>21.0</v>
      </c>
      <c r="B22" s="673" t="s">
        <v>171</v>
      </c>
      <c r="C22" s="676" t="s">
        <v>171</v>
      </c>
      <c r="D22" s="482" t="s">
        <v>658</v>
      </c>
      <c r="E22" s="354">
        <v>40606.0</v>
      </c>
      <c r="F22" s="157" t="s">
        <v>354</v>
      </c>
      <c r="G22" s="157" t="s">
        <v>354</v>
      </c>
      <c r="H22" s="157" t="s">
        <v>354</v>
      </c>
      <c r="I22" s="157" t="s">
        <v>354</v>
      </c>
      <c r="J22" s="157" t="s">
        <v>354</v>
      </c>
      <c r="K22" s="157" t="s">
        <v>354</v>
      </c>
      <c r="L22" s="157" t="s">
        <v>354</v>
      </c>
      <c r="M22" s="157" t="s">
        <v>354</v>
      </c>
      <c r="N22" s="157" t="s">
        <v>354</v>
      </c>
      <c r="O22" s="157" t="s">
        <v>354</v>
      </c>
      <c r="P22" s="157">
        <v>0.0</v>
      </c>
      <c r="Q22" s="157">
        <v>0.0</v>
      </c>
      <c r="R22" s="157">
        <v>0.0</v>
      </c>
      <c r="S22" s="157">
        <v>0.0</v>
      </c>
      <c r="T22" s="674" t="s">
        <v>356</v>
      </c>
      <c r="U22" s="674" t="s">
        <v>354</v>
      </c>
      <c r="V22" s="675" t="s">
        <v>356</v>
      </c>
      <c r="W22" s="675" t="s">
        <v>354</v>
      </c>
      <c r="X22" s="139" t="s">
        <v>356</v>
      </c>
      <c r="Y22" s="139" t="s">
        <v>354</v>
      </c>
      <c r="Z22" s="46">
        <f t="shared" si="1"/>
        <v>0</v>
      </c>
      <c r="AA22" s="265"/>
      <c r="AB22" s="265"/>
      <c r="AC22" s="265"/>
      <c r="AD22" s="265"/>
      <c r="AE22" s="80">
        <v>0.0</v>
      </c>
      <c r="AF22" s="80">
        <v>0.0</v>
      </c>
      <c r="AG22" s="80">
        <v>0.0</v>
      </c>
      <c r="AH22" s="80">
        <v>0.0</v>
      </c>
      <c r="AI22" s="80">
        <v>0.0</v>
      </c>
      <c r="AJ22" s="80">
        <v>0.0</v>
      </c>
      <c r="AK22" s="80">
        <v>0.0</v>
      </c>
      <c r="AL22" s="80">
        <v>0.0</v>
      </c>
      <c r="AM22" s="235">
        <f t="shared" si="2"/>
        <v>0</v>
      </c>
      <c r="AN22" s="235">
        <f t="shared" si="3"/>
        <v>0</v>
      </c>
    </row>
    <row r="23">
      <c r="A23" s="157">
        <v>22.0</v>
      </c>
      <c r="B23" s="673" t="s">
        <v>135</v>
      </c>
      <c r="C23" s="676" t="s">
        <v>135</v>
      </c>
      <c r="D23" s="482" t="s">
        <v>596</v>
      </c>
      <c r="E23" s="354">
        <v>40606.0</v>
      </c>
      <c r="F23" s="157" t="s">
        <v>354</v>
      </c>
      <c r="G23" s="157" t="s">
        <v>354</v>
      </c>
      <c r="H23" s="157" t="s">
        <v>354</v>
      </c>
      <c r="I23" s="157" t="s">
        <v>354</v>
      </c>
      <c r="J23" s="157" t="s">
        <v>354</v>
      </c>
      <c r="K23" s="157" t="s">
        <v>354</v>
      </c>
      <c r="L23" s="157" t="s">
        <v>354</v>
      </c>
      <c r="M23" s="157" t="s">
        <v>354</v>
      </c>
      <c r="N23" s="157" t="s">
        <v>354</v>
      </c>
      <c r="O23" s="157" t="s">
        <v>354</v>
      </c>
      <c r="P23" s="157">
        <v>0.0</v>
      </c>
      <c r="Q23" s="157">
        <v>0.0</v>
      </c>
      <c r="R23" s="157">
        <v>0.0</v>
      </c>
      <c r="S23" s="157">
        <v>0.0</v>
      </c>
      <c r="T23" s="674" t="s">
        <v>356</v>
      </c>
      <c r="U23" s="674" t="s">
        <v>354</v>
      </c>
      <c r="V23" s="677" t="s">
        <v>365</v>
      </c>
      <c r="W23" s="40" t="s">
        <v>357</v>
      </c>
      <c r="X23" s="139" t="s">
        <v>356</v>
      </c>
      <c r="Y23" s="139" t="s">
        <v>354</v>
      </c>
      <c r="Z23" s="367">
        <f t="shared" si="1"/>
        <v>1</v>
      </c>
      <c r="AA23" s="265"/>
      <c r="AB23" s="265"/>
      <c r="AC23" s="265"/>
      <c r="AD23" s="265"/>
      <c r="AE23" s="80">
        <v>0.0</v>
      </c>
      <c r="AF23" s="80">
        <v>0.0</v>
      </c>
      <c r="AG23" s="80">
        <v>0.0</v>
      </c>
      <c r="AH23" s="80">
        <v>0.0</v>
      </c>
      <c r="AI23" s="80">
        <v>0.0</v>
      </c>
      <c r="AJ23" s="224">
        <v>1.0</v>
      </c>
      <c r="AK23" s="80">
        <v>0.0</v>
      </c>
      <c r="AL23" s="80">
        <v>0.0</v>
      </c>
      <c r="AM23" s="679">
        <f t="shared" si="2"/>
        <v>1</v>
      </c>
      <c r="AN23" s="679">
        <f t="shared" si="3"/>
        <v>1</v>
      </c>
    </row>
    <row r="24">
      <c r="A24" s="157">
        <v>23.0</v>
      </c>
      <c r="B24" s="673" t="s">
        <v>101</v>
      </c>
      <c r="C24" s="676" t="s">
        <v>101</v>
      </c>
      <c r="D24" s="482" t="s">
        <v>518</v>
      </c>
      <c r="E24" s="354">
        <v>40606.0</v>
      </c>
      <c r="F24" s="157" t="s">
        <v>354</v>
      </c>
      <c r="G24" s="157" t="s">
        <v>354</v>
      </c>
      <c r="H24" s="157" t="s">
        <v>354</v>
      </c>
      <c r="I24" s="157" t="s">
        <v>354</v>
      </c>
      <c r="J24" s="157" t="s">
        <v>354</v>
      </c>
      <c r="K24" s="157" t="s">
        <v>354</v>
      </c>
      <c r="L24" s="157" t="s">
        <v>354</v>
      </c>
      <c r="M24" s="157" t="s">
        <v>354</v>
      </c>
      <c r="N24" s="157" t="s">
        <v>354</v>
      </c>
      <c r="O24" s="157" t="s">
        <v>354</v>
      </c>
      <c r="P24" s="157">
        <v>0.0</v>
      </c>
      <c r="Q24" s="157">
        <v>0.0</v>
      </c>
      <c r="R24" s="157">
        <v>0.0</v>
      </c>
      <c r="S24" s="157">
        <v>0.0</v>
      </c>
      <c r="T24" s="674" t="s">
        <v>356</v>
      </c>
      <c r="U24" s="674" t="s">
        <v>354</v>
      </c>
      <c r="V24" s="675" t="s">
        <v>356</v>
      </c>
      <c r="W24" s="675" t="s">
        <v>354</v>
      </c>
      <c r="X24" s="139" t="s">
        <v>356</v>
      </c>
      <c r="Y24" s="139" t="s">
        <v>354</v>
      </c>
      <c r="Z24" s="46">
        <f t="shared" si="1"/>
        <v>0</v>
      </c>
      <c r="AA24" s="265"/>
      <c r="AB24" s="265"/>
      <c r="AC24" s="265"/>
      <c r="AD24" s="265"/>
      <c r="AE24" s="80">
        <v>0.0</v>
      </c>
      <c r="AF24" s="80">
        <v>0.0</v>
      </c>
      <c r="AG24" s="80">
        <v>0.0</v>
      </c>
      <c r="AH24" s="80">
        <v>0.0</v>
      </c>
      <c r="AI24" s="80">
        <v>0.0</v>
      </c>
      <c r="AJ24" s="80">
        <v>0.0</v>
      </c>
      <c r="AK24" s="80">
        <v>0.0</v>
      </c>
      <c r="AL24" s="80">
        <v>0.0</v>
      </c>
      <c r="AM24" s="235">
        <f t="shared" si="2"/>
        <v>0</v>
      </c>
      <c r="AN24" s="235">
        <f t="shared" si="3"/>
        <v>0</v>
      </c>
    </row>
    <row r="25">
      <c r="A25" s="157">
        <v>24.0</v>
      </c>
      <c r="B25" s="673" t="s">
        <v>250</v>
      </c>
      <c r="C25" s="676" t="s">
        <v>250</v>
      </c>
      <c r="D25" s="482" t="s">
        <v>874</v>
      </c>
      <c r="E25" s="354">
        <v>40606.0</v>
      </c>
      <c r="F25" s="157" t="s">
        <v>354</v>
      </c>
      <c r="G25" s="157" t="s">
        <v>354</v>
      </c>
      <c r="H25" s="157" t="s">
        <v>354</v>
      </c>
      <c r="I25" s="157" t="s">
        <v>354</v>
      </c>
      <c r="J25" s="157" t="s">
        <v>354</v>
      </c>
      <c r="K25" s="157" t="s">
        <v>354</v>
      </c>
      <c r="L25" s="157" t="s">
        <v>354</v>
      </c>
      <c r="M25" s="157" t="s">
        <v>354</v>
      </c>
      <c r="N25" s="157" t="s">
        <v>354</v>
      </c>
      <c r="O25" s="157" t="s">
        <v>354</v>
      </c>
      <c r="P25" s="157">
        <v>0.0</v>
      </c>
      <c r="Q25" s="157">
        <v>0.0</v>
      </c>
      <c r="R25" s="157">
        <v>0.0</v>
      </c>
      <c r="S25" s="157">
        <v>0.0</v>
      </c>
      <c r="T25" s="674" t="s">
        <v>356</v>
      </c>
      <c r="U25" s="674" t="s">
        <v>354</v>
      </c>
      <c r="V25" s="675" t="s">
        <v>356</v>
      </c>
      <c r="W25" s="675" t="s">
        <v>354</v>
      </c>
      <c r="X25" s="139" t="s">
        <v>356</v>
      </c>
      <c r="Y25" s="139" t="s">
        <v>354</v>
      </c>
      <c r="Z25" s="46">
        <f t="shared" si="1"/>
        <v>0</v>
      </c>
      <c r="AA25" s="265"/>
      <c r="AB25" s="265"/>
      <c r="AC25" s="265"/>
      <c r="AD25" s="265"/>
      <c r="AE25" s="80">
        <v>0.0</v>
      </c>
      <c r="AF25" s="80">
        <v>0.0</v>
      </c>
      <c r="AG25" s="80">
        <v>0.0</v>
      </c>
      <c r="AH25" s="80">
        <v>0.0</v>
      </c>
      <c r="AI25" s="80">
        <v>0.0</v>
      </c>
      <c r="AJ25" s="80">
        <v>0.0</v>
      </c>
      <c r="AK25" s="80">
        <v>0.0</v>
      </c>
      <c r="AL25" s="80">
        <v>0.0</v>
      </c>
      <c r="AM25" s="235">
        <f t="shared" si="2"/>
        <v>0</v>
      </c>
      <c r="AN25" s="235">
        <f t="shared" si="3"/>
        <v>0</v>
      </c>
    </row>
    <row r="26">
      <c r="A26" s="157">
        <v>25.0</v>
      </c>
      <c r="B26" s="673" t="s">
        <v>201</v>
      </c>
      <c r="C26" s="676" t="s">
        <v>201</v>
      </c>
      <c r="D26" s="482" t="s">
        <v>1622</v>
      </c>
      <c r="E26" s="354">
        <v>40606.0</v>
      </c>
      <c r="F26" s="157" t="s">
        <v>354</v>
      </c>
      <c r="G26" s="157" t="s">
        <v>354</v>
      </c>
      <c r="H26" s="157" t="s">
        <v>354</v>
      </c>
      <c r="I26" s="157" t="s">
        <v>354</v>
      </c>
      <c r="J26" s="157" t="s">
        <v>354</v>
      </c>
      <c r="K26" s="157" t="s">
        <v>354</v>
      </c>
      <c r="L26" s="157" t="s">
        <v>354</v>
      </c>
      <c r="M26" s="157" t="s">
        <v>354</v>
      </c>
      <c r="N26" s="157" t="s">
        <v>354</v>
      </c>
      <c r="O26" s="157" t="s">
        <v>354</v>
      </c>
      <c r="P26" s="157">
        <v>0.0</v>
      </c>
      <c r="Q26" s="157">
        <v>0.0</v>
      </c>
      <c r="R26" s="157">
        <v>0.0</v>
      </c>
      <c r="S26" s="157">
        <v>0.0</v>
      </c>
      <c r="T26" s="674" t="s">
        <v>356</v>
      </c>
      <c r="U26" s="674" t="s">
        <v>354</v>
      </c>
      <c r="V26" s="680" t="s">
        <v>361</v>
      </c>
      <c r="W26" s="680" t="s">
        <v>361</v>
      </c>
      <c r="X26" s="139" t="s">
        <v>356</v>
      </c>
      <c r="Y26" s="139" t="s">
        <v>354</v>
      </c>
      <c r="Z26" s="46">
        <f t="shared" si="1"/>
        <v>0</v>
      </c>
      <c r="AA26" s="265"/>
      <c r="AB26" s="265"/>
      <c r="AC26" s="265"/>
      <c r="AD26" s="265"/>
      <c r="AE26" s="80">
        <v>0.0</v>
      </c>
      <c r="AF26" s="80">
        <v>0.0</v>
      </c>
      <c r="AG26" s="80">
        <v>0.0</v>
      </c>
      <c r="AH26" s="80">
        <v>0.0</v>
      </c>
      <c r="AI26" s="80">
        <v>0.0</v>
      </c>
      <c r="AJ26" s="80">
        <v>0.0</v>
      </c>
      <c r="AK26" s="80">
        <v>0.0</v>
      </c>
      <c r="AL26" s="80">
        <v>0.0</v>
      </c>
      <c r="AM26" s="235">
        <f t="shared" si="2"/>
        <v>0</v>
      </c>
      <c r="AN26" s="235">
        <f t="shared" si="3"/>
        <v>0</v>
      </c>
    </row>
    <row r="27">
      <c r="A27" s="157">
        <v>26.0</v>
      </c>
      <c r="B27" s="673" t="s">
        <v>24</v>
      </c>
      <c r="C27" s="676" t="s">
        <v>24</v>
      </c>
      <c r="D27" s="482" t="s">
        <v>391</v>
      </c>
      <c r="E27" s="354">
        <v>40606.0</v>
      </c>
      <c r="F27" s="157" t="s">
        <v>354</v>
      </c>
      <c r="G27" s="157" t="s">
        <v>354</v>
      </c>
      <c r="H27" s="157" t="s">
        <v>354</v>
      </c>
      <c r="I27" s="157" t="s">
        <v>354</v>
      </c>
      <c r="J27" s="157" t="s">
        <v>354</v>
      </c>
      <c r="K27" s="157" t="s">
        <v>354</v>
      </c>
      <c r="L27" s="157" t="s">
        <v>354</v>
      </c>
      <c r="M27" s="157" t="s">
        <v>354</v>
      </c>
      <c r="N27" s="157" t="s">
        <v>354</v>
      </c>
      <c r="O27" s="157" t="s">
        <v>354</v>
      </c>
      <c r="P27" s="157">
        <v>0.0</v>
      </c>
      <c r="Q27" s="157">
        <v>0.0</v>
      </c>
      <c r="R27" s="157">
        <v>0.0</v>
      </c>
      <c r="S27" s="157">
        <v>0.0</v>
      </c>
      <c r="T27" s="674" t="s">
        <v>356</v>
      </c>
      <c r="U27" s="674" t="s">
        <v>354</v>
      </c>
      <c r="V27" s="675" t="s">
        <v>356</v>
      </c>
      <c r="W27" s="675" t="s">
        <v>354</v>
      </c>
      <c r="X27" s="139" t="s">
        <v>356</v>
      </c>
      <c r="Y27" s="139" t="s">
        <v>354</v>
      </c>
      <c r="Z27" s="46">
        <f t="shared" si="1"/>
        <v>0</v>
      </c>
      <c r="AA27" s="265"/>
      <c r="AB27" s="265"/>
      <c r="AC27" s="265"/>
      <c r="AD27" s="265"/>
      <c r="AE27" s="80">
        <v>0.0</v>
      </c>
      <c r="AF27" s="80">
        <v>0.0</v>
      </c>
      <c r="AG27" s="80">
        <v>0.0</v>
      </c>
      <c r="AH27" s="80">
        <v>0.0</v>
      </c>
      <c r="AI27" s="80">
        <v>0.0</v>
      </c>
      <c r="AJ27" s="80">
        <v>0.0</v>
      </c>
      <c r="AK27" s="80">
        <v>0.0</v>
      </c>
      <c r="AL27" s="80">
        <v>0.0</v>
      </c>
      <c r="AM27" s="235">
        <f t="shared" si="2"/>
        <v>0</v>
      </c>
      <c r="AN27" s="235">
        <f t="shared" si="3"/>
        <v>0</v>
      </c>
    </row>
    <row r="28">
      <c r="A28" s="157">
        <v>27.0</v>
      </c>
      <c r="B28" s="673" t="s">
        <v>180</v>
      </c>
      <c r="C28" s="676" t="s">
        <v>180</v>
      </c>
      <c r="D28" s="482" t="s">
        <v>685</v>
      </c>
      <c r="E28" s="354">
        <v>40606.0</v>
      </c>
      <c r="F28" s="157" t="s">
        <v>354</v>
      </c>
      <c r="G28" s="157" t="s">
        <v>354</v>
      </c>
      <c r="H28" s="157" t="s">
        <v>354</v>
      </c>
      <c r="I28" s="157" t="s">
        <v>354</v>
      </c>
      <c r="J28" s="157" t="s">
        <v>354</v>
      </c>
      <c r="K28" s="157" t="s">
        <v>354</v>
      </c>
      <c r="L28" s="157" t="s">
        <v>354</v>
      </c>
      <c r="M28" s="157" t="s">
        <v>354</v>
      </c>
      <c r="N28" s="157" t="s">
        <v>354</v>
      </c>
      <c r="O28" s="157" t="s">
        <v>354</v>
      </c>
      <c r="P28" s="157">
        <v>0.0</v>
      </c>
      <c r="Q28" s="157">
        <v>0.0</v>
      </c>
      <c r="R28" s="157">
        <v>0.0</v>
      </c>
      <c r="S28" s="157">
        <v>0.0</v>
      </c>
      <c r="T28" s="681" t="s">
        <v>365</v>
      </c>
      <c r="U28" s="40" t="s">
        <v>357</v>
      </c>
      <c r="V28" s="677" t="s">
        <v>365</v>
      </c>
      <c r="W28" s="40" t="s">
        <v>357</v>
      </c>
      <c r="X28" s="144" t="s">
        <v>365</v>
      </c>
      <c r="Y28" s="40" t="s">
        <v>357</v>
      </c>
      <c r="Z28" s="357">
        <f t="shared" si="1"/>
        <v>3</v>
      </c>
      <c r="AA28" s="265"/>
      <c r="AB28" s="265"/>
      <c r="AC28" s="265"/>
      <c r="AD28" s="265"/>
      <c r="AE28" s="80">
        <v>0.0</v>
      </c>
      <c r="AF28" s="80">
        <v>0.0</v>
      </c>
      <c r="AG28" s="80">
        <v>0.0</v>
      </c>
      <c r="AH28" s="80">
        <v>0.0</v>
      </c>
      <c r="AI28" s="80">
        <v>0.0</v>
      </c>
      <c r="AJ28" s="224">
        <v>3.0</v>
      </c>
      <c r="AK28" s="80">
        <v>0.0</v>
      </c>
      <c r="AL28" s="80">
        <v>0.0</v>
      </c>
      <c r="AM28" s="678">
        <f t="shared" si="2"/>
        <v>3</v>
      </c>
      <c r="AN28" s="678">
        <f t="shared" si="3"/>
        <v>1</v>
      </c>
    </row>
    <row r="29">
      <c r="A29" s="157">
        <v>28.0</v>
      </c>
      <c r="B29" s="673" t="s">
        <v>562</v>
      </c>
      <c r="C29" s="63" t="s">
        <v>560</v>
      </c>
      <c r="D29" s="482" t="s">
        <v>561</v>
      </c>
      <c r="E29" s="354">
        <v>40606.0</v>
      </c>
      <c r="F29" s="157" t="s">
        <v>354</v>
      </c>
      <c r="G29" s="157" t="s">
        <v>354</v>
      </c>
      <c r="H29" s="157" t="s">
        <v>354</v>
      </c>
      <c r="I29" s="157" t="s">
        <v>354</v>
      </c>
      <c r="J29" s="157" t="s">
        <v>354</v>
      </c>
      <c r="K29" s="157" t="s">
        <v>354</v>
      </c>
      <c r="L29" s="157" t="s">
        <v>354</v>
      </c>
      <c r="M29" s="157" t="s">
        <v>354</v>
      </c>
      <c r="N29" s="157" t="s">
        <v>354</v>
      </c>
      <c r="O29" s="157" t="s">
        <v>354</v>
      </c>
      <c r="P29" s="157">
        <v>0.0</v>
      </c>
      <c r="Q29" s="157">
        <v>0.0</v>
      </c>
      <c r="R29" s="157">
        <v>0.0</v>
      </c>
      <c r="S29" s="157">
        <v>0.0</v>
      </c>
      <c r="T29" s="674" t="s">
        <v>356</v>
      </c>
      <c r="U29" s="674" t="s">
        <v>354</v>
      </c>
      <c r="V29" s="675" t="s">
        <v>356</v>
      </c>
      <c r="W29" s="675" t="s">
        <v>354</v>
      </c>
      <c r="X29" s="139" t="s">
        <v>356</v>
      </c>
      <c r="Y29" s="139" t="s">
        <v>354</v>
      </c>
      <c r="Z29" s="46">
        <f t="shared" si="1"/>
        <v>0</v>
      </c>
      <c r="AA29" s="265"/>
      <c r="AB29" s="265"/>
      <c r="AC29" s="265"/>
      <c r="AD29" s="265"/>
      <c r="AE29" s="80">
        <v>0.0</v>
      </c>
      <c r="AF29" s="80">
        <v>0.0</v>
      </c>
      <c r="AG29" s="80">
        <v>0.0</v>
      </c>
      <c r="AH29" s="80">
        <v>0.0</v>
      </c>
      <c r="AI29" s="80">
        <v>0.0</v>
      </c>
      <c r="AJ29" s="80">
        <v>0.0</v>
      </c>
      <c r="AK29" s="80">
        <v>0.0</v>
      </c>
      <c r="AL29" s="80">
        <v>0.0</v>
      </c>
      <c r="AM29" s="235">
        <f t="shared" si="2"/>
        <v>0</v>
      </c>
      <c r="AN29" s="235">
        <f t="shared" si="3"/>
        <v>0</v>
      </c>
    </row>
    <row r="30">
      <c r="A30" s="157">
        <v>29.0</v>
      </c>
      <c r="B30" s="673" t="s">
        <v>158</v>
      </c>
      <c r="C30" s="676" t="s">
        <v>158</v>
      </c>
      <c r="D30" s="482" t="s">
        <v>640</v>
      </c>
      <c r="E30" s="354">
        <v>40606.0</v>
      </c>
      <c r="F30" s="157" t="s">
        <v>354</v>
      </c>
      <c r="G30" s="157" t="s">
        <v>354</v>
      </c>
      <c r="H30" s="157" t="s">
        <v>354</v>
      </c>
      <c r="I30" s="157" t="s">
        <v>354</v>
      </c>
      <c r="J30" s="157" t="s">
        <v>354</v>
      </c>
      <c r="K30" s="157" t="s">
        <v>354</v>
      </c>
      <c r="L30" s="157" t="s">
        <v>354</v>
      </c>
      <c r="M30" s="157" t="s">
        <v>354</v>
      </c>
      <c r="N30" s="157" t="s">
        <v>354</v>
      </c>
      <c r="O30" s="157" t="s">
        <v>354</v>
      </c>
      <c r="P30" s="157">
        <v>0.0</v>
      </c>
      <c r="Q30" s="157">
        <v>0.0</v>
      </c>
      <c r="R30" s="157">
        <v>0.0</v>
      </c>
      <c r="S30" s="157">
        <v>0.0</v>
      </c>
      <c r="T30" s="674" t="s">
        <v>356</v>
      </c>
      <c r="U30" s="674" t="s">
        <v>354</v>
      </c>
      <c r="V30" s="675" t="s">
        <v>356</v>
      </c>
      <c r="W30" s="675" t="s">
        <v>354</v>
      </c>
      <c r="X30" s="139" t="s">
        <v>356</v>
      </c>
      <c r="Y30" s="139" t="s">
        <v>354</v>
      </c>
      <c r="Z30" s="46">
        <f t="shared" si="1"/>
        <v>0</v>
      </c>
      <c r="AA30" s="265"/>
      <c r="AB30" s="265"/>
      <c r="AC30" s="265"/>
      <c r="AD30" s="265"/>
      <c r="AE30" s="80">
        <v>0.0</v>
      </c>
      <c r="AF30" s="80">
        <v>0.0</v>
      </c>
      <c r="AG30" s="80">
        <v>0.0</v>
      </c>
      <c r="AH30" s="80">
        <v>0.0</v>
      </c>
      <c r="AI30" s="80">
        <v>0.0</v>
      </c>
      <c r="AJ30" s="80">
        <v>0.0</v>
      </c>
      <c r="AK30" s="80">
        <v>0.0</v>
      </c>
      <c r="AL30" s="80">
        <v>0.0</v>
      </c>
      <c r="AM30" s="235">
        <f t="shared" si="2"/>
        <v>0</v>
      </c>
      <c r="AN30" s="235">
        <f t="shared" si="3"/>
        <v>0</v>
      </c>
    </row>
    <row r="31">
      <c r="A31" s="157">
        <v>30.0</v>
      </c>
      <c r="B31" s="673" t="s">
        <v>1674</v>
      </c>
      <c r="C31" s="63" t="s">
        <v>1675</v>
      </c>
      <c r="D31" s="482" t="s">
        <v>1675</v>
      </c>
      <c r="E31" s="354">
        <v>40606.0</v>
      </c>
      <c r="F31" s="157" t="s">
        <v>354</v>
      </c>
      <c r="G31" s="157" t="s">
        <v>354</v>
      </c>
      <c r="H31" s="157" t="s">
        <v>354</v>
      </c>
      <c r="I31" s="157" t="s">
        <v>354</v>
      </c>
      <c r="J31" s="157" t="s">
        <v>354</v>
      </c>
      <c r="K31" s="157" t="s">
        <v>354</v>
      </c>
      <c r="L31" s="157" t="s">
        <v>354</v>
      </c>
      <c r="M31" s="157" t="s">
        <v>354</v>
      </c>
      <c r="N31" s="157" t="s">
        <v>354</v>
      </c>
      <c r="O31" s="157" t="s">
        <v>354</v>
      </c>
      <c r="P31" s="157">
        <v>0.0</v>
      </c>
      <c r="Q31" s="157">
        <v>0.0</v>
      </c>
      <c r="R31" s="157">
        <v>0.0</v>
      </c>
      <c r="S31" s="157">
        <v>0.0</v>
      </c>
      <c r="T31" s="674" t="s">
        <v>356</v>
      </c>
      <c r="U31" s="674" t="s">
        <v>354</v>
      </c>
      <c r="V31" s="675" t="s">
        <v>356</v>
      </c>
      <c r="W31" s="675" t="s">
        <v>354</v>
      </c>
      <c r="X31" s="139" t="s">
        <v>356</v>
      </c>
      <c r="Y31" s="139" t="s">
        <v>354</v>
      </c>
      <c r="Z31" s="46">
        <f t="shared" si="1"/>
        <v>0</v>
      </c>
      <c r="AA31" s="265"/>
      <c r="AB31" s="265"/>
      <c r="AC31" s="265"/>
      <c r="AD31" s="265"/>
      <c r="AE31" s="80">
        <v>0.0</v>
      </c>
      <c r="AF31" s="80">
        <v>0.0</v>
      </c>
      <c r="AG31" s="80">
        <v>0.0</v>
      </c>
      <c r="AH31" s="80">
        <v>0.0</v>
      </c>
      <c r="AI31" s="80">
        <v>0.0</v>
      </c>
      <c r="AJ31" s="80">
        <v>0.0</v>
      </c>
      <c r="AK31" s="80">
        <v>0.0</v>
      </c>
      <c r="AL31" s="80">
        <v>0.0</v>
      </c>
      <c r="AM31" s="235">
        <f t="shared" si="2"/>
        <v>0</v>
      </c>
      <c r="AN31" s="235">
        <f t="shared" si="3"/>
        <v>0</v>
      </c>
    </row>
    <row r="32">
      <c r="A32" s="157">
        <v>31.0</v>
      </c>
      <c r="B32" s="673" t="s">
        <v>29</v>
      </c>
      <c r="C32" s="676" t="s">
        <v>29</v>
      </c>
      <c r="D32" s="482" t="s">
        <v>401</v>
      </c>
      <c r="E32" s="354">
        <v>40606.0</v>
      </c>
      <c r="F32" s="157" t="s">
        <v>354</v>
      </c>
      <c r="G32" s="157" t="s">
        <v>354</v>
      </c>
      <c r="H32" s="157" t="s">
        <v>354</v>
      </c>
      <c r="I32" s="157" t="s">
        <v>354</v>
      </c>
      <c r="J32" s="157" t="s">
        <v>354</v>
      </c>
      <c r="K32" s="157" t="s">
        <v>354</v>
      </c>
      <c r="L32" s="157" t="s">
        <v>354</v>
      </c>
      <c r="M32" s="157" t="s">
        <v>354</v>
      </c>
      <c r="N32" s="157" t="s">
        <v>354</v>
      </c>
      <c r="O32" s="157" t="s">
        <v>354</v>
      </c>
      <c r="P32" s="157">
        <v>0.0</v>
      </c>
      <c r="Q32" s="157">
        <v>0.0</v>
      </c>
      <c r="R32" s="157">
        <v>0.0</v>
      </c>
      <c r="S32" s="157">
        <v>0.0</v>
      </c>
      <c r="T32" s="674" t="s">
        <v>356</v>
      </c>
      <c r="U32" s="674" t="s">
        <v>354</v>
      </c>
      <c r="V32" s="675" t="s">
        <v>356</v>
      </c>
      <c r="W32" s="675" t="s">
        <v>354</v>
      </c>
      <c r="X32" s="139" t="s">
        <v>356</v>
      </c>
      <c r="Y32" s="139" t="s">
        <v>354</v>
      </c>
      <c r="Z32" s="46">
        <f t="shared" si="1"/>
        <v>0</v>
      </c>
      <c r="AA32" s="265"/>
      <c r="AB32" s="265"/>
      <c r="AC32" s="265"/>
      <c r="AD32" s="265"/>
      <c r="AE32" s="80">
        <v>0.0</v>
      </c>
      <c r="AF32" s="80">
        <v>0.0</v>
      </c>
      <c r="AG32" s="80">
        <v>0.0</v>
      </c>
      <c r="AH32" s="80">
        <v>0.0</v>
      </c>
      <c r="AI32" s="80">
        <v>0.0</v>
      </c>
      <c r="AJ32" s="80">
        <v>0.0</v>
      </c>
      <c r="AK32" s="80">
        <v>0.0</v>
      </c>
      <c r="AL32" s="80">
        <v>0.0</v>
      </c>
      <c r="AM32" s="235">
        <f t="shared" si="2"/>
        <v>0</v>
      </c>
      <c r="AN32" s="235">
        <f t="shared" si="3"/>
        <v>0</v>
      </c>
    </row>
    <row r="33">
      <c r="A33" s="157">
        <v>32.0</v>
      </c>
      <c r="B33" s="673" t="s">
        <v>165</v>
      </c>
      <c r="C33" s="676" t="s">
        <v>165</v>
      </c>
      <c r="D33" s="482" t="s">
        <v>650</v>
      </c>
      <c r="E33" s="354">
        <v>40606.0</v>
      </c>
      <c r="F33" s="157" t="s">
        <v>354</v>
      </c>
      <c r="G33" s="157" t="s">
        <v>354</v>
      </c>
      <c r="H33" s="157" t="s">
        <v>354</v>
      </c>
      <c r="I33" s="157" t="s">
        <v>354</v>
      </c>
      <c r="J33" s="157" t="s">
        <v>354</v>
      </c>
      <c r="K33" s="157" t="s">
        <v>354</v>
      </c>
      <c r="L33" s="157" t="s">
        <v>354</v>
      </c>
      <c r="M33" s="157" t="s">
        <v>354</v>
      </c>
      <c r="N33" s="157" t="s">
        <v>354</v>
      </c>
      <c r="O33" s="157" t="s">
        <v>354</v>
      </c>
      <c r="P33" s="157">
        <v>0.0</v>
      </c>
      <c r="Q33" s="157">
        <v>0.0</v>
      </c>
      <c r="R33" s="157">
        <v>0.0</v>
      </c>
      <c r="S33" s="157">
        <v>0.0</v>
      </c>
      <c r="T33" s="674" t="s">
        <v>356</v>
      </c>
      <c r="U33" s="674" t="s">
        <v>354</v>
      </c>
      <c r="V33" s="675" t="s">
        <v>356</v>
      </c>
      <c r="W33" s="675" t="s">
        <v>354</v>
      </c>
      <c r="X33" s="139" t="s">
        <v>356</v>
      </c>
      <c r="Y33" s="139" t="s">
        <v>354</v>
      </c>
      <c r="Z33" s="46">
        <f t="shared" si="1"/>
        <v>0</v>
      </c>
      <c r="AA33" s="265"/>
      <c r="AB33" s="265"/>
      <c r="AC33" s="265"/>
      <c r="AD33" s="265"/>
      <c r="AE33" s="80">
        <v>0.0</v>
      </c>
      <c r="AF33" s="80">
        <v>0.0</v>
      </c>
      <c r="AG33" s="80">
        <v>0.0</v>
      </c>
      <c r="AH33" s="80">
        <v>0.0</v>
      </c>
      <c r="AI33" s="80">
        <v>0.0</v>
      </c>
      <c r="AJ33" s="80">
        <v>0.0</v>
      </c>
      <c r="AK33" s="80">
        <v>0.0</v>
      </c>
      <c r="AL33" s="80">
        <v>0.0</v>
      </c>
      <c r="AM33" s="235">
        <f t="shared" si="2"/>
        <v>0</v>
      </c>
      <c r="AN33" s="235">
        <f t="shared" si="3"/>
        <v>0</v>
      </c>
    </row>
    <row r="34">
      <c r="A34" s="157">
        <v>33.0</v>
      </c>
      <c r="B34" s="673" t="s">
        <v>274</v>
      </c>
      <c r="C34" s="676" t="s">
        <v>271</v>
      </c>
      <c r="D34" s="482" t="s">
        <v>924</v>
      </c>
      <c r="E34" s="354">
        <v>40606.0</v>
      </c>
      <c r="F34" s="157" t="s">
        <v>354</v>
      </c>
      <c r="G34" s="157" t="s">
        <v>354</v>
      </c>
      <c r="H34" s="157" t="s">
        <v>354</v>
      </c>
      <c r="I34" s="157" t="s">
        <v>354</v>
      </c>
      <c r="J34" s="157" t="s">
        <v>354</v>
      </c>
      <c r="K34" s="157" t="s">
        <v>354</v>
      </c>
      <c r="L34" s="157" t="s">
        <v>354</v>
      </c>
      <c r="M34" s="157" t="s">
        <v>354</v>
      </c>
      <c r="N34" s="157" t="s">
        <v>354</v>
      </c>
      <c r="O34" s="157" t="s">
        <v>354</v>
      </c>
      <c r="P34" s="157">
        <v>0.0</v>
      </c>
      <c r="Q34" s="157">
        <v>0.0</v>
      </c>
      <c r="R34" s="157">
        <v>0.0</v>
      </c>
      <c r="S34" s="157">
        <v>0.0</v>
      </c>
      <c r="T34" s="674" t="s">
        <v>356</v>
      </c>
      <c r="U34" s="674" t="s">
        <v>354</v>
      </c>
      <c r="V34" s="675" t="s">
        <v>356</v>
      </c>
      <c r="W34" s="675" t="s">
        <v>354</v>
      </c>
      <c r="X34" s="139" t="s">
        <v>356</v>
      </c>
      <c r="Y34" s="139" t="s">
        <v>354</v>
      </c>
      <c r="Z34" s="46">
        <f t="shared" si="1"/>
        <v>0</v>
      </c>
      <c r="AA34" s="265"/>
      <c r="AB34" s="265"/>
      <c r="AC34" s="265"/>
      <c r="AD34" s="265"/>
      <c r="AE34" s="80">
        <v>0.0</v>
      </c>
      <c r="AF34" s="80">
        <v>0.0</v>
      </c>
      <c r="AG34" s="80">
        <v>0.0</v>
      </c>
      <c r="AH34" s="80">
        <v>0.0</v>
      </c>
      <c r="AI34" s="80">
        <v>0.0</v>
      </c>
      <c r="AJ34" s="80">
        <v>0.0</v>
      </c>
      <c r="AK34" s="80">
        <v>0.0</v>
      </c>
      <c r="AL34" s="80">
        <v>0.0</v>
      </c>
      <c r="AM34" s="235">
        <f t="shared" si="2"/>
        <v>0</v>
      </c>
      <c r="AN34" s="235">
        <f t="shared" si="3"/>
        <v>0</v>
      </c>
    </row>
    <row r="35">
      <c r="A35" s="157">
        <v>34.0</v>
      </c>
      <c r="B35" s="673" t="s">
        <v>222</v>
      </c>
      <c r="C35" s="63" t="s">
        <v>1422</v>
      </c>
      <c r="D35" s="482" t="s">
        <v>775</v>
      </c>
      <c r="E35" s="354">
        <v>40606.0</v>
      </c>
      <c r="F35" s="157" t="s">
        <v>354</v>
      </c>
      <c r="G35" s="157" t="s">
        <v>354</v>
      </c>
      <c r="H35" s="157" t="s">
        <v>354</v>
      </c>
      <c r="I35" s="157" t="s">
        <v>354</v>
      </c>
      <c r="J35" s="157" t="s">
        <v>354</v>
      </c>
      <c r="K35" s="157" t="s">
        <v>354</v>
      </c>
      <c r="L35" s="157" t="s">
        <v>354</v>
      </c>
      <c r="M35" s="157" t="s">
        <v>354</v>
      </c>
      <c r="N35" s="157" t="s">
        <v>354</v>
      </c>
      <c r="O35" s="157" t="s">
        <v>354</v>
      </c>
      <c r="P35" s="157">
        <v>0.0</v>
      </c>
      <c r="Q35" s="157">
        <v>0.0</v>
      </c>
      <c r="R35" s="157">
        <v>0.0</v>
      </c>
      <c r="S35" s="157">
        <v>0.0</v>
      </c>
      <c r="T35" s="674" t="s">
        <v>356</v>
      </c>
      <c r="U35" s="674" t="s">
        <v>354</v>
      </c>
      <c r="V35" s="675" t="s">
        <v>356</v>
      </c>
      <c r="W35" s="675" t="s">
        <v>354</v>
      </c>
      <c r="X35" s="139" t="s">
        <v>356</v>
      </c>
      <c r="Y35" s="139" t="s">
        <v>354</v>
      </c>
      <c r="Z35" s="46">
        <f t="shared" si="1"/>
        <v>0</v>
      </c>
      <c r="AA35" s="265"/>
      <c r="AB35" s="265"/>
      <c r="AC35" s="265"/>
      <c r="AD35" s="265"/>
      <c r="AE35" s="80">
        <v>0.0</v>
      </c>
      <c r="AF35" s="80">
        <v>0.0</v>
      </c>
      <c r="AG35" s="80">
        <v>0.0</v>
      </c>
      <c r="AH35" s="80">
        <v>0.0</v>
      </c>
      <c r="AI35" s="80">
        <v>0.0</v>
      </c>
      <c r="AJ35" s="80">
        <v>0.0</v>
      </c>
      <c r="AK35" s="80">
        <v>0.0</v>
      </c>
      <c r="AL35" s="80">
        <v>0.0</v>
      </c>
      <c r="AM35" s="235">
        <f t="shared" si="2"/>
        <v>0</v>
      </c>
      <c r="AN35" s="235">
        <f t="shared" si="3"/>
        <v>0</v>
      </c>
    </row>
    <row r="36">
      <c r="A36" s="157">
        <v>35.0</v>
      </c>
      <c r="B36" s="673" t="s">
        <v>228</v>
      </c>
      <c r="C36" s="676" t="s">
        <v>228</v>
      </c>
      <c r="D36" s="482" t="s">
        <v>1623</v>
      </c>
      <c r="E36" s="354">
        <v>40606.0</v>
      </c>
      <c r="F36" s="157" t="s">
        <v>354</v>
      </c>
      <c r="G36" s="157" t="s">
        <v>354</v>
      </c>
      <c r="H36" s="157" t="s">
        <v>354</v>
      </c>
      <c r="I36" s="157" t="s">
        <v>354</v>
      </c>
      <c r="J36" s="157" t="s">
        <v>354</v>
      </c>
      <c r="K36" s="157" t="s">
        <v>354</v>
      </c>
      <c r="L36" s="157" t="s">
        <v>354</v>
      </c>
      <c r="M36" s="157" t="s">
        <v>354</v>
      </c>
      <c r="N36" s="157" t="s">
        <v>354</v>
      </c>
      <c r="O36" s="157" t="s">
        <v>354</v>
      </c>
      <c r="P36" s="140">
        <v>35.22</v>
      </c>
      <c r="Q36" s="157">
        <v>0.0</v>
      </c>
      <c r="R36" s="157">
        <v>0.0</v>
      </c>
      <c r="S36" s="157">
        <v>0.0</v>
      </c>
      <c r="T36" s="674" t="s">
        <v>356</v>
      </c>
      <c r="U36" s="674" t="s">
        <v>354</v>
      </c>
      <c r="V36" s="675" t="s">
        <v>356</v>
      </c>
      <c r="W36" s="675" t="s">
        <v>354</v>
      </c>
      <c r="X36" s="139" t="s">
        <v>356</v>
      </c>
      <c r="Y36" s="139" t="s">
        <v>354</v>
      </c>
      <c r="Z36" s="46">
        <f t="shared" si="1"/>
        <v>1</v>
      </c>
      <c r="AA36" s="265"/>
      <c r="AB36" s="265"/>
      <c r="AC36" s="265"/>
      <c r="AD36" s="265"/>
      <c r="AE36" s="80">
        <v>0.0</v>
      </c>
      <c r="AF36" s="80">
        <v>0.0</v>
      </c>
      <c r="AG36" s="80">
        <v>0.0</v>
      </c>
      <c r="AH36" s="80">
        <v>0.0</v>
      </c>
      <c r="AI36" s="80">
        <v>0.0</v>
      </c>
      <c r="AJ36" s="80">
        <v>0.0</v>
      </c>
      <c r="AK36" s="80">
        <v>0.0</v>
      </c>
      <c r="AL36" s="80">
        <v>0.0</v>
      </c>
      <c r="AM36" s="235">
        <f t="shared" si="2"/>
        <v>0</v>
      </c>
      <c r="AN36" s="235">
        <f t="shared" si="3"/>
        <v>0</v>
      </c>
    </row>
    <row r="37">
      <c r="A37" s="157">
        <v>36.0</v>
      </c>
      <c r="B37" s="673" t="s">
        <v>268</v>
      </c>
      <c r="C37" s="676" t="s">
        <v>268</v>
      </c>
      <c r="D37" s="482" t="s">
        <v>1626</v>
      </c>
      <c r="E37" s="354">
        <v>40606.0</v>
      </c>
      <c r="F37" s="157" t="s">
        <v>354</v>
      </c>
      <c r="G37" s="157" t="s">
        <v>354</v>
      </c>
      <c r="H37" s="157" t="s">
        <v>354</v>
      </c>
      <c r="I37" s="157" t="s">
        <v>354</v>
      </c>
      <c r="J37" s="157" t="s">
        <v>354</v>
      </c>
      <c r="K37" s="157" t="s">
        <v>354</v>
      </c>
      <c r="L37" s="157" t="s">
        <v>354</v>
      </c>
      <c r="M37" s="157" t="s">
        <v>354</v>
      </c>
      <c r="N37" s="157" t="s">
        <v>354</v>
      </c>
      <c r="O37" s="157" t="s">
        <v>354</v>
      </c>
      <c r="P37" s="157">
        <v>0.0</v>
      </c>
      <c r="Q37" s="157">
        <v>0.0</v>
      </c>
      <c r="R37" s="157">
        <v>0.0</v>
      </c>
      <c r="S37" s="157">
        <v>0.0</v>
      </c>
      <c r="T37" s="674" t="s">
        <v>356</v>
      </c>
      <c r="U37" s="674" t="s">
        <v>354</v>
      </c>
      <c r="V37" s="675" t="s">
        <v>356</v>
      </c>
      <c r="W37" s="675" t="s">
        <v>354</v>
      </c>
      <c r="X37" s="139" t="s">
        <v>356</v>
      </c>
      <c r="Y37" s="139" t="s">
        <v>354</v>
      </c>
      <c r="Z37" s="46">
        <f t="shared" si="1"/>
        <v>0</v>
      </c>
      <c r="AA37" s="265"/>
      <c r="AB37" s="265"/>
      <c r="AC37" s="265"/>
      <c r="AD37" s="265"/>
      <c r="AE37" s="80">
        <v>0.0</v>
      </c>
      <c r="AF37" s="80">
        <v>0.0</v>
      </c>
      <c r="AG37" s="80">
        <v>0.0</v>
      </c>
      <c r="AH37" s="80">
        <v>0.0</v>
      </c>
      <c r="AI37" s="80">
        <v>0.0</v>
      </c>
      <c r="AJ37" s="80">
        <v>0.0</v>
      </c>
      <c r="AK37" s="80">
        <v>0.0</v>
      </c>
      <c r="AL37" s="80">
        <v>0.0</v>
      </c>
      <c r="AM37" s="235">
        <f t="shared" si="2"/>
        <v>0</v>
      </c>
      <c r="AN37" s="235">
        <f t="shared" si="3"/>
        <v>0</v>
      </c>
    </row>
    <row r="38">
      <c r="A38" s="157">
        <v>37.0</v>
      </c>
      <c r="B38" s="673" t="s">
        <v>867</v>
      </c>
      <c r="C38" s="63" t="s">
        <v>863</v>
      </c>
      <c r="D38" s="482" t="s">
        <v>864</v>
      </c>
      <c r="E38" s="354">
        <v>40606.0</v>
      </c>
      <c r="F38" s="157" t="s">
        <v>354</v>
      </c>
      <c r="G38" s="157" t="s">
        <v>354</v>
      </c>
      <c r="H38" s="157" t="s">
        <v>354</v>
      </c>
      <c r="I38" s="157" t="s">
        <v>354</v>
      </c>
      <c r="J38" s="157" t="s">
        <v>354</v>
      </c>
      <c r="K38" s="157" t="s">
        <v>354</v>
      </c>
      <c r="L38" s="157" t="s">
        <v>354</v>
      </c>
      <c r="M38" s="157" t="s">
        <v>354</v>
      </c>
      <c r="N38" s="157" t="s">
        <v>354</v>
      </c>
      <c r="O38" s="157" t="s">
        <v>354</v>
      </c>
      <c r="P38" s="157">
        <v>0.0</v>
      </c>
      <c r="Q38" s="157">
        <v>0.0</v>
      </c>
      <c r="R38" s="157">
        <v>0.0</v>
      </c>
      <c r="S38" s="157">
        <v>0.0</v>
      </c>
      <c r="T38" s="674" t="s">
        <v>356</v>
      </c>
      <c r="U38" s="674" t="s">
        <v>354</v>
      </c>
      <c r="V38" s="365" t="s">
        <v>365</v>
      </c>
      <c r="W38" s="391" t="s">
        <v>380</v>
      </c>
      <c r="X38" s="139" t="s">
        <v>356</v>
      </c>
      <c r="Y38" s="139" t="s">
        <v>354</v>
      </c>
      <c r="Z38" s="367">
        <f t="shared" si="1"/>
        <v>1</v>
      </c>
      <c r="AA38" s="265"/>
      <c r="AB38" s="265"/>
      <c r="AC38" s="265"/>
      <c r="AD38" s="265"/>
      <c r="AE38" s="80">
        <v>0.0</v>
      </c>
      <c r="AF38" s="80">
        <v>0.0</v>
      </c>
      <c r="AG38" s="80">
        <v>0.0</v>
      </c>
      <c r="AH38" s="80">
        <v>0.0</v>
      </c>
      <c r="AI38" s="80">
        <v>0.0</v>
      </c>
      <c r="AJ38" s="80">
        <v>0.0</v>
      </c>
      <c r="AK38" s="224">
        <v>1.0</v>
      </c>
      <c r="AL38" s="80">
        <v>0.0</v>
      </c>
      <c r="AM38" s="679">
        <f t="shared" si="2"/>
        <v>1</v>
      </c>
      <c r="AN38" s="679">
        <f t="shared" si="3"/>
        <v>1</v>
      </c>
    </row>
    <row r="39">
      <c r="A39" s="157">
        <v>38.0</v>
      </c>
      <c r="B39" s="673" t="s">
        <v>236</v>
      </c>
      <c r="C39" s="676" t="s">
        <v>234</v>
      </c>
      <c r="D39" s="482" t="s">
        <v>1625</v>
      </c>
      <c r="E39" s="354">
        <v>40606.0</v>
      </c>
      <c r="F39" s="157" t="s">
        <v>354</v>
      </c>
      <c r="G39" s="157" t="s">
        <v>354</v>
      </c>
      <c r="H39" s="157" t="s">
        <v>354</v>
      </c>
      <c r="I39" s="157" t="s">
        <v>354</v>
      </c>
      <c r="J39" s="157" t="s">
        <v>354</v>
      </c>
      <c r="K39" s="157" t="s">
        <v>354</v>
      </c>
      <c r="L39" s="157" t="s">
        <v>354</v>
      </c>
      <c r="M39" s="157" t="s">
        <v>354</v>
      </c>
      <c r="N39" s="157" t="s">
        <v>354</v>
      </c>
      <c r="O39" s="157" t="s">
        <v>354</v>
      </c>
      <c r="P39" s="157">
        <v>0.0</v>
      </c>
      <c r="Q39" s="157">
        <v>0.0</v>
      </c>
      <c r="R39" s="157">
        <v>0.0</v>
      </c>
      <c r="S39" s="157">
        <v>0.0</v>
      </c>
      <c r="T39" s="674" t="s">
        <v>356</v>
      </c>
      <c r="U39" s="674" t="s">
        <v>354</v>
      </c>
      <c r="V39" s="675" t="s">
        <v>356</v>
      </c>
      <c r="W39" s="675" t="s">
        <v>354</v>
      </c>
      <c r="X39" s="139" t="s">
        <v>356</v>
      </c>
      <c r="Y39" s="139" t="s">
        <v>354</v>
      </c>
      <c r="Z39" s="46">
        <f t="shared" si="1"/>
        <v>0</v>
      </c>
      <c r="AA39" s="265"/>
      <c r="AB39" s="265"/>
      <c r="AC39" s="265"/>
      <c r="AD39" s="265"/>
      <c r="AE39" s="80">
        <v>0.0</v>
      </c>
      <c r="AF39" s="80">
        <v>0.0</v>
      </c>
      <c r="AG39" s="80">
        <v>0.0</v>
      </c>
      <c r="AH39" s="80">
        <v>0.0</v>
      </c>
      <c r="AI39" s="80">
        <v>0.0</v>
      </c>
      <c r="AJ39" s="80">
        <v>0.0</v>
      </c>
      <c r="AK39" s="80">
        <v>0.0</v>
      </c>
      <c r="AL39" s="80">
        <v>0.0</v>
      </c>
      <c r="AM39" s="235">
        <f t="shared" si="2"/>
        <v>0</v>
      </c>
      <c r="AN39" s="235">
        <f t="shared" si="3"/>
        <v>0</v>
      </c>
    </row>
    <row r="40">
      <c r="A40" s="157">
        <v>39.0</v>
      </c>
      <c r="B40" s="673" t="s">
        <v>253</v>
      </c>
      <c r="C40" s="63" t="s">
        <v>881</v>
      </c>
      <c r="D40" s="482" t="s">
        <v>882</v>
      </c>
      <c r="E40" s="354">
        <v>40606.0</v>
      </c>
      <c r="F40" s="157" t="s">
        <v>354</v>
      </c>
      <c r="G40" s="157" t="s">
        <v>354</v>
      </c>
      <c r="H40" s="157" t="s">
        <v>354</v>
      </c>
      <c r="I40" s="157" t="s">
        <v>354</v>
      </c>
      <c r="J40" s="157" t="s">
        <v>354</v>
      </c>
      <c r="K40" s="157" t="s">
        <v>354</v>
      </c>
      <c r="L40" s="157" t="s">
        <v>354</v>
      </c>
      <c r="M40" s="157" t="s">
        <v>354</v>
      </c>
      <c r="N40" s="157" t="s">
        <v>354</v>
      </c>
      <c r="O40" s="157" t="s">
        <v>354</v>
      </c>
      <c r="P40" s="157">
        <v>0.0</v>
      </c>
      <c r="Q40" s="157">
        <v>0.0</v>
      </c>
      <c r="R40" s="157">
        <v>0.0</v>
      </c>
      <c r="S40" s="157">
        <v>0.0</v>
      </c>
      <c r="T40" s="674" t="s">
        <v>356</v>
      </c>
      <c r="U40" s="674" t="s">
        <v>354</v>
      </c>
      <c r="V40" s="675" t="s">
        <v>356</v>
      </c>
      <c r="W40" s="675" t="s">
        <v>354</v>
      </c>
      <c r="X40" s="139" t="s">
        <v>356</v>
      </c>
      <c r="Y40" s="139" t="s">
        <v>354</v>
      </c>
      <c r="Z40" s="46">
        <f t="shared" si="1"/>
        <v>0</v>
      </c>
      <c r="AA40" s="265"/>
      <c r="AB40" s="265"/>
      <c r="AC40" s="265"/>
      <c r="AD40" s="265"/>
      <c r="AE40" s="80">
        <v>0.0</v>
      </c>
      <c r="AF40" s="80">
        <v>0.0</v>
      </c>
      <c r="AG40" s="80">
        <v>0.0</v>
      </c>
      <c r="AH40" s="80">
        <v>0.0</v>
      </c>
      <c r="AI40" s="80">
        <v>0.0</v>
      </c>
      <c r="AJ40" s="80">
        <v>0.0</v>
      </c>
      <c r="AK40" s="80">
        <v>0.0</v>
      </c>
      <c r="AL40" s="80">
        <v>0.0</v>
      </c>
      <c r="AM40" s="235">
        <f t="shared" si="2"/>
        <v>0</v>
      </c>
      <c r="AN40" s="235">
        <f t="shared" si="3"/>
        <v>0</v>
      </c>
    </row>
    <row r="41">
      <c r="A41" s="157">
        <v>40.0</v>
      </c>
      <c r="B41" s="673" t="s">
        <v>113</v>
      </c>
      <c r="C41" s="676" t="s">
        <v>113</v>
      </c>
      <c r="D41" s="482" t="s">
        <v>541</v>
      </c>
      <c r="E41" s="354">
        <v>40606.0</v>
      </c>
      <c r="F41" s="157" t="s">
        <v>354</v>
      </c>
      <c r="G41" s="157" t="s">
        <v>354</v>
      </c>
      <c r="H41" s="157" t="s">
        <v>354</v>
      </c>
      <c r="I41" s="157" t="s">
        <v>354</v>
      </c>
      <c r="J41" s="157" t="s">
        <v>354</v>
      </c>
      <c r="K41" s="157" t="s">
        <v>354</v>
      </c>
      <c r="L41" s="157" t="s">
        <v>354</v>
      </c>
      <c r="M41" s="157" t="s">
        <v>354</v>
      </c>
      <c r="N41" s="157" t="s">
        <v>354</v>
      </c>
      <c r="O41" s="157" t="s">
        <v>354</v>
      </c>
      <c r="P41" s="157">
        <v>0.0</v>
      </c>
      <c r="Q41" s="157">
        <v>0.0</v>
      </c>
      <c r="R41" s="157">
        <v>0.0</v>
      </c>
      <c r="S41" s="157">
        <v>0.0</v>
      </c>
      <c r="T41" s="674" t="s">
        <v>356</v>
      </c>
      <c r="U41" s="674" t="s">
        <v>354</v>
      </c>
      <c r="V41" s="675" t="s">
        <v>356</v>
      </c>
      <c r="W41" s="675" t="s">
        <v>354</v>
      </c>
      <c r="X41" s="139" t="s">
        <v>356</v>
      </c>
      <c r="Y41" s="139" t="s">
        <v>354</v>
      </c>
      <c r="Z41" s="46">
        <f t="shared" si="1"/>
        <v>0</v>
      </c>
      <c r="AA41" s="265"/>
      <c r="AB41" s="265"/>
      <c r="AC41" s="265"/>
      <c r="AD41" s="265"/>
      <c r="AE41" s="80">
        <v>0.0</v>
      </c>
      <c r="AF41" s="80">
        <v>0.0</v>
      </c>
      <c r="AG41" s="80">
        <v>0.0</v>
      </c>
      <c r="AH41" s="80">
        <v>0.0</v>
      </c>
      <c r="AI41" s="80">
        <v>0.0</v>
      </c>
      <c r="AJ41" s="80">
        <v>0.0</v>
      </c>
      <c r="AK41" s="80">
        <v>0.0</v>
      </c>
      <c r="AL41" s="80">
        <v>0.0</v>
      </c>
      <c r="AM41" s="235">
        <f t="shared" si="2"/>
        <v>0</v>
      </c>
      <c r="AN41" s="235">
        <f t="shared" si="3"/>
        <v>0</v>
      </c>
    </row>
    <row r="42">
      <c r="A42" s="157">
        <v>41.0</v>
      </c>
      <c r="B42" s="673" t="s">
        <v>593</v>
      </c>
      <c r="C42" s="63" t="s">
        <v>587</v>
      </c>
      <c r="D42" s="482" t="s">
        <v>588</v>
      </c>
      <c r="E42" s="354">
        <v>40606.0</v>
      </c>
      <c r="F42" s="157" t="s">
        <v>354</v>
      </c>
      <c r="G42" s="157" t="s">
        <v>354</v>
      </c>
      <c r="H42" s="157" t="s">
        <v>354</v>
      </c>
      <c r="I42" s="157" t="s">
        <v>354</v>
      </c>
      <c r="J42" s="157" t="s">
        <v>354</v>
      </c>
      <c r="K42" s="157" t="s">
        <v>354</v>
      </c>
      <c r="L42" s="157" t="s">
        <v>354</v>
      </c>
      <c r="M42" s="157" t="s">
        <v>354</v>
      </c>
      <c r="N42" s="157" t="s">
        <v>354</v>
      </c>
      <c r="O42" s="157" t="s">
        <v>354</v>
      </c>
      <c r="P42" s="157">
        <v>0.0</v>
      </c>
      <c r="Q42" s="157">
        <v>0.0</v>
      </c>
      <c r="R42" s="157">
        <v>0.0</v>
      </c>
      <c r="S42" s="157">
        <v>0.0</v>
      </c>
      <c r="T42" s="674" t="s">
        <v>356</v>
      </c>
      <c r="U42" s="674" t="s">
        <v>354</v>
      </c>
      <c r="V42" s="675" t="s">
        <v>356</v>
      </c>
      <c r="W42" s="675" t="s">
        <v>354</v>
      </c>
      <c r="X42" s="139" t="s">
        <v>356</v>
      </c>
      <c r="Y42" s="139" t="s">
        <v>354</v>
      </c>
      <c r="Z42" s="46">
        <f t="shared" si="1"/>
        <v>0</v>
      </c>
      <c r="AA42" s="265"/>
      <c r="AB42" s="265"/>
      <c r="AC42" s="265"/>
      <c r="AD42" s="265"/>
      <c r="AE42" s="80">
        <v>0.0</v>
      </c>
      <c r="AF42" s="80">
        <v>0.0</v>
      </c>
      <c r="AG42" s="80">
        <v>0.0</v>
      </c>
      <c r="AH42" s="80">
        <v>0.0</v>
      </c>
      <c r="AI42" s="80">
        <v>0.0</v>
      </c>
      <c r="AJ42" s="80">
        <v>0.0</v>
      </c>
      <c r="AK42" s="80">
        <v>0.0</v>
      </c>
      <c r="AL42" s="80">
        <v>0.0</v>
      </c>
      <c r="AM42" s="235">
        <f t="shared" si="2"/>
        <v>0</v>
      </c>
      <c r="AN42" s="235">
        <f t="shared" si="3"/>
        <v>0</v>
      </c>
    </row>
    <row r="43">
      <c r="A43" s="157">
        <v>42.0</v>
      </c>
      <c r="B43" s="673" t="s">
        <v>262</v>
      </c>
      <c r="C43" s="63" t="s">
        <v>899</v>
      </c>
      <c r="D43" s="482" t="s">
        <v>900</v>
      </c>
      <c r="E43" s="354">
        <v>40606.0</v>
      </c>
      <c r="F43" s="157" t="s">
        <v>354</v>
      </c>
      <c r="G43" s="157" t="s">
        <v>354</v>
      </c>
      <c r="H43" s="157" t="s">
        <v>354</v>
      </c>
      <c r="I43" s="157" t="s">
        <v>354</v>
      </c>
      <c r="J43" s="157" t="s">
        <v>354</v>
      </c>
      <c r="K43" s="157" t="s">
        <v>354</v>
      </c>
      <c r="L43" s="157" t="s">
        <v>354</v>
      </c>
      <c r="M43" s="157" t="s">
        <v>354</v>
      </c>
      <c r="N43" s="157" t="s">
        <v>354</v>
      </c>
      <c r="O43" s="157" t="s">
        <v>354</v>
      </c>
      <c r="P43" s="157">
        <v>0.0</v>
      </c>
      <c r="Q43" s="157">
        <v>0.0</v>
      </c>
      <c r="R43" s="157">
        <v>0.0</v>
      </c>
      <c r="S43" s="157">
        <v>0.0</v>
      </c>
      <c r="T43" s="674" t="s">
        <v>356</v>
      </c>
      <c r="U43" s="674" t="s">
        <v>354</v>
      </c>
      <c r="V43" s="675" t="s">
        <v>356</v>
      </c>
      <c r="W43" s="675" t="s">
        <v>354</v>
      </c>
      <c r="X43" s="139" t="s">
        <v>356</v>
      </c>
      <c r="Y43" s="139" t="s">
        <v>354</v>
      </c>
      <c r="Z43" s="46">
        <f t="shared" si="1"/>
        <v>0</v>
      </c>
      <c r="AA43" s="265"/>
      <c r="AB43" s="265"/>
      <c r="AC43" s="265"/>
      <c r="AD43" s="265"/>
      <c r="AE43" s="80">
        <v>0.0</v>
      </c>
      <c r="AF43" s="80">
        <v>0.0</v>
      </c>
      <c r="AG43" s="80">
        <v>0.0</v>
      </c>
      <c r="AH43" s="80">
        <v>0.0</v>
      </c>
      <c r="AI43" s="80">
        <v>0.0</v>
      </c>
      <c r="AJ43" s="80">
        <v>0.0</v>
      </c>
      <c r="AK43" s="80">
        <v>0.0</v>
      </c>
      <c r="AL43" s="80">
        <v>0.0</v>
      </c>
      <c r="AM43" s="235">
        <f t="shared" si="2"/>
        <v>0</v>
      </c>
      <c r="AN43" s="235">
        <f t="shared" si="3"/>
        <v>0</v>
      </c>
    </row>
    <row r="44">
      <c r="A44" s="157">
        <v>43.0</v>
      </c>
      <c r="B44" s="673" t="s">
        <v>204</v>
      </c>
      <c r="C44" s="676" t="s">
        <v>204</v>
      </c>
      <c r="D44" s="482" t="s">
        <v>725</v>
      </c>
      <c r="E44" s="354">
        <v>40606.0</v>
      </c>
      <c r="F44" s="157" t="s">
        <v>354</v>
      </c>
      <c r="G44" s="157" t="s">
        <v>354</v>
      </c>
      <c r="H44" s="157" t="s">
        <v>354</v>
      </c>
      <c r="I44" s="157" t="s">
        <v>354</v>
      </c>
      <c r="J44" s="157" t="s">
        <v>354</v>
      </c>
      <c r="K44" s="157" t="s">
        <v>354</v>
      </c>
      <c r="L44" s="157" t="s">
        <v>354</v>
      </c>
      <c r="M44" s="157" t="s">
        <v>354</v>
      </c>
      <c r="N44" s="157" t="s">
        <v>354</v>
      </c>
      <c r="O44" s="157" t="s">
        <v>354</v>
      </c>
      <c r="P44" s="157">
        <v>0.0</v>
      </c>
      <c r="Q44" s="157">
        <v>0.0</v>
      </c>
      <c r="R44" s="157">
        <v>0.0</v>
      </c>
      <c r="S44" s="157">
        <v>0.0</v>
      </c>
      <c r="T44" s="674" t="s">
        <v>356</v>
      </c>
      <c r="U44" s="674" t="s">
        <v>354</v>
      </c>
      <c r="V44" s="675" t="s">
        <v>356</v>
      </c>
      <c r="W44" s="675" t="s">
        <v>354</v>
      </c>
      <c r="X44" s="139" t="s">
        <v>356</v>
      </c>
      <c r="Y44" s="139" t="s">
        <v>354</v>
      </c>
      <c r="Z44" s="46">
        <f t="shared" si="1"/>
        <v>0</v>
      </c>
      <c r="AA44" s="265"/>
      <c r="AB44" s="265"/>
      <c r="AC44" s="265"/>
      <c r="AD44" s="265"/>
      <c r="AE44" s="80">
        <v>0.0</v>
      </c>
      <c r="AF44" s="80">
        <v>0.0</v>
      </c>
      <c r="AG44" s="80">
        <v>0.0</v>
      </c>
      <c r="AH44" s="80">
        <v>0.0</v>
      </c>
      <c r="AI44" s="80">
        <v>0.0</v>
      </c>
      <c r="AJ44" s="80">
        <v>0.0</v>
      </c>
      <c r="AK44" s="80">
        <v>0.0</v>
      </c>
      <c r="AL44" s="80">
        <v>0.0</v>
      </c>
      <c r="AM44" s="235">
        <f t="shared" si="2"/>
        <v>0</v>
      </c>
      <c r="AN44" s="235">
        <f t="shared" si="3"/>
        <v>0</v>
      </c>
    </row>
    <row r="45">
      <c r="A45" s="157">
        <v>44.0</v>
      </c>
      <c r="B45" s="673" t="s">
        <v>92</v>
      </c>
      <c r="C45" s="676" t="s">
        <v>88</v>
      </c>
      <c r="D45" s="482" t="s">
        <v>499</v>
      </c>
      <c r="E45" s="354">
        <v>40606.0</v>
      </c>
      <c r="F45" s="157" t="s">
        <v>354</v>
      </c>
      <c r="G45" s="157" t="s">
        <v>354</v>
      </c>
      <c r="H45" s="157" t="s">
        <v>354</v>
      </c>
      <c r="I45" s="157" t="s">
        <v>354</v>
      </c>
      <c r="J45" s="157" t="s">
        <v>354</v>
      </c>
      <c r="K45" s="157" t="s">
        <v>354</v>
      </c>
      <c r="L45" s="157" t="s">
        <v>354</v>
      </c>
      <c r="M45" s="157" t="s">
        <v>354</v>
      </c>
      <c r="N45" s="157" t="s">
        <v>354</v>
      </c>
      <c r="O45" s="157" t="s">
        <v>354</v>
      </c>
      <c r="P45" s="157">
        <v>0.0</v>
      </c>
      <c r="Q45" s="157">
        <v>0.0</v>
      </c>
      <c r="R45" s="157">
        <v>0.0</v>
      </c>
      <c r="S45" s="157">
        <v>0.0</v>
      </c>
      <c r="T45" s="674" t="s">
        <v>356</v>
      </c>
      <c r="U45" s="674" t="s">
        <v>354</v>
      </c>
      <c r="V45" s="675" t="s">
        <v>356</v>
      </c>
      <c r="W45" s="675" t="s">
        <v>354</v>
      </c>
      <c r="X45" s="139" t="s">
        <v>356</v>
      </c>
      <c r="Y45" s="139" t="s">
        <v>354</v>
      </c>
      <c r="Z45" s="46">
        <f t="shared" si="1"/>
        <v>0</v>
      </c>
      <c r="AA45" s="265"/>
      <c r="AB45" s="265"/>
      <c r="AC45" s="265"/>
      <c r="AD45" s="265"/>
      <c r="AE45" s="80">
        <v>0.0</v>
      </c>
      <c r="AF45" s="80">
        <v>0.0</v>
      </c>
      <c r="AG45" s="80">
        <v>0.0</v>
      </c>
      <c r="AH45" s="80">
        <v>0.0</v>
      </c>
      <c r="AI45" s="80">
        <v>0.0</v>
      </c>
      <c r="AJ45" s="80">
        <v>0.0</v>
      </c>
      <c r="AK45" s="80">
        <v>0.0</v>
      </c>
      <c r="AL45" s="80">
        <v>0.0</v>
      </c>
      <c r="AM45" s="235">
        <f t="shared" si="2"/>
        <v>0</v>
      </c>
      <c r="AN45" s="235">
        <f t="shared" si="3"/>
        <v>0</v>
      </c>
    </row>
    <row r="46">
      <c r="A46" s="157">
        <v>45.0</v>
      </c>
      <c r="B46" s="673" t="s">
        <v>265</v>
      </c>
      <c r="C46" s="63" t="s">
        <v>906</v>
      </c>
      <c r="D46" s="482" t="s">
        <v>907</v>
      </c>
      <c r="E46" s="354">
        <v>40606.0</v>
      </c>
      <c r="F46" s="157" t="s">
        <v>354</v>
      </c>
      <c r="G46" s="157" t="s">
        <v>354</v>
      </c>
      <c r="H46" s="157" t="s">
        <v>354</v>
      </c>
      <c r="I46" s="157" t="s">
        <v>354</v>
      </c>
      <c r="J46" s="157" t="s">
        <v>354</v>
      </c>
      <c r="K46" s="157" t="s">
        <v>354</v>
      </c>
      <c r="L46" s="157" t="s">
        <v>354</v>
      </c>
      <c r="M46" s="157" t="s">
        <v>354</v>
      </c>
      <c r="N46" s="157" t="s">
        <v>354</v>
      </c>
      <c r="O46" s="157" t="s">
        <v>354</v>
      </c>
      <c r="P46" s="157">
        <v>0.0</v>
      </c>
      <c r="Q46" s="157">
        <v>0.0</v>
      </c>
      <c r="R46" s="157">
        <v>0.0</v>
      </c>
      <c r="S46" s="157">
        <v>0.0</v>
      </c>
      <c r="T46" s="674" t="s">
        <v>356</v>
      </c>
      <c r="U46" s="674" t="s">
        <v>354</v>
      </c>
      <c r="V46" s="675" t="s">
        <v>356</v>
      </c>
      <c r="W46" s="675" t="s">
        <v>354</v>
      </c>
      <c r="X46" s="139" t="s">
        <v>356</v>
      </c>
      <c r="Y46" s="139" t="s">
        <v>354</v>
      </c>
      <c r="Z46" s="46">
        <f t="shared" si="1"/>
        <v>0</v>
      </c>
      <c r="AA46" s="265"/>
      <c r="AB46" s="265"/>
      <c r="AC46" s="265"/>
      <c r="AD46" s="265"/>
      <c r="AE46" s="80">
        <v>0.0</v>
      </c>
      <c r="AF46" s="80">
        <v>0.0</v>
      </c>
      <c r="AG46" s="80">
        <v>0.0</v>
      </c>
      <c r="AH46" s="80">
        <v>0.0</v>
      </c>
      <c r="AI46" s="80">
        <v>0.0</v>
      </c>
      <c r="AJ46" s="80">
        <v>0.0</v>
      </c>
      <c r="AK46" s="80">
        <v>0.0</v>
      </c>
      <c r="AL46" s="80">
        <v>0.0</v>
      </c>
      <c r="AM46" s="235">
        <f t="shared" si="2"/>
        <v>0</v>
      </c>
      <c r="AN46" s="235">
        <f t="shared" si="3"/>
        <v>0</v>
      </c>
    </row>
    <row r="47">
      <c r="A47" s="157">
        <v>46.0</v>
      </c>
      <c r="B47" s="673" t="s">
        <v>84</v>
      </c>
      <c r="C47" s="676" t="s">
        <v>84</v>
      </c>
      <c r="D47" s="482" t="s">
        <v>474</v>
      </c>
      <c r="E47" s="354">
        <v>40606.0</v>
      </c>
      <c r="F47" s="157" t="s">
        <v>354</v>
      </c>
      <c r="G47" s="157" t="s">
        <v>354</v>
      </c>
      <c r="H47" s="157" t="s">
        <v>354</v>
      </c>
      <c r="I47" s="157" t="s">
        <v>354</v>
      </c>
      <c r="J47" s="157" t="s">
        <v>354</v>
      </c>
      <c r="K47" s="157" t="s">
        <v>354</v>
      </c>
      <c r="L47" s="157" t="s">
        <v>354</v>
      </c>
      <c r="M47" s="157" t="s">
        <v>354</v>
      </c>
      <c r="N47" s="157" t="s">
        <v>354</v>
      </c>
      <c r="O47" s="157" t="s">
        <v>354</v>
      </c>
      <c r="P47" s="157">
        <v>0.0</v>
      </c>
      <c r="Q47" s="157">
        <v>0.0</v>
      </c>
      <c r="R47" s="157">
        <v>0.0</v>
      </c>
      <c r="S47" s="157">
        <v>0.0</v>
      </c>
      <c r="T47" s="674" t="s">
        <v>356</v>
      </c>
      <c r="U47" s="674" t="s">
        <v>354</v>
      </c>
      <c r="V47" s="675" t="s">
        <v>356</v>
      </c>
      <c r="W47" s="675" t="s">
        <v>354</v>
      </c>
      <c r="X47" s="139" t="s">
        <v>356</v>
      </c>
      <c r="Y47" s="139" t="s">
        <v>354</v>
      </c>
      <c r="Z47" s="46">
        <f t="shared" si="1"/>
        <v>0</v>
      </c>
      <c r="AA47" s="265"/>
      <c r="AB47" s="265"/>
      <c r="AC47" s="265"/>
      <c r="AD47" s="265"/>
      <c r="AE47" s="80">
        <v>0.0</v>
      </c>
      <c r="AF47" s="80">
        <v>0.0</v>
      </c>
      <c r="AG47" s="80">
        <v>0.0</v>
      </c>
      <c r="AH47" s="80">
        <v>0.0</v>
      </c>
      <c r="AI47" s="80">
        <v>0.0</v>
      </c>
      <c r="AJ47" s="80">
        <v>0.0</v>
      </c>
      <c r="AK47" s="80">
        <v>0.0</v>
      </c>
      <c r="AL47" s="80">
        <v>0.0</v>
      </c>
      <c r="AM47" s="235">
        <f t="shared" si="2"/>
        <v>0</v>
      </c>
      <c r="AN47" s="235">
        <f t="shared" si="3"/>
        <v>0</v>
      </c>
    </row>
    <row r="48">
      <c r="A48" s="157">
        <v>47.0</v>
      </c>
      <c r="B48" s="673" t="s">
        <v>671</v>
      </c>
      <c r="C48" s="63" t="s">
        <v>666</v>
      </c>
      <c r="D48" s="482" t="s">
        <v>667</v>
      </c>
      <c r="E48" s="354">
        <v>40606.0</v>
      </c>
      <c r="F48" s="157" t="s">
        <v>354</v>
      </c>
      <c r="G48" s="157" t="s">
        <v>354</v>
      </c>
      <c r="H48" s="157" t="s">
        <v>354</v>
      </c>
      <c r="I48" s="157" t="s">
        <v>354</v>
      </c>
      <c r="J48" s="157" t="s">
        <v>354</v>
      </c>
      <c r="K48" s="157" t="s">
        <v>354</v>
      </c>
      <c r="L48" s="157" t="s">
        <v>354</v>
      </c>
      <c r="M48" s="157" t="s">
        <v>354</v>
      </c>
      <c r="N48" s="157" t="s">
        <v>354</v>
      </c>
      <c r="O48" s="157" t="s">
        <v>354</v>
      </c>
      <c r="P48" s="157">
        <v>0.0</v>
      </c>
      <c r="Q48" s="157">
        <v>0.0</v>
      </c>
      <c r="R48" s="157">
        <v>0.0</v>
      </c>
      <c r="S48" s="157">
        <v>0.0</v>
      </c>
      <c r="T48" s="674" t="s">
        <v>356</v>
      </c>
      <c r="U48" s="674" t="s">
        <v>354</v>
      </c>
      <c r="V48" s="675" t="s">
        <v>356</v>
      </c>
      <c r="W48" s="675" t="s">
        <v>354</v>
      </c>
      <c r="X48" s="139" t="s">
        <v>356</v>
      </c>
      <c r="Y48" s="139" t="s">
        <v>354</v>
      </c>
      <c r="Z48" s="46">
        <f t="shared" si="1"/>
        <v>0</v>
      </c>
      <c r="AA48" s="265"/>
      <c r="AB48" s="265"/>
      <c r="AC48" s="265"/>
      <c r="AD48" s="265"/>
      <c r="AE48" s="80">
        <v>0.0</v>
      </c>
      <c r="AF48" s="80">
        <v>0.0</v>
      </c>
      <c r="AG48" s="80">
        <v>0.0</v>
      </c>
      <c r="AH48" s="80">
        <v>0.0</v>
      </c>
      <c r="AI48" s="80">
        <v>0.0</v>
      </c>
      <c r="AJ48" s="80">
        <v>0.0</v>
      </c>
      <c r="AK48" s="80">
        <v>0.0</v>
      </c>
      <c r="AL48" s="80">
        <v>0.0</v>
      </c>
      <c r="AM48" s="235">
        <f t="shared" si="2"/>
        <v>0</v>
      </c>
      <c r="AN48" s="235">
        <f t="shared" si="3"/>
        <v>0</v>
      </c>
    </row>
    <row r="49">
      <c r="A49" s="157">
        <v>48.0</v>
      </c>
      <c r="B49" s="673" t="s">
        <v>75</v>
      </c>
      <c r="C49" s="676" t="s">
        <v>71</v>
      </c>
      <c r="D49" s="482" t="s">
        <v>459</v>
      </c>
      <c r="E49" s="354">
        <v>40606.0</v>
      </c>
      <c r="F49" s="157" t="s">
        <v>354</v>
      </c>
      <c r="G49" s="157" t="s">
        <v>354</v>
      </c>
      <c r="H49" s="157" t="s">
        <v>354</v>
      </c>
      <c r="I49" s="157" t="s">
        <v>354</v>
      </c>
      <c r="J49" s="157" t="s">
        <v>354</v>
      </c>
      <c r="K49" s="157" t="s">
        <v>354</v>
      </c>
      <c r="L49" s="157" t="s">
        <v>354</v>
      </c>
      <c r="M49" s="157" t="s">
        <v>354</v>
      </c>
      <c r="N49" s="157" t="s">
        <v>354</v>
      </c>
      <c r="O49" s="157" t="s">
        <v>354</v>
      </c>
      <c r="P49" s="157">
        <v>0.0</v>
      </c>
      <c r="Q49" s="157">
        <v>0.0</v>
      </c>
      <c r="R49" s="157">
        <v>0.0</v>
      </c>
      <c r="S49" s="157">
        <v>0.0</v>
      </c>
      <c r="T49" s="674" t="s">
        <v>356</v>
      </c>
      <c r="U49" s="674" t="s">
        <v>354</v>
      </c>
      <c r="V49" s="675" t="s">
        <v>356</v>
      </c>
      <c r="W49" s="675" t="s">
        <v>354</v>
      </c>
      <c r="X49" s="139" t="s">
        <v>356</v>
      </c>
      <c r="Y49" s="139" t="s">
        <v>354</v>
      </c>
      <c r="Z49" s="46">
        <f t="shared" si="1"/>
        <v>0</v>
      </c>
      <c r="AA49" s="265"/>
      <c r="AB49" s="265"/>
      <c r="AC49" s="265"/>
      <c r="AD49" s="265"/>
      <c r="AE49" s="80">
        <v>0.0</v>
      </c>
      <c r="AF49" s="80">
        <v>0.0</v>
      </c>
      <c r="AG49" s="80">
        <v>0.0</v>
      </c>
      <c r="AH49" s="80">
        <v>0.0</v>
      </c>
      <c r="AI49" s="80">
        <v>0.0</v>
      </c>
      <c r="AJ49" s="80">
        <v>0.0</v>
      </c>
      <c r="AK49" s="80">
        <v>0.0</v>
      </c>
      <c r="AL49" s="80">
        <v>0.0</v>
      </c>
      <c r="AM49" s="235">
        <f t="shared" si="2"/>
        <v>0</v>
      </c>
      <c r="AN49" s="235">
        <f t="shared" si="3"/>
        <v>0</v>
      </c>
    </row>
    <row r="50">
      <c r="A50" s="157">
        <v>49.0</v>
      </c>
      <c r="B50" s="673" t="s">
        <v>820</v>
      </c>
      <c r="C50" s="63" t="s">
        <v>816</v>
      </c>
      <c r="D50" s="482" t="s">
        <v>817</v>
      </c>
      <c r="E50" s="354">
        <v>40606.0</v>
      </c>
      <c r="F50" s="157" t="s">
        <v>354</v>
      </c>
      <c r="G50" s="157" t="s">
        <v>354</v>
      </c>
      <c r="H50" s="157" t="s">
        <v>354</v>
      </c>
      <c r="I50" s="157" t="s">
        <v>354</v>
      </c>
      <c r="J50" s="157" t="s">
        <v>354</v>
      </c>
      <c r="K50" s="157" t="s">
        <v>354</v>
      </c>
      <c r="L50" s="157" t="s">
        <v>354</v>
      </c>
      <c r="M50" s="157" t="s">
        <v>354</v>
      </c>
      <c r="N50" s="157" t="s">
        <v>354</v>
      </c>
      <c r="O50" s="157" t="s">
        <v>354</v>
      </c>
      <c r="P50" s="157">
        <v>0.0</v>
      </c>
      <c r="Q50" s="157">
        <v>0.0</v>
      </c>
      <c r="R50" s="157">
        <v>0.0</v>
      </c>
      <c r="S50" s="157">
        <v>0.0</v>
      </c>
      <c r="T50" s="674" t="s">
        <v>356</v>
      </c>
      <c r="U50" s="674" t="s">
        <v>354</v>
      </c>
      <c r="V50" s="675" t="s">
        <v>356</v>
      </c>
      <c r="W50" s="675" t="s">
        <v>354</v>
      </c>
      <c r="X50" s="139" t="s">
        <v>356</v>
      </c>
      <c r="Y50" s="139" t="s">
        <v>354</v>
      </c>
      <c r="Z50" s="46">
        <f t="shared" si="1"/>
        <v>0</v>
      </c>
      <c r="AA50" s="265"/>
      <c r="AB50" s="265"/>
      <c r="AC50" s="265"/>
      <c r="AD50" s="265"/>
      <c r="AE50" s="80">
        <v>0.0</v>
      </c>
      <c r="AF50" s="80">
        <v>0.0</v>
      </c>
      <c r="AG50" s="80">
        <v>0.0</v>
      </c>
      <c r="AH50" s="80">
        <v>0.0</v>
      </c>
      <c r="AI50" s="80">
        <v>0.0</v>
      </c>
      <c r="AJ50" s="80">
        <v>0.0</v>
      </c>
      <c r="AK50" s="80">
        <v>0.0</v>
      </c>
      <c r="AL50" s="80">
        <v>0.0</v>
      </c>
      <c r="AM50" s="235">
        <f t="shared" si="2"/>
        <v>0</v>
      </c>
      <c r="AN50" s="235">
        <f t="shared" si="3"/>
        <v>0</v>
      </c>
    </row>
    <row r="51">
      <c r="A51" s="157">
        <v>50.0</v>
      </c>
      <c r="B51" s="673" t="s">
        <v>141</v>
      </c>
      <c r="C51" s="676" t="s">
        <v>141</v>
      </c>
      <c r="D51" s="482" t="s">
        <v>609</v>
      </c>
      <c r="E51" s="354">
        <v>40606.0</v>
      </c>
      <c r="F51" s="157" t="s">
        <v>354</v>
      </c>
      <c r="G51" s="157" t="s">
        <v>354</v>
      </c>
      <c r="H51" s="157" t="s">
        <v>354</v>
      </c>
      <c r="I51" s="157" t="s">
        <v>354</v>
      </c>
      <c r="J51" s="157" t="s">
        <v>354</v>
      </c>
      <c r="K51" s="157" t="s">
        <v>354</v>
      </c>
      <c r="L51" s="157" t="s">
        <v>354</v>
      </c>
      <c r="M51" s="157" t="s">
        <v>354</v>
      </c>
      <c r="N51" s="157" t="s">
        <v>354</v>
      </c>
      <c r="O51" s="157" t="s">
        <v>354</v>
      </c>
      <c r="P51" s="157">
        <v>0.0</v>
      </c>
      <c r="Q51" s="157">
        <v>0.0</v>
      </c>
      <c r="R51" s="157">
        <v>0.0</v>
      </c>
      <c r="S51" s="157">
        <v>0.0</v>
      </c>
      <c r="T51" s="674" t="s">
        <v>356</v>
      </c>
      <c r="U51" s="674" t="s">
        <v>354</v>
      </c>
      <c r="V51" s="675" t="s">
        <v>356</v>
      </c>
      <c r="W51" s="675" t="s">
        <v>354</v>
      </c>
      <c r="X51" s="139" t="s">
        <v>356</v>
      </c>
      <c r="Y51" s="139" t="s">
        <v>354</v>
      </c>
      <c r="Z51" s="46">
        <f t="shared" si="1"/>
        <v>0</v>
      </c>
      <c r="AA51" s="265"/>
      <c r="AB51" s="265"/>
      <c r="AC51" s="265"/>
      <c r="AD51" s="265"/>
      <c r="AE51" s="80">
        <v>0.0</v>
      </c>
      <c r="AF51" s="80">
        <v>0.0</v>
      </c>
      <c r="AG51" s="80">
        <v>0.0</v>
      </c>
      <c r="AH51" s="80">
        <v>0.0</v>
      </c>
      <c r="AI51" s="80">
        <v>0.0</v>
      </c>
      <c r="AJ51" s="80">
        <v>0.0</v>
      </c>
      <c r="AK51" s="80">
        <v>0.0</v>
      </c>
      <c r="AL51" s="80">
        <v>0.0</v>
      </c>
      <c r="AM51" s="235">
        <f t="shared" si="2"/>
        <v>0</v>
      </c>
      <c r="AN51" s="235">
        <f t="shared" si="3"/>
        <v>0</v>
      </c>
    </row>
    <row r="52">
      <c r="A52" s="157">
        <v>51.0</v>
      </c>
      <c r="B52" s="673" t="s">
        <v>210</v>
      </c>
      <c r="C52" s="676" t="s">
        <v>210</v>
      </c>
      <c r="D52" s="482" t="s">
        <v>748</v>
      </c>
      <c r="E52" s="354">
        <v>40606.0</v>
      </c>
      <c r="F52" s="157" t="s">
        <v>354</v>
      </c>
      <c r="G52" s="157" t="s">
        <v>354</v>
      </c>
      <c r="H52" s="157" t="s">
        <v>354</v>
      </c>
      <c r="I52" s="157" t="s">
        <v>354</v>
      </c>
      <c r="J52" s="157" t="s">
        <v>354</v>
      </c>
      <c r="K52" s="157" t="s">
        <v>354</v>
      </c>
      <c r="L52" s="157" t="s">
        <v>354</v>
      </c>
      <c r="M52" s="157" t="s">
        <v>354</v>
      </c>
      <c r="N52" s="157" t="s">
        <v>354</v>
      </c>
      <c r="O52" s="157" t="s">
        <v>354</v>
      </c>
      <c r="P52" s="157">
        <v>0.0</v>
      </c>
      <c r="Q52" s="157">
        <v>0.0</v>
      </c>
      <c r="R52" s="157">
        <v>0.0</v>
      </c>
      <c r="S52" s="157">
        <v>0.0</v>
      </c>
      <c r="T52" s="674" t="s">
        <v>356</v>
      </c>
      <c r="U52" s="674" t="s">
        <v>354</v>
      </c>
      <c r="V52" s="675" t="s">
        <v>356</v>
      </c>
      <c r="W52" s="675" t="s">
        <v>354</v>
      </c>
      <c r="X52" s="387" t="s">
        <v>361</v>
      </c>
      <c r="Y52" s="387" t="s">
        <v>361</v>
      </c>
      <c r="Z52" s="46">
        <f t="shared" si="1"/>
        <v>0</v>
      </c>
      <c r="AA52" s="265"/>
      <c r="AB52" s="265"/>
      <c r="AC52" s="265"/>
      <c r="AD52" s="265"/>
      <c r="AE52" s="80">
        <v>0.0</v>
      </c>
      <c r="AF52" s="80">
        <v>0.0</v>
      </c>
      <c r="AG52" s="80">
        <v>0.0</v>
      </c>
      <c r="AH52" s="80">
        <v>0.0</v>
      </c>
      <c r="AI52" s="80">
        <v>0.0</v>
      </c>
      <c r="AJ52" s="80">
        <v>0.0</v>
      </c>
      <c r="AK52" s="80">
        <v>0.0</v>
      </c>
      <c r="AL52" s="80">
        <v>0.0</v>
      </c>
      <c r="AM52" s="235">
        <f t="shared" si="2"/>
        <v>0</v>
      </c>
      <c r="AN52" s="235">
        <f t="shared" si="3"/>
        <v>0</v>
      </c>
    </row>
    <row r="53">
      <c r="A53" s="157">
        <v>52.0</v>
      </c>
      <c r="B53" s="673" t="s">
        <v>132</v>
      </c>
      <c r="C53" s="63" t="s">
        <v>1425</v>
      </c>
      <c r="D53" s="482" t="s">
        <v>1676</v>
      </c>
      <c r="E53" s="354">
        <v>40606.0</v>
      </c>
      <c r="F53" s="157" t="s">
        <v>354</v>
      </c>
      <c r="G53" s="157" t="s">
        <v>354</v>
      </c>
      <c r="H53" s="157" t="s">
        <v>354</v>
      </c>
      <c r="I53" s="157" t="s">
        <v>354</v>
      </c>
      <c r="J53" s="157" t="s">
        <v>354</v>
      </c>
      <c r="K53" s="157" t="s">
        <v>354</v>
      </c>
      <c r="L53" s="157" t="s">
        <v>354</v>
      </c>
      <c r="M53" s="157" t="s">
        <v>354</v>
      </c>
      <c r="N53" s="157" t="s">
        <v>354</v>
      </c>
      <c r="O53" s="157" t="s">
        <v>354</v>
      </c>
      <c r="P53" s="157">
        <v>0.0</v>
      </c>
      <c r="Q53" s="157">
        <v>0.0</v>
      </c>
      <c r="R53" s="157">
        <v>0.0</v>
      </c>
      <c r="S53" s="157">
        <v>0.0</v>
      </c>
      <c r="T53" s="674" t="s">
        <v>356</v>
      </c>
      <c r="U53" s="674" t="s">
        <v>354</v>
      </c>
      <c r="V53" s="675" t="s">
        <v>356</v>
      </c>
      <c r="W53" s="675" t="s">
        <v>354</v>
      </c>
      <c r="X53" s="139" t="s">
        <v>356</v>
      </c>
      <c r="Y53" s="139" t="s">
        <v>354</v>
      </c>
      <c r="Z53" s="46">
        <f t="shared" si="1"/>
        <v>0</v>
      </c>
      <c r="AA53" s="265"/>
      <c r="AB53" s="265"/>
      <c r="AC53" s="265"/>
      <c r="AD53" s="265"/>
      <c r="AE53" s="80">
        <v>0.0</v>
      </c>
      <c r="AF53" s="80">
        <v>0.0</v>
      </c>
      <c r="AG53" s="80">
        <v>0.0</v>
      </c>
      <c r="AH53" s="80">
        <v>0.0</v>
      </c>
      <c r="AI53" s="80">
        <v>0.0</v>
      </c>
      <c r="AJ53" s="80">
        <v>0.0</v>
      </c>
      <c r="AK53" s="80">
        <v>0.0</v>
      </c>
      <c r="AL53" s="80">
        <v>0.0</v>
      </c>
      <c r="AM53" s="235">
        <f t="shared" si="2"/>
        <v>0</v>
      </c>
      <c r="AN53" s="235">
        <f t="shared" si="3"/>
        <v>0</v>
      </c>
    </row>
    <row r="54">
      <c r="A54" s="157">
        <v>53.0</v>
      </c>
      <c r="B54" s="673" t="s">
        <v>260</v>
      </c>
      <c r="C54" s="63" t="s">
        <v>888</v>
      </c>
      <c r="D54" s="482" t="s">
        <v>889</v>
      </c>
      <c r="E54" s="354">
        <v>40606.0</v>
      </c>
      <c r="F54" s="157" t="s">
        <v>354</v>
      </c>
      <c r="G54" s="157" t="s">
        <v>354</v>
      </c>
      <c r="H54" s="157" t="s">
        <v>354</v>
      </c>
      <c r="I54" s="157" t="s">
        <v>354</v>
      </c>
      <c r="J54" s="157" t="s">
        <v>354</v>
      </c>
      <c r="K54" s="157" t="s">
        <v>354</v>
      </c>
      <c r="L54" s="157" t="s">
        <v>354</v>
      </c>
      <c r="M54" s="157" t="s">
        <v>354</v>
      </c>
      <c r="N54" s="157" t="s">
        <v>354</v>
      </c>
      <c r="O54" s="157" t="s">
        <v>354</v>
      </c>
      <c r="P54" s="157">
        <v>0.0</v>
      </c>
      <c r="Q54" s="157">
        <v>0.0</v>
      </c>
      <c r="R54" s="157">
        <v>0.0</v>
      </c>
      <c r="S54" s="157">
        <v>0.0</v>
      </c>
      <c r="T54" s="674" t="s">
        <v>356</v>
      </c>
      <c r="U54" s="674" t="s">
        <v>354</v>
      </c>
      <c r="V54" s="675" t="s">
        <v>356</v>
      </c>
      <c r="W54" s="675" t="s">
        <v>354</v>
      </c>
      <c r="X54" s="139" t="s">
        <v>356</v>
      </c>
      <c r="Y54" s="139" t="s">
        <v>354</v>
      </c>
      <c r="Z54" s="46">
        <f t="shared" si="1"/>
        <v>0</v>
      </c>
      <c r="AA54" s="265"/>
      <c r="AB54" s="265"/>
      <c r="AC54" s="265"/>
      <c r="AD54" s="265"/>
      <c r="AE54" s="80">
        <v>0.0</v>
      </c>
      <c r="AF54" s="80">
        <v>0.0</v>
      </c>
      <c r="AG54" s="80">
        <v>0.0</v>
      </c>
      <c r="AH54" s="80">
        <v>0.0</v>
      </c>
      <c r="AI54" s="80">
        <v>0.0</v>
      </c>
      <c r="AJ54" s="80">
        <v>0.0</v>
      </c>
      <c r="AK54" s="80">
        <v>0.0</v>
      </c>
      <c r="AL54" s="80">
        <v>0.0</v>
      </c>
      <c r="AM54" s="235">
        <f t="shared" si="2"/>
        <v>0</v>
      </c>
      <c r="AN54" s="235">
        <f t="shared" si="3"/>
        <v>0</v>
      </c>
    </row>
    <row r="55">
      <c r="A55" s="157">
        <v>54.0</v>
      </c>
      <c r="B55" s="673" t="s">
        <v>951</v>
      </c>
      <c r="C55" s="63" t="s">
        <v>947</v>
      </c>
      <c r="D55" s="482" t="s">
        <v>1665</v>
      </c>
      <c r="E55" s="354">
        <v>40606.0</v>
      </c>
      <c r="F55" s="157" t="s">
        <v>354</v>
      </c>
      <c r="G55" s="157" t="s">
        <v>354</v>
      </c>
      <c r="H55" s="157" t="s">
        <v>354</v>
      </c>
      <c r="I55" s="157" t="s">
        <v>354</v>
      </c>
      <c r="J55" s="157" t="s">
        <v>354</v>
      </c>
      <c r="K55" s="157" t="s">
        <v>354</v>
      </c>
      <c r="L55" s="157" t="s">
        <v>354</v>
      </c>
      <c r="M55" s="157" t="s">
        <v>354</v>
      </c>
      <c r="N55" s="157" t="s">
        <v>354</v>
      </c>
      <c r="O55" s="157" t="s">
        <v>354</v>
      </c>
      <c r="P55" s="157">
        <v>0.0</v>
      </c>
      <c r="Q55" s="157">
        <v>0.0</v>
      </c>
      <c r="R55" s="157">
        <v>0.0</v>
      </c>
      <c r="S55" s="157">
        <v>0.0</v>
      </c>
      <c r="T55" s="674" t="s">
        <v>356</v>
      </c>
      <c r="U55" s="674" t="s">
        <v>354</v>
      </c>
      <c r="V55" s="365" t="s">
        <v>365</v>
      </c>
      <c r="W55" s="391" t="s">
        <v>380</v>
      </c>
      <c r="X55" s="139" t="s">
        <v>356</v>
      </c>
      <c r="Y55" s="139" t="s">
        <v>354</v>
      </c>
      <c r="Z55" s="367">
        <f t="shared" si="1"/>
        <v>1</v>
      </c>
      <c r="AA55" s="265"/>
      <c r="AB55" s="265"/>
      <c r="AC55" s="265"/>
      <c r="AD55" s="265"/>
      <c r="AE55" s="80">
        <v>0.0</v>
      </c>
      <c r="AF55" s="80">
        <v>0.0</v>
      </c>
      <c r="AG55" s="80">
        <v>0.0</v>
      </c>
      <c r="AH55" s="80">
        <v>0.0</v>
      </c>
      <c r="AI55" s="80">
        <v>0.0</v>
      </c>
      <c r="AJ55" s="80">
        <v>0.0</v>
      </c>
      <c r="AK55" s="224">
        <v>1.0</v>
      </c>
      <c r="AL55" s="80">
        <v>0.0</v>
      </c>
      <c r="AM55" s="679">
        <f t="shared" si="2"/>
        <v>1</v>
      </c>
      <c r="AN55" s="679">
        <f t="shared" si="3"/>
        <v>1</v>
      </c>
    </row>
    <row r="56">
      <c r="A56" s="157">
        <v>55.0</v>
      </c>
      <c r="B56" s="673" t="s">
        <v>129</v>
      </c>
      <c r="C56" s="676" t="s">
        <v>129</v>
      </c>
      <c r="D56" s="482" t="s">
        <v>564</v>
      </c>
      <c r="E56" s="354">
        <v>40606.0</v>
      </c>
      <c r="F56" s="157" t="s">
        <v>354</v>
      </c>
      <c r="G56" s="157" t="s">
        <v>354</v>
      </c>
      <c r="H56" s="157" t="s">
        <v>354</v>
      </c>
      <c r="I56" s="157" t="s">
        <v>354</v>
      </c>
      <c r="J56" s="157" t="s">
        <v>354</v>
      </c>
      <c r="K56" s="157" t="s">
        <v>354</v>
      </c>
      <c r="L56" s="157" t="s">
        <v>354</v>
      </c>
      <c r="M56" s="157" t="s">
        <v>354</v>
      </c>
      <c r="N56" s="157" t="s">
        <v>354</v>
      </c>
      <c r="O56" s="157" t="s">
        <v>354</v>
      </c>
      <c r="P56" s="157">
        <v>0.0</v>
      </c>
      <c r="Q56" s="157">
        <v>0.0</v>
      </c>
      <c r="R56" s="157">
        <v>0.0</v>
      </c>
      <c r="S56" s="157">
        <v>0.0</v>
      </c>
      <c r="T56" s="674" t="s">
        <v>356</v>
      </c>
      <c r="U56" s="674" t="s">
        <v>354</v>
      </c>
      <c r="V56" s="675" t="s">
        <v>356</v>
      </c>
      <c r="W56" s="675" t="s">
        <v>354</v>
      </c>
      <c r="X56" s="139" t="s">
        <v>356</v>
      </c>
      <c r="Y56" s="139" t="s">
        <v>354</v>
      </c>
      <c r="Z56" s="46">
        <f t="shared" si="1"/>
        <v>0</v>
      </c>
      <c r="AA56" s="265"/>
      <c r="AB56" s="265"/>
      <c r="AC56" s="265"/>
      <c r="AD56" s="265"/>
      <c r="AE56" s="80">
        <v>0.0</v>
      </c>
      <c r="AF56" s="80">
        <v>0.0</v>
      </c>
      <c r="AG56" s="80">
        <v>0.0</v>
      </c>
      <c r="AH56" s="80">
        <v>0.0</v>
      </c>
      <c r="AI56" s="80">
        <v>0.0</v>
      </c>
      <c r="AJ56" s="80">
        <v>0.0</v>
      </c>
      <c r="AK56" s="80">
        <v>0.0</v>
      </c>
      <c r="AL56" s="80">
        <v>0.0</v>
      </c>
      <c r="AM56" s="235">
        <f t="shared" si="2"/>
        <v>0</v>
      </c>
      <c r="AN56" s="235">
        <f t="shared" si="3"/>
        <v>0</v>
      </c>
    </row>
    <row r="57">
      <c r="A57" s="157">
        <v>56.0</v>
      </c>
      <c r="B57" s="673" t="s">
        <v>36</v>
      </c>
      <c r="C57" s="676" t="s">
        <v>36</v>
      </c>
      <c r="D57" s="482" t="s">
        <v>411</v>
      </c>
      <c r="E57" s="354">
        <v>40606.0</v>
      </c>
      <c r="F57" s="157" t="s">
        <v>354</v>
      </c>
      <c r="G57" s="157" t="s">
        <v>354</v>
      </c>
      <c r="H57" s="157" t="s">
        <v>354</v>
      </c>
      <c r="I57" s="157" t="s">
        <v>354</v>
      </c>
      <c r="J57" s="157" t="s">
        <v>354</v>
      </c>
      <c r="K57" s="157" t="s">
        <v>354</v>
      </c>
      <c r="L57" s="157" t="s">
        <v>354</v>
      </c>
      <c r="M57" s="157" t="s">
        <v>354</v>
      </c>
      <c r="N57" s="157" t="s">
        <v>354</v>
      </c>
      <c r="O57" s="157" t="s">
        <v>354</v>
      </c>
      <c r="P57" s="157">
        <v>0.0</v>
      </c>
      <c r="Q57" s="157">
        <v>0.0</v>
      </c>
      <c r="R57" s="157">
        <v>0.0</v>
      </c>
      <c r="S57" s="157">
        <v>0.0</v>
      </c>
      <c r="T57" s="674" t="s">
        <v>356</v>
      </c>
      <c r="U57" s="674" t="s">
        <v>354</v>
      </c>
      <c r="V57" s="675" t="s">
        <v>356</v>
      </c>
      <c r="W57" s="675" t="s">
        <v>354</v>
      </c>
      <c r="X57" s="139" t="s">
        <v>356</v>
      </c>
      <c r="Y57" s="139" t="s">
        <v>354</v>
      </c>
      <c r="Z57" s="46">
        <f t="shared" si="1"/>
        <v>0</v>
      </c>
      <c r="AA57" s="265"/>
      <c r="AB57" s="265"/>
      <c r="AC57" s="265"/>
      <c r="AD57" s="265"/>
      <c r="AE57" s="80">
        <v>0.0</v>
      </c>
      <c r="AF57" s="80">
        <v>0.0</v>
      </c>
      <c r="AG57" s="80">
        <v>0.0</v>
      </c>
      <c r="AH57" s="80">
        <v>0.0</v>
      </c>
      <c r="AI57" s="80">
        <v>0.0</v>
      </c>
      <c r="AJ57" s="80">
        <v>0.0</v>
      </c>
      <c r="AK57" s="80">
        <v>0.0</v>
      </c>
      <c r="AL57" s="80">
        <v>0.0</v>
      </c>
      <c r="AM57" s="235">
        <f t="shared" si="2"/>
        <v>0</v>
      </c>
      <c r="AN57" s="235">
        <f t="shared" si="3"/>
        <v>0</v>
      </c>
    </row>
    <row r="58">
      <c r="A58" s="157">
        <v>57.0</v>
      </c>
      <c r="B58" s="673" t="s">
        <v>247</v>
      </c>
      <c r="C58" s="63" t="s">
        <v>869</v>
      </c>
      <c r="D58" s="482" t="s">
        <v>870</v>
      </c>
      <c r="E58" s="354">
        <v>40606.0</v>
      </c>
      <c r="F58" s="157" t="s">
        <v>354</v>
      </c>
      <c r="G58" s="157" t="s">
        <v>354</v>
      </c>
      <c r="H58" s="157" t="s">
        <v>354</v>
      </c>
      <c r="I58" s="157" t="s">
        <v>354</v>
      </c>
      <c r="J58" s="157" t="s">
        <v>354</v>
      </c>
      <c r="K58" s="157" t="s">
        <v>354</v>
      </c>
      <c r="L58" s="157" t="s">
        <v>354</v>
      </c>
      <c r="M58" s="157" t="s">
        <v>354</v>
      </c>
      <c r="N58" s="157" t="s">
        <v>354</v>
      </c>
      <c r="O58" s="157" t="s">
        <v>354</v>
      </c>
      <c r="P58" s="157">
        <v>0.0</v>
      </c>
      <c r="Q58" s="157">
        <v>0.0</v>
      </c>
      <c r="R58" s="157">
        <v>0.0</v>
      </c>
      <c r="S58" s="157">
        <v>0.0</v>
      </c>
      <c r="T58" s="674" t="s">
        <v>356</v>
      </c>
      <c r="U58" s="674" t="s">
        <v>354</v>
      </c>
      <c r="V58" s="675" t="s">
        <v>356</v>
      </c>
      <c r="W58" s="675" t="s">
        <v>354</v>
      </c>
      <c r="X58" s="139" t="s">
        <v>356</v>
      </c>
      <c r="Y58" s="139" t="s">
        <v>354</v>
      </c>
      <c r="Z58" s="46">
        <f t="shared" si="1"/>
        <v>0</v>
      </c>
      <c r="AA58" s="265"/>
      <c r="AB58" s="265"/>
      <c r="AC58" s="265"/>
      <c r="AD58" s="265"/>
      <c r="AE58" s="80">
        <v>0.0</v>
      </c>
      <c r="AF58" s="80">
        <v>0.0</v>
      </c>
      <c r="AG58" s="80">
        <v>0.0</v>
      </c>
      <c r="AH58" s="80">
        <v>0.0</v>
      </c>
      <c r="AI58" s="80">
        <v>0.0</v>
      </c>
      <c r="AJ58" s="80">
        <v>0.0</v>
      </c>
      <c r="AK58" s="80">
        <v>0.0</v>
      </c>
      <c r="AL58" s="80">
        <v>0.0</v>
      </c>
      <c r="AM58" s="235">
        <f t="shared" si="2"/>
        <v>0</v>
      </c>
      <c r="AN58" s="235">
        <f t="shared" si="3"/>
        <v>0</v>
      </c>
    </row>
    <row r="59">
      <c r="A59" s="157">
        <v>58.0</v>
      </c>
      <c r="B59" s="673" t="s">
        <v>80</v>
      </c>
      <c r="C59" s="676" t="s">
        <v>80</v>
      </c>
      <c r="D59" s="482" t="s">
        <v>467</v>
      </c>
      <c r="E59" s="354">
        <v>40606.0</v>
      </c>
      <c r="F59" s="157" t="s">
        <v>354</v>
      </c>
      <c r="G59" s="157" t="s">
        <v>354</v>
      </c>
      <c r="H59" s="157" t="s">
        <v>354</v>
      </c>
      <c r="I59" s="157" t="s">
        <v>354</v>
      </c>
      <c r="J59" s="157" t="s">
        <v>354</v>
      </c>
      <c r="K59" s="157" t="s">
        <v>354</v>
      </c>
      <c r="L59" s="157" t="s">
        <v>354</v>
      </c>
      <c r="M59" s="157" t="s">
        <v>354</v>
      </c>
      <c r="N59" s="157" t="s">
        <v>354</v>
      </c>
      <c r="O59" s="157" t="s">
        <v>354</v>
      </c>
      <c r="P59" s="157">
        <v>0.0</v>
      </c>
      <c r="Q59" s="157">
        <v>0.0</v>
      </c>
      <c r="R59" s="157">
        <v>0.0</v>
      </c>
      <c r="S59" s="157">
        <v>0.0</v>
      </c>
      <c r="T59" s="674" t="s">
        <v>356</v>
      </c>
      <c r="U59" s="674" t="s">
        <v>354</v>
      </c>
      <c r="V59" s="675" t="s">
        <v>356</v>
      </c>
      <c r="W59" s="675" t="s">
        <v>354</v>
      </c>
      <c r="X59" s="139" t="s">
        <v>356</v>
      </c>
      <c r="Y59" s="139" t="s">
        <v>354</v>
      </c>
      <c r="Z59" s="46">
        <f t="shared" si="1"/>
        <v>0</v>
      </c>
      <c r="AA59" s="265"/>
      <c r="AB59" s="265"/>
      <c r="AC59" s="265"/>
      <c r="AD59" s="265"/>
      <c r="AE59" s="80">
        <v>0.0</v>
      </c>
      <c r="AF59" s="80">
        <v>0.0</v>
      </c>
      <c r="AG59" s="80">
        <v>0.0</v>
      </c>
      <c r="AH59" s="80">
        <v>0.0</v>
      </c>
      <c r="AI59" s="80">
        <v>0.0</v>
      </c>
      <c r="AJ59" s="80">
        <v>0.0</v>
      </c>
      <c r="AK59" s="80">
        <v>0.0</v>
      </c>
      <c r="AL59" s="80">
        <v>0.0</v>
      </c>
      <c r="AM59" s="235">
        <f t="shared" si="2"/>
        <v>0</v>
      </c>
      <c r="AN59" s="235">
        <f t="shared" si="3"/>
        <v>0</v>
      </c>
    </row>
    <row r="60">
      <c r="A60" s="157">
        <v>59.0</v>
      </c>
      <c r="B60" s="673" t="s">
        <v>1398</v>
      </c>
      <c r="C60" s="63" t="s">
        <v>354</v>
      </c>
      <c r="D60" s="63" t="s">
        <v>354</v>
      </c>
      <c r="E60" s="354">
        <v>40606.0</v>
      </c>
      <c r="F60" s="157" t="s">
        <v>354</v>
      </c>
      <c r="G60" s="157" t="s">
        <v>354</v>
      </c>
      <c r="H60" s="157" t="s">
        <v>354</v>
      </c>
      <c r="I60" s="157" t="s">
        <v>354</v>
      </c>
      <c r="J60" s="157" t="s">
        <v>354</v>
      </c>
      <c r="K60" s="157" t="s">
        <v>354</v>
      </c>
      <c r="L60" s="157" t="s">
        <v>354</v>
      </c>
      <c r="M60" s="157" t="s">
        <v>354</v>
      </c>
      <c r="N60" s="157" t="s">
        <v>354</v>
      </c>
      <c r="O60" s="157" t="s">
        <v>354</v>
      </c>
      <c r="P60" s="157">
        <v>0.0</v>
      </c>
      <c r="Q60" s="157">
        <v>0.0</v>
      </c>
      <c r="R60" s="157">
        <v>0.0</v>
      </c>
      <c r="S60" s="157">
        <v>0.0</v>
      </c>
      <c r="T60" s="674" t="s">
        <v>356</v>
      </c>
      <c r="U60" s="674" t="s">
        <v>354</v>
      </c>
      <c r="V60" s="675" t="s">
        <v>356</v>
      </c>
      <c r="W60" s="675" t="s">
        <v>354</v>
      </c>
      <c r="X60" s="139" t="s">
        <v>356</v>
      </c>
      <c r="Y60" s="139" t="s">
        <v>354</v>
      </c>
      <c r="Z60" s="46">
        <f t="shared" si="1"/>
        <v>0</v>
      </c>
      <c r="AA60" s="265"/>
      <c r="AB60" s="265"/>
      <c r="AC60" s="265"/>
      <c r="AD60" s="265"/>
      <c r="AE60" s="80">
        <v>0.0</v>
      </c>
      <c r="AF60" s="80">
        <v>0.0</v>
      </c>
      <c r="AG60" s="80">
        <v>0.0</v>
      </c>
      <c r="AH60" s="80">
        <v>0.0</v>
      </c>
      <c r="AI60" s="80">
        <v>0.0</v>
      </c>
      <c r="AJ60" s="80">
        <v>0.0</v>
      </c>
      <c r="AK60" s="80">
        <v>0.0</v>
      </c>
      <c r="AL60" s="80">
        <v>0.0</v>
      </c>
      <c r="AM60" s="235">
        <f t="shared" si="2"/>
        <v>0</v>
      </c>
      <c r="AN60" s="235">
        <f t="shared" si="3"/>
        <v>0</v>
      </c>
    </row>
    <row r="61">
      <c r="A61" s="235" t="s">
        <v>356</v>
      </c>
      <c r="B61" s="235" t="s">
        <v>354</v>
      </c>
      <c r="C61" s="235" t="s">
        <v>354</v>
      </c>
      <c r="D61" s="235" t="s">
        <v>354</v>
      </c>
      <c r="E61" s="235" t="s">
        <v>354</v>
      </c>
      <c r="F61" s="157" t="s">
        <v>354</v>
      </c>
      <c r="G61" s="157" t="s">
        <v>354</v>
      </c>
      <c r="H61" s="157" t="s">
        <v>354</v>
      </c>
      <c r="I61" s="157" t="s">
        <v>354</v>
      </c>
      <c r="J61" s="157" t="s">
        <v>354</v>
      </c>
      <c r="K61" s="157" t="s">
        <v>354</v>
      </c>
      <c r="L61" s="157" t="s">
        <v>354</v>
      </c>
      <c r="M61" s="157" t="s">
        <v>354</v>
      </c>
      <c r="N61" s="157" t="s">
        <v>354</v>
      </c>
      <c r="O61" s="157" t="s">
        <v>354</v>
      </c>
      <c r="P61" s="157">
        <v>0.0</v>
      </c>
      <c r="Q61" s="157">
        <v>0.0</v>
      </c>
      <c r="R61" s="157">
        <v>0.0</v>
      </c>
      <c r="S61" s="157">
        <v>0.0</v>
      </c>
      <c r="T61" s="674" t="s">
        <v>356</v>
      </c>
      <c r="U61" s="674" t="s">
        <v>354</v>
      </c>
      <c r="V61" s="675" t="s">
        <v>356</v>
      </c>
      <c r="W61" s="675" t="s">
        <v>354</v>
      </c>
      <c r="X61" s="139" t="s">
        <v>356</v>
      </c>
      <c r="Y61" s="139" t="s">
        <v>354</v>
      </c>
      <c r="Z61" s="46">
        <f t="shared" si="1"/>
        <v>0</v>
      </c>
      <c r="AA61" s="265"/>
      <c r="AB61" s="265"/>
      <c r="AC61" s="265"/>
      <c r="AD61" s="235" t="s">
        <v>1507</v>
      </c>
      <c r="AE61" s="80">
        <f t="shared" ref="AE61:AL61" si="4">sum(AE2:AE59)</f>
        <v>0</v>
      </c>
      <c r="AF61" s="80">
        <f t="shared" si="4"/>
        <v>0</v>
      </c>
      <c r="AG61" s="80">
        <f t="shared" si="4"/>
        <v>3</v>
      </c>
      <c r="AH61" s="80">
        <f t="shared" si="4"/>
        <v>2</v>
      </c>
      <c r="AI61" s="80">
        <f t="shared" si="4"/>
        <v>0</v>
      </c>
      <c r="AJ61" s="80">
        <f t="shared" si="4"/>
        <v>6</v>
      </c>
      <c r="AK61" s="80">
        <f t="shared" si="4"/>
        <v>3</v>
      </c>
      <c r="AL61" s="80">
        <f t="shared" si="4"/>
        <v>0</v>
      </c>
      <c r="AM61" s="235">
        <f t="shared" si="2"/>
        <v>14</v>
      </c>
      <c r="AN61" s="235"/>
    </row>
    <row r="62">
      <c r="A62" s="235" t="s">
        <v>365</v>
      </c>
      <c r="B62" s="235" t="s">
        <v>354</v>
      </c>
      <c r="C62" s="235" t="s">
        <v>354</v>
      </c>
      <c r="D62" s="235" t="s">
        <v>354</v>
      </c>
      <c r="E62" s="235" t="s">
        <v>354</v>
      </c>
      <c r="F62" s="157" t="s">
        <v>354</v>
      </c>
      <c r="G62" s="157" t="s">
        <v>354</v>
      </c>
      <c r="H62" s="157" t="s">
        <v>354</v>
      </c>
      <c r="I62" s="157" t="s">
        <v>354</v>
      </c>
      <c r="J62" s="157" t="s">
        <v>354</v>
      </c>
      <c r="K62" s="157" t="s">
        <v>354</v>
      </c>
      <c r="L62" s="157" t="s">
        <v>354</v>
      </c>
      <c r="M62" s="157" t="s">
        <v>354</v>
      </c>
      <c r="N62" s="157" t="s">
        <v>354</v>
      </c>
      <c r="O62" s="157" t="s">
        <v>354</v>
      </c>
      <c r="P62" s="140">
        <v>17.45</v>
      </c>
      <c r="Q62" s="140">
        <v>29.23</v>
      </c>
      <c r="R62" s="140">
        <v>19.68</v>
      </c>
      <c r="S62" s="140">
        <v>35.85</v>
      </c>
      <c r="T62" s="681" t="s">
        <v>365</v>
      </c>
      <c r="U62" s="674" t="s">
        <v>1400</v>
      </c>
      <c r="V62" s="677" t="s">
        <v>365</v>
      </c>
      <c r="W62" s="675" t="s">
        <v>1400</v>
      </c>
      <c r="X62" s="144" t="s">
        <v>365</v>
      </c>
      <c r="Y62" s="139" t="s">
        <v>1400</v>
      </c>
      <c r="Z62" s="46">
        <f t="shared" si="1"/>
        <v>4</v>
      </c>
      <c r="AA62" s="265"/>
      <c r="AB62" s="265"/>
      <c r="AC62" s="265"/>
      <c r="AD62" s="235" t="s">
        <v>1406</v>
      </c>
      <c r="AE62" s="381">
        <f t="shared" ref="AE62:AL62" si="5">AE61/$AM$61</f>
        <v>0</v>
      </c>
      <c r="AF62" s="381">
        <f t="shared" si="5"/>
        <v>0</v>
      </c>
      <c r="AG62" s="381">
        <f t="shared" si="5"/>
        <v>0.2142857143</v>
      </c>
      <c r="AH62" s="381">
        <f t="shared" si="5"/>
        <v>0.1428571429</v>
      </c>
      <c r="AI62" s="381">
        <f t="shared" si="5"/>
        <v>0</v>
      </c>
      <c r="AJ62" s="381">
        <f t="shared" si="5"/>
        <v>0.4285714286</v>
      </c>
      <c r="AK62" s="381">
        <f t="shared" si="5"/>
        <v>0.2142857143</v>
      </c>
      <c r="AL62" s="381">
        <f t="shared" si="5"/>
        <v>0</v>
      </c>
      <c r="AM62" s="492">
        <f t="shared" si="2"/>
        <v>1</v>
      </c>
      <c r="AN62" s="492"/>
    </row>
    <row r="63">
      <c r="Z63" s="265"/>
      <c r="AA63" s="265"/>
      <c r="AB63" s="265"/>
      <c r="AC63" s="265"/>
      <c r="AD63" s="265"/>
      <c r="AE63" s="265"/>
      <c r="AF63" s="265"/>
      <c r="AG63" s="265"/>
      <c r="AH63" s="265"/>
      <c r="AI63" s="265"/>
      <c r="AJ63" s="265"/>
      <c r="AK63" s="265"/>
      <c r="AL63" s="265"/>
      <c r="AM63" s="265"/>
      <c r="AN63" s="265"/>
    </row>
    <row r="64">
      <c r="P64" s="46">
        <f>COUNTIF(P2:P59,"&gt;0")</f>
        <v>2</v>
      </c>
      <c r="T64" s="46">
        <f>COUNTIF(T2:T60,"POS")</f>
        <v>1</v>
      </c>
      <c r="U64" s="46"/>
      <c r="V64" s="46">
        <f>COUNTIF(V2:V60,"POS")</f>
        <v>9</v>
      </c>
      <c r="W64" s="46"/>
      <c r="X64" s="46">
        <f> COUNTIF(X2:X60,"POS")</f>
        <v>4</v>
      </c>
      <c r="Y64" s="46"/>
      <c r="Z64" s="372">
        <f>COUNTIF($Z$2:$Z$59,"&gt;0")-1</f>
        <v>10</v>
      </c>
      <c r="AA64" s="372">
        <f>COUNTIF($Z$2:$Z$59,"&gt;1")</f>
        <v>3</v>
      </c>
      <c r="AB64" s="372">
        <f>COUNTIF($Z$2:$Z$59,"&gt;2")</f>
        <v>2</v>
      </c>
      <c r="AC64" s="372">
        <f>COUNTIF($Z$2:$Z$59,"&gt;3")</f>
        <v>0</v>
      </c>
      <c r="AD64" s="340">
        <f>countif(AN2:AN59,"&gt;1")</f>
        <v>0</v>
      </c>
      <c r="AE64" s="63">
        <v>0.0</v>
      </c>
      <c r="AF64" s="63">
        <v>0.0</v>
      </c>
      <c r="AG64" s="63">
        <v>2.0</v>
      </c>
      <c r="AH64" s="63">
        <v>1.0</v>
      </c>
      <c r="AI64" s="63">
        <v>0.0</v>
      </c>
      <c r="AJ64" s="63">
        <v>4.0</v>
      </c>
      <c r="AK64" s="63">
        <v>3.0</v>
      </c>
      <c r="AL64" s="63">
        <v>0.0</v>
      </c>
      <c r="AM64" s="340"/>
      <c r="AN64" s="340"/>
    </row>
    <row r="65">
      <c r="P65" s="46">
        <f>COUNT($A$2:$A$59)</f>
        <v>58</v>
      </c>
      <c r="T65" s="46">
        <f>COUNT($A$2:$A$59)</f>
        <v>58</v>
      </c>
      <c r="U65" s="46"/>
      <c r="V65" s="46">
        <f>COUNT($A$2:$A$59)</f>
        <v>58</v>
      </c>
      <c r="W65" s="46"/>
      <c r="X65" s="46">
        <f>COUNT($A$2:$A$59)</f>
        <v>58</v>
      </c>
      <c r="Y65" s="46"/>
      <c r="Z65" s="372">
        <f t="shared" ref="Z65:AD65" si="6">COUNT($A$2:$A$59)</f>
        <v>58</v>
      </c>
      <c r="AA65" s="372">
        <f t="shared" si="6"/>
        <v>58</v>
      </c>
      <c r="AB65" s="372">
        <f t="shared" si="6"/>
        <v>58</v>
      </c>
      <c r="AC65" s="372">
        <f t="shared" si="6"/>
        <v>58</v>
      </c>
      <c r="AD65" s="372">
        <f t="shared" si="6"/>
        <v>58</v>
      </c>
      <c r="AE65" s="372"/>
      <c r="AF65" s="372"/>
      <c r="AG65" s="372"/>
      <c r="AH65" s="372"/>
      <c r="AI65" s="372"/>
      <c r="AJ65" s="372"/>
      <c r="AK65" s="372"/>
      <c r="AL65" s="372"/>
      <c r="AM65" s="372"/>
      <c r="AN65" s="372"/>
    </row>
    <row r="66">
      <c r="P66" s="374">
        <f>P64/P65</f>
        <v>0.03448275862</v>
      </c>
      <c r="T66" s="374">
        <f>T64/T65</f>
        <v>0.01724137931</v>
      </c>
      <c r="U66" s="46"/>
      <c r="V66" s="374">
        <f>V64/V65</f>
        <v>0.1551724138</v>
      </c>
      <c r="W66" s="46"/>
      <c r="X66" s="374">
        <f>X64/X65</f>
        <v>0.06896551724</v>
      </c>
      <c r="Y66" s="46"/>
      <c r="Z66" s="564">
        <f t="shared" ref="Z66:AD66" si="7">Z64/Z65</f>
        <v>0.1724137931</v>
      </c>
      <c r="AA66" s="564">
        <f t="shared" si="7"/>
        <v>0.05172413793</v>
      </c>
      <c r="AB66" s="641">
        <f t="shared" si="7"/>
        <v>0.03448275862</v>
      </c>
      <c r="AC66" s="641">
        <f t="shared" si="7"/>
        <v>0</v>
      </c>
      <c r="AD66" s="630">
        <f t="shared" si="7"/>
        <v>0</v>
      </c>
      <c r="AE66" s="682"/>
      <c r="AF66" s="682"/>
      <c r="AG66" s="682"/>
      <c r="AH66" s="682"/>
      <c r="AI66" s="682"/>
      <c r="AJ66" s="682"/>
      <c r="AK66" s="682"/>
      <c r="AL66" s="682"/>
      <c r="AM66" s="682"/>
      <c r="AN66" s="682"/>
    </row>
    <row r="67">
      <c r="T67" s="46"/>
      <c r="U67" s="46"/>
      <c r="V67" s="46"/>
      <c r="W67" s="46"/>
      <c r="X67" s="46"/>
      <c r="Y67" s="46"/>
      <c r="Z67" s="372" t="s">
        <v>1401</v>
      </c>
      <c r="AA67" s="372" t="s">
        <v>1402</v>
      </c>
      <c r="AB67" s="372" t="s">
        <v>1403</v>
      </c>
      <c r="AC67" s="378" t="s">
        <v>1404</v>
      </c>
      <c r="AD67" s="378" t="s">
        <v>1376</v>
      </c>
      <c r="AE67" s="378"/>
      <c r="AF67" s="378"/>
      <c r="AG67" s="378"/>
      <c r="AH67" s="378"/>
      <c r="AI67" s="378"/>
      <c r="AJ67" s="378"/>
      <c r="AK67" s="378"/>
      <c r="AL67" s="378"/>
      <c r="AM67" s="378"/>
      <c r="AN67" s="378"/>
    </row>
    <row r="68">
      <c r="AE68" s="265"/>
      <c r="AF68" s="265"/>
      <c r="AG68" s="265"/>
      <c r="AH68" s="265"/>
      <c r="AI68" s="265"/>
      <c r="AJ68" s="265"/>
      <c r="AK68" s="265"/>
      <c r="AL68" s="265"/>
      <c r="AM68" s="265"/>
      <c r="AN68" s="265"/>
    </row>
    <row r="69">
      <c r="D69" s="331" t="s">
        <v>1497</v>
      </c>
      <c r="E69" s="345" t="s">
        <v>389</v>
      </c>
      <c r="F69" s="346" t="s">
        <v>420</v>
      </c>
      <c r="G69" s="347" t="s">
        <v>358</v>
      </c>
      <c r="H69" s="348" t="s">
        <v>363</v>
      </c>
      <c r="I69" s="349" t="s">
        <v>413</v>
      </c>
      <c r="J69" s="350" t="s">
        <v>357</v>
      </c>
      <c r="K69" s="351" t="s">
        <v>380</v>
      </c>
      <c r="L69" s="352" t="s">
        <v>387</v>
      </c>
      <c r="M69" s="642" t="s">
        <v>1427</v>
      </c>
      <c r="N69" s="643" t="s">
        <v>1190</v>
      </c>
      <c r="O69" s="644" t="s">
        <v>1214</v>
      </c>
      <c r="P69" s="645" t="s">
        <v>1120</v>
      </c>
      <c r="Q69" s="646" t="s">
        <v>1188</v>
      </c>
      <c r="R69" s="647" t="s">
        <v>1428</v>
      </c>
      <c r="S69" s="648" t="s">
        <v>1429</v>
      </c>
      <c r="T69" s="649" t="s">
        <v>1178</v>
      </c>
      <c r="U69" s="650" t="s">
        <v>1145</v>
      </c>
      <c r="V69" s="651" t="s">
        <v>1301</v>
      </c>
      <c r="W69" s="652" t="s">
        <v>1130</v>
      </c>
      <c r="X69" s="653" t="s">
        <v>1314</v>
      </c>
      <c r="Y69" s="654" t="s">
        <v>1431</v>
      </c>
      <c r="Z69" s="655" t="s">
        <v>1095</v>
      </c>
      <c r="AA69" s="656" t="s">
        <v>1103</v>
      </c>
      <c r="AB69" s="657" t="s">
        <v>1090</v>
      </c>
      <c r="AC69" s="658" t="s">
        <v>1296</v>
      </c>
      <c r="AD69" s="659" t="s">
        <v>1270</v>
      </c>
      <c r="AE69" s="660" t="s">
        <v>1115</v>
      </c>
      <c r="AF69" s="661" t="s">
        <v>1089</v>
      </c>
      <c r="AG69" s="662" t="s">
        <v>1182</v>
      </c>
      <c r="AH69" s="663" t="s">
        <v>1298</v>
      </c>
      <c r="AI69" s="664" t="s">
        <v>1163</v>
      </c>
      <c r="AJ69" s="665" t="s">
        <v>1223</v>
      </c>
      <c r="AK69" s="666" t="s">
        <v>1441</v>
      </c>
      <c r="AL69" s="667" t="s">
        <v>1129</v>
      </c>
      <c r="AM69" s="668" t="s">
        <v>1447</v>
      </c>
      <c r="AN69" s="669" t="s">
        <v>1454</v>
      </c>
    </row>
    <row r="70">
      <c r="D70" s="468">
        <f>correl(E70:L70,AE61:AL61)</f>
        <v>0.9705690415</v>
      </c>
      <c r="E70" s="80">
        <f t="shared" ref="E70:L70" si="8">countif(AE2:AE59,"&gt;0")</f>
        <v>0</v>
      </c>
      <c r="F70" s="80">
        <f t="shared" si="8"/>
        <v>0</v>
      </c>
      <c r="G70" s="80">
        <f t="shared" si="8"/>
        <v>2</v>
      </c>
      <c r="H70" s="80">
        <f t="shared" si="8"/>
        <v>1</v>
      </c>
      <c r="I70" s="80">
        <f t="shared" si="8"/>
        <v>0</v>
      </c>
      <c r="J70" s="80">
        <f t="shared" si="8"/>
        <v>4</v>
      </c>
      <c r="K70" s="80">
        <f t="shared" si="8"/>
        <v>3</v>
      </c>
      <c r="L70" s="80">
        <f t="shared" si="8"/>
        <v>0</v>
      </c>
      <c r="M70" s="80">
        <f t="shared" ref="M70:S70" si="9">countifs($AE$2:$AE$59,"&gt;0",AF2:AF59,"&gt;0")</f>
        <v>0</v>
      </c>
      <c r="N70" s="80">
        <f t="shared" si="9"/>
        <v>0</v>
      </c>
      <c r="O70" s="80">
        <f t="shared" si="9"/>
        <v>0</v>
      </c>
      <c r="P70" s="80">
        <f t="shared" si="9"/>
        <v>0</v>
      </c>
      <c r="Q70" s="80">
        <f t="shared" si="9"/>
        <v>0</v>
      </c>
      <c r="R70" s="80">
        <f t="shared" si="9"/>
        <v>0</v>
      </c>
      <c r="S70" s="80">
        <f t="shared" si="9"/>
        <v>0</v>
      </c>
      <c r="T70" s="80">
        <f t="shared" ref="T70:Y70" si="10">countifs($AF$2:$AF$59,"&gt;0",AG2:AG59,"&gt;0")</f>
        <v>0</v>
      </c>
      <c r="U70" s="80">
        <f t="shared" si="10"/>
        <v>0</v>
      </c>
      <c r="V70" s="80">
        <f t="shared" si="10"/>
        <v>0</v>
      </c>
      <c r="W70" s="80">
        <f t="shared" si="10"/>
        <v>0</v>
      </c>
      <c r="X70" s="80">
        <f t="shared" si="10"/>
        <v>0</v>
      </c>
      <c r="Y70" s="80">
        <f t="shared" si="10"/>
        <v>0</v>
      </c>
      <c r="Z70" s="80">
        <f t="shared" ref="Z70:AD70" si="11">countifs($AG$2:$AG$59,"&gt;0",AH2:AH59,"&gt;0")</f>
        <v>0</v>
      </c>
      <c r="AA70" s="80">
        <f t="shared" si="11"/>
        <v>0</v>
      </c>
      <c r="AB70" s="80">
        <f t="shared" si="11"/>
        <v>0</v>
      </c>
      <c r="AC70" s="80">
        <f t="shared" si="11"/>
        <v>0</v>
      </c>
      <c r="AD70" s="80">
        <f t="shared" si="11"/>
        <v>0</v>
      </c>
      <c r="AE70" s="80">
        <f t="shared" ref="AE70:AH70" si="12">countifs($AH$2:$AH$59,"&gt;0",AI2:AI59,"&gt;0")</f>
        <v>0</v>
      </c>
      <c r="AF70" s="80">
        <f t="shared" si="12"/>
        <v>0</v>
      </c>
      <c r="AG70" s="80">
        <f t="shared" si="12"/>
        <v>0</v>
      </c>
      <c r="AH70" s="80">
        <f t="shared" si="12"/>
        <v>0</v>
      </c>
      <c r="AI70" s="80">
        <f t="shared" ref="AI70:AK70" si="13">countifs($AI$2:$AI$59,"&gt;0",AJ2:AJ59,"&gt;0")</f>
        <v>0</v>
      </c>
      <c r="AJ70" s="80">
        <f t="shared" si="13"/>
        <v>0</v>
      </c>
      <c r="AK70" s="80">
        <f t="shared" si="13"/>
        <v>0</v>
      </c>
      <c r="AL70" s="80">
        <f t="shared" ref="AL70:AM70" si="14">countifs($AJ$2:$AJ$59,"&gt;0",AK2:AK59,"&gt;0")</f>
        <v>0</v>
      </c>
      <c r="AM70" s="80">
        <f t="shared" si="14"/>
        <v>0</v>
      </c>
      <c r="AN70" s="80">
        <f>countifs($AK$2:$AK$59,"&gt;0",AL2:AL59,"&gt;0")</f>
        <v>0</v>
      </c>
    </row>
    <row r="71">
      <c r="E71" s="76">
        <f t="shared" ref="E71:L71" si="15">E70/sum($E$70:$L$70)</f>
        <v>0</v>
      </c>
      <c r="F71" s="76">
        <f t="shared" si="15"/>
        <v>0</v>
      </c>
      <c r="G71" s="76">
        <f t="shared" si="15"/>
        <v>0.2</v>
      </c>
      <c r="H71" s="76">
        <f t="shared" si="15"/>
        <v>0.1</v>
      </c>
      <c r="I71" s="76">
        <f t="shared" si="15"/>
        <v>0</v>
      </c>
      <c r="J71" s="76">
        <f t="shared" si="15"/>
        <v>0.4</v>
      </c>
      <c r="K71" s="76">
        <f t="shared" si="15"/>
        <v>0.3</v>
      </c>
      <c r="L71" s="76">
        <f t="shared" si="15"/>
        <v>0</v>
      </c>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7.29" defaultRowHeight="15.0"/>
  <cols>
    <col customWidth="1" min="1" max="1" width="5.57"/>
    <col customWidth="1" min="2" max="2" width="9.29"/>
    <col customWidth="1" min="3" max="3" width="16.0"/>
    <col customWidth="1" min="4" max="4" width="25.71"/>
    <col customWidth="1" min="10" max="10" width="10.0"/>
    <col customWidth="1" min="11" max="11" width="4.86"/>
    <col customWidth="1" min="12" max="12" width="6.43"/>
    <col customWidth="1" min="13" max="13" width="8.29"/>
    <col customWidth="1" min="14" max="14" width="6.71"/>
    <col customWidth="1" min="15" max="15" width="28.0"/>
    <col customWidth="1" min="16" max="16" width="19.43"/>
    <col customWidth="1" min="17" max="17" width="16.0"/>
    <col customWidth="1" min="18" max="18" width="22.71"/>
    <col customWidth="1" min="19" max="19" width="25.86"/>
    <col customWidth="1" min="20" max="20" width="25.71"/>
    <col customWidth="1" min="21" max="21" width="14.14"/>
    <col customWidth="1" min="22" max="22" width="20.57"/>
    <col customWidth="1" min="23" max="23" width="23.43"/>
    <col customWidth="1" min="24" max="24" width="18.43"/>
    <col customWidth="1" min="25" max="25" width="14.57"/>
    <col customWidth="1" min="26" max="26" width="9.71"/>
    <col customWidth="1" min="27" max="27" width="14.86"/>
    <col customWidth="1" min="28" max="28" width="26.86"/>
    <col customWidth="1" min="29" max="29" width="12.0"/>
    <col customWidth="1" min="30" max="30" width="9.71"/>
    <col customWidth="1" min="31" max="31" width="8.71"/>
    <col customWidth="1" min="32" max="34" width="9.43"/>
    <col customWidth="1" min="35" max="35" width="8.71"/>
    <col customWidth="1" min="36" max="36" width="6.14"/>
    <col customWidth="1" min="37" max="37" width="6.57"/>
    <col customWidth="1" min="38" max="39" width="8.71"/>
    <col customWidth="1" min="40" max="40" width="6.57"/>
    <col customWidth="1" min="41" max="42" width="8.71"/>
    <col customWidth="1" min="43" max="44" width="9.14"/>
    <col customWidth="1" min="45" max="45" width="11.29"/>
  </cols>
  <sheetData>
    <row r="1">
      <c r="A1" s="310" t="s">
        <v>1355</v>
      </c>
      <c r="B1" s="310" t="s">
        <v>1356</v>
      </c>
      <c r="C1" s="309" t="s">
        <v>1246</v>
      </c>
      <c r="D1" s="310" t="s">
        <v>331</v>
      </c>
      <c r="E1" s="310" t="s">
        <v>1357</v>
      </c>
      <c r="F1" s="310" t="s">
        <v>1</v>
      </c>
      <c r="G1" s="310" t="s">
        <v>4</v>
      </c>
      <c r="H1" s="310" t="s">
        <v>1358</v>
      </c>
      <c r="I1" s="310" t="s">
        <v>1359</v>
      </c>
      <c r="J1" s="310" t="s">
        <v>336</v>
      </c>
      <c r="K1" s="310" t="s">
        <v>337</v>
      </c>
      <c r="L1" s="311" t="s">
        <v>338</v>
      </c>
      <c r="M1" s="311" t="s">
        <v>332</v>
      </c>
      <c r="N1" s="311" t="s">
        <v>1360</v>
      </c>
      <c r="O1" s="310" t="s">
        <v>339</v>
      </c>
      <c r="P1" s="340" t="s">
        <v>1361</v>
      </c>
      <c r="Q1" s="340" t="s">
        <v>1362</v>
      </c>
      <c r="R1" s="339" t="s">
        <v>1363</v>
      </c>
      <c r="S1" s="339" t="s">
        <v>1627</v>
      </c>
      <c r="T1" s="339" t="s">
        <v>1628</v>
      </c>
      <c r="U1" s="340" t="s">
        <v>1364</v>
      </c>
      <c r="V1" s="340" t="s">
        <v>1407</v>
      </c>
      <c r="W1" s="340" t="s">
        <v>1366</v>
      </c>
      <c r="X1" s="340" t="s">
        <v>1367</v>
      </c>
      <c r="Y1" s="671" t="s">
        <v>1368</v>
      </c>
      <c r="Z1" s="671" t="s">
        <v>1369</v>
      </c>
      <c r="AA1" s="672" t="s">
        <v>1370</v>
      </c>
      <c r="AB1" s="672" t="s">
        <v>1371</v>
      </c>
      <c r="AC1" s="343" t="s">
        <v>1372</v>
      </c>
      <c r="AD1" s="344" t="s">
        <v>1373</v>
      </c>
      <c r="AE1" s="313" t="s">
        <v>1374</v>
      </c>
      <c r="AF1" s="265"/>
      <c r="AG1" s="265"/>
      <c r="AH1" s="265"/>
      <c r="AI1" s="265"/>
      <c r="AJ1" s="345" t="s">
        <v>389</v>
      </c>
      <c r="AK1" s="346" t="s">
        <v>420</v>
      </c>
      <c r="AL1" s="347" t="s">
        <v>358</v>
      </c>
      <c r="AM1" s="348" t="s">
        <v>363</v>
      </c>
      <c r="AN1" s="349" t="s">
        <v>413</v>
      </c>
      <c r="AO1" s="350" t="s">
        <v>357</v>
      </c>
      <c r="AP1" s="351" t="s">
        <v>380</v>
      </c>
      <c r="AQ1" s="352" t="s">
        <v>387</v>
      </c>
      <c r="AR1" s="353" t="s">
        <v>1375</v>
      </c>
      <c r="AS1" s="353" t="s">
        <v>1376</v>
      </c>
    </row>
    <row r="2">
      <c r="A2" s="157">
        <v>1.0</v>
      </c>
      <c r="B2" s="683" t="s">
        <v>1677</v>
      </c>
      <c r="C2" s="684" t="s">
        <v>152</v>
      </c>
      <c r="D2" s="685" t="s">
        <v>629</v>
      </c>
      <c r="E2" s="354">
        <v>40737.0</v>
      </c>
      <c r="F2" s="157" t="s">
        <v>354</v>
      </c>
      <c r="G2" s="157" t="s">
        <v>354</v>
      </c>
      <c r="H2" s="157" t="s">
        <v>354</v>
      </c>
      <c r="I2" s="157" t="s">
        <v>354</v>
      </c>
      <c r="J2" s="157" t="s">
        <v>354</v>
      </c>
      <c r="K2" s="158">
        <v>3.0</v>
      </c>
      <c r="L2" s="158" t="s">
        <v>635</v>
      </c>
      <c r="M2" s="265"/>
      <c r="N2" s="265"/>
      <c r="O2" s="158" t="s">
        <v>600</v>
      </c>
      <c r="P2" s="157">
        <v>0.0</v>
      </c>
      <c r="Q2" s="157">
        <v>0.0</v>
      </c>
      <c r="R2" s="551" t="s">
        <v>354</v>
      </c>
      <c r="S2" s="551" t="s">
        <v>354</v>
      </c>
      <c r="T2" s="551" t="s">
        <v>354</v>
      </c>
      <c r="U2" s="157">
        <v>0.0</v>
      </c>
      <c r="V2" s="157">
        <v>0.0</v>
      </c>
      <c r="W2" s="551" t="s">
        <v>354</v>
      </c>
      <c r="X2" s="551" t="s">
        <v>354</v>
      </c>
      <c r="Y2" s="674" t="s">
        <v>356</v>
      </c>
      <c r="Z2" s="674" t="s">
        <v>354</v>
      </c>
      <c r="AA2" s="675" t="s">
        <v>356</v>
      </c>
      <c r="AB2" s="675" t="s">
        <v>354</v>
      </c>
      <c r="AC2" s="144" t="s">
        <v>365</v>
      </c>
      <c r="AD2" s="40" t="s">
        <v>357</v>
      </c>
      <c r="AE2" s="367">
        <f t="shared" ref="AE2:AE84" si="1">sum(COUNTIF(Y2:AD2,"POS"),countif(P2,"&gt;0"))</f>
        <v>1</v>
      </c>
      <c r="AF2" s="265"/>
      <c r="AG2" s="265"/>
      <c r="AH2" s="265"/>
      <c r="AI2" s="265"/>
      <c r="AJ2" s="80">
        <v>0.0</v>
      </c>
      <c r="AK2" s="80">
        <v>0.0</v>
      </c>
      <c r="AL2" s="80">
        <v>0.0</v>
      </c>
      <c r="AM2" s="224">
        <v>0.0</v>
      </c>
      <c r="AN2" s="80">
        <v>0.0</v>
      </c>
      <c r="AO2" s="224">
        <v>1.0</v>
      </c>
      <c r="AP2" s="80">
        <v>0.0</v>
      </c>
      <c r="AQ2" s="80">
        <v>0.0</v>
      </c>
      <c r="AR2" s="679">
        <f t="shared" ref="AR2:AR84" si="2">sum(AJ2:AQ2)</f>
        <v>1</v>
      </c>
      <c r="AS2" s="679">
        <f t="shared" ref="AS2:AS82" si="3">countif(AJ2:AQ2,"&gt;0")</f>
        <v>1</v>
      </c>
    </row>
    <row r="3">
      <c r="A3" s="157">
        <v>2.0</v>
      </c>
      <c r="B3" s="686" t="s">
        <v>1678</v>
      </c>
      <c r="C3" s="184" t="s">
        <v>129</v>
      </c>
      <c r="D3" s="687" t="s">
        <v>564</v>
      </c>
      <c r="E3" s="354">
        <v>40737.0</v>
      </c>
      <c r="F3" s="157" t="s">
        <v>354</v>
      </c>
      <c r="G3" s="157" t="s">
        <v>354</v>
      </c>
      <c r="H3" s="157" t="s">
        <v>354</v>
      </c>
      <c r="I3" s="157" t="s">
        <v>354</v>
      </c>
      <c r="J3" s="157" t="s">
        <v>354</v>
      </c>
      <c r="K3" s="184">
        <v>0.0</v>
      </c>
      <c r="L3" s="184" t="s">
        <v>568</v>
      </c>
      <c r="M3" s="265"/>
      <c r="N3" s="265"/>
      <c r="O3" s="184" t="s">
        <v>371</v>
      </c>
      <c r="P3" s="157">
        <v>0.0</v>
      </c>
      <c r="Q3" s="154">
        <v>28.36</v>
      </c>
      <c r="R3" s="551" t="s">
        <v>356</v>
      </c>
      <c r="S3" s="551" t="s">
        <v>356</v>
      </c>
      <c r="T3" s="551" t="s">
        <v>356</v>
      </c>
      <c r="U3" s="157">
        <v>0.0</v>
      </c>
      <c r="V3" s="157">
        <v>0.0</v>
      </c>
      <c r="W3" s="551" t="s">
        <v>354</v>
      </c>
      <c r="X3" s="551" t="s">
        <v>354</v>
      </c>
      <c r="Y3" s="674" t="s">
        <v>356</v>
      </c>
      <c r="Z3" s="674" t="s">
        <v>354</v>
      </c>
      <c r="AA3" s="675" t="s">
        <v>356</v>
      </c>
      <c r="AB3" s="675" t="s">
        <v>354</v>
      </c>
      <c r="AC3" s="139" t="s">
        <v>356</v>
      </c>
      <c r="AD3" s="139" t="s">
        <v>354</v>
      </c>
      <c r="AE3" s="46">
        <f t="shared" si="1"/>
        <v>0</v>
      </c>
      <c r="AF3" s="265"/>
      <c r="AG3" s="265"/>
      <c r="AH3" s="265"/>
      <c r="AI3" s="265"/>
      <c r="AJ3" s="80">
        <v>0.0</v>
      </c>
      <c r="AK3" s="80">
        <v>0.0</v>
      </c>
      <c r="AL3" s="80">
        <v>0.0</v>
      </c>
      <c r="AM3" s="224">
        <v>0.0</v>
      </c>
      <c r="AN3" s="80">
        <v>0.0</v>
      </c>
      <c r="AO3" s="224">
        <v>0.0</v>
      </c>
      <c r="AP3" s="80">
        <v>0.0</v>
      </c>
      <c r="AQ3" s="80">
        <v>0.0</v>
      </c>
      <c r="AR3" s="235">
        <f t="shared" si="2"/>
        <v>0</v>
      </c>
      <c r="AS3" s="235">
        <f t="shared" si="3"/>
        <v>0</v>
      </c>
    </row>
    <row r="4">
      <c r="A4" s="157">
        <v>3.0</v>
      </c>
      <c r="B4" s="683" t="s">
        <v>1052</v>
      </c>
      <c r="C4" s="158" t="s">
        <v>1050</v>
      </c>
      <c r="D4" s="688" t="s">
        <v>1051</v>
      </c>
      <c r="E4" s="354">
        <v>40737.0</v>
      </c>
      <c r="F4" s="157" t="s">
        <v>354</v>
      </c>
      <c r="G4" s="157" t="s">
        <v>354</v>
      </c>
      <c r="H4" s="157" t="s">
        <v>354</v>
      </c>
      <c r="I4" s="157" t="s">
        <v>354</v>
      </c>
      <c r="J4" s="157" t="s">
        <v>354</v>
      </c>
      <c r="K4" s="158">
        <v>1.0</v>
      </c>
      <c r="L4" s="158" t="s">
        <v>1053</v>
      </c>
      <c r="M4" s="265"/>
      <c r="N4" s="265"/>
      <c r="O4" s="158" t="s">
        <v>455</v>
      </c>
      <c r="P4" s="157">
        <v>0.0</v>
      </c>
      <c r="Q4" s="157">
        <v>0.0</v>
      </c>
      <c r="R4" s="551" t="s">
        <v>354</v>
      </c>
      <c r="S4" s="551" t="s">
        <v>354</v>
      </c>
      <c r="T4" s="551" t="s">
        <v>354</v>
      </c>
      <c r="U4" s="157">
        <v>0.0</v>
      </c>
      <c r="V4" s="157">
        <v>0.0</v>
      </c>
      <c r="W4" s="551" t="s">
        <v>354</v>
      </c>
      <c r="X4" s="551" t="s">
        <v>354</v>
      </c>
      <c r="Y4" s="674" t="s">
        <v>356</v>
      </c>
      <c r="Z4" s="674" t="s">
        <v>354</v>
      </c>
      <c r="AA4" s="675" t="s">
        <v>356</v>
      </c>
      <c r="AB4" s="675" t="s">
        <v>354</v>
      </c>
      <c r="AC4" s="139" t="s">
        <v>356</v>
      </c>
      <c r="AD4" s="139" t="s">
        <v>354</v>
      </c>
      <c r="AE4" s="46">
        <f t="shared" si="1"/>
        <v>0</v>
      </c>
      <c r="AF4" s="265"/>
      <c r="AG4" s="265"/>
      <c r="AH4" s="265"/>
      <c r="AI4" s="265"/>
      <c r="AJ4" s="80">
        <v>0.0</v>
      </c>
      <c r="AK4" s="80">
        <v>0.0</v>
      </c>
      <c r="AL4" s="80">
        <v>0.0</v>
      </c>
      <c r="AM4" s="224">
        <v>0.0</v>
      </c>
      <c r="AN4" s="80">
        <v>0.0</v>
      </c>
      <c r="AO4" s="224">
        <v>0.0</v>
      </c>
      <c r="AP4" s="80">
        <v>0.0</v>
      </c>
      <c r="AQ4" s="80">
        <v>0.0</v>
      </c>
      <c r="AR4" s="235">
        <f t="shared" si="2"/>
        <v>0</v>
      </c>
      <c r="AS4" s="235">
        <f t="shared" si="3"/>
        <v>0</v>
      </c>
    </row>
    <row r="5">
      <c r="A5" s="157">
        <v>4.0</v>
      </c>
      <c r="B5" s="683" t="s">
        <v>1679</v>
      </c>
      <c r="C5" s="638" t="s">
        <v>1680</v>
      </c>
      <c r="D5" s="689" t="s">
        <v>645</v>
      </c>
      <c r="E5" s="354">
        <v>40737.0</v>
      </c>
      <c r="F5" s="157" t="s">
        <v>354</v>
      </c>
      <c r="G5" s="157" t="s">
        <v>354</v>
      </c>
      <c r="H5" s="157" t="s">
        <v>354</v>
      </c>
      <c r="I5" s="157" t="s">
        <v>354</v>
      </c>
      <c r="J5" s="157" t="s">
        <v>354</v>
      </c>
      <c r="K5" s="158">
        <v>3.0</v>
      </c>
      <c r="L5" s="158" t="s">
        <v>647</v>
      </c>
      <c r="M5" s="265"/>
      <c r="N5" s="265"/>
      <c r="O5" s="158" t="s">
        <v>600</v>
      </c>
      <c r="P5" s="157">
        <v>0.0</v>
      </c>
      <c r="Q5" s="157">
        <v>0.0</v>
      </c>
      <c r="R5" s="551" t="s">
        <v>354</v>
      </c>
      <c r="S5" s="551" t="s">
        <v>354</v>
      </c>
      <c r="T5" s="551" t="s">
        <v>354</v>
      </c>
      <c r="U5" s="157">
        <v>0.0</v>
      </c>
      <c r="V5" s="140">
        <v>38.05</v>
      </c>
      <c r="W5" s="552" t="s">
        <v>361</v>
      </c>
      <c r="X5" s="552" t="s">
        <v>361</v>
      </c>
      <c r="Y5" s="681" t="s">
        <v>365</v>
      </c>
      <c r="Z5" s="40" t="s">
        <v>357</v>
      </c>
      <c r="AA5" s="677" t="s">
        <v>365</v>
      </c>
      <c r="AB5" s="40" t="s">
        <v>357</v>
      </c>
      <c r="AC5" s="144" t="s">
        <v>365</v>
      </c>
      <c r="AD5" s="40" t="s">
        <v>357</v>
      </c>
      <c r="AE5" s="357">
        <f t="shared" si="1"/>
        <v>3</v>
      </c>
      <c r="AF5" s="265"/>
      <c r="AG5" s="265"/>
      <c r="AH5" s="265"/>
      <c r="AI5" s="265"/>
      <c r="AJ5" s="80">
        <v>0.0</v>
      </c>
      <c r="AK5" s="80">
        <v>0.0</v>
      </c>
      <c r="AL5" s="80">
        <v>0.0</v>
      </c>
      <c r="AM5" s="224">
        <v>0.0</v>
      </c>
      <c r="AN5" s="80">
        <v>0.0</v>
      </c>
      <c r="AO5" s="224">
        <v>3.0</v>
      </c>
      <c r="AP5" s="80">
        <v>0.0</v>
      </c>
      <c r="AQ5" s="80">
        <v>0.0</v>
      </c>
      <c r="AR5" s="678">
        <f t="shared" si="2"/>
        <v>3</v>
      </c>
      <c r="AS5" s="678">
        <f t="shared" si="3"/>
        <v>1</v>
      </c>
    </row>
    <row r="6">
      <c r="A6" s="157">
        <v>5.0</v>
      </c>
      <c r="B6" s="686" t="s">
        <v>957</v>
      </c>
      <c r="C6" s="690" t="s">
        <v>955</v>
      </c>
      <c r="D6" s="691" t="s">
        <v>956</v>
      </c>
      <c r="E6" s="354">
        <v>40737.0</v>
      </c>
      <c r="F6" s="157" t="s">
        <v>354</v>
      </c>
      <c r="G6" s="157" t="s">
        <v>354</v>
      </c>
      <c r="H6" s="157" t="s">
        <v>354</v>
      </c>
      <c r="I6" s="157" t="s">
        <v>354</v>
      </c>
      <c r="J6" s="157" t="s">
        <v>354</v>
      </c>
      <c r="K6" s="184">
        <v>0.0</v>
      </c>
      <c r="L6" s="184" t="s">
        <v>354</v>
      </c>
      <c r="M6" s="265"/>
      <c r="N6" s="265"/>
      <c r="O6" s="184" t="s">
        <v>371</v>
      </c>
      <c r="P6" s="157">
        <v>0.0</v>
      </c>
      <c r="Q6" s="157">
        <v>0.0</v>
      </c>
      <c r="R6" s="551" t="s">
        <v>354</v>
      </c>
      <c r="S6" s="551" t="s">
        <v>354</v>
      </c>
      <c r="T6" s="551" t="s">
        <v>354</v>
      </c>
      <c r="U6" s="157">
        <v>0.0</v>
      </c>
      <c r="V6" s="157">
        <v>0.0</v>
      </c>
      <c r="W6" s="551" t="s">
        <v>354</v>
      </c>
      <c r="X6" s="551" t="s">
        <v>354</v>
      </c>
      <c r="Y6" s="674" t="s">
        <v>356</v>
      </c>
      <c r="Z6" s="674" t="s">
        <v>354</v>
      </c>
      <c r="AA6" s="675" t="s">
        <v>356</v>
      </c>
      <c r="AB6" s="675" t="s">
        <v>354</v>
      </c>
      <c r="AC6" s="139" t="s">
        <v>356</v>
      </c>
      <c r="AD6" s="139" t="s">
        <v>354</v>
      </c>
      <c r="AE6" s="46">
        <f t="shared" si="1"/>
        <v>0</v>
      </c>
      <c r="AF6" s="265"/>
      <c r="AG6" s="265"/>
      <c r="AH6" s="265"/>
      <c r="AI6" s="265"/>
      <c r="AJ6" s="80">
        <v>0.0</v>
      </c>
      <c r="AK6" s="80">
        <v>0.0</v>
      </c>
      <c r="AL6" s="80">
        <v>0.0</v>
      </c>
      <c r="AM6" s="224">
        <v>0.0</v>
      </c>
      <c r="AN6" s="80">
        <v>0.0</v>
      </c>
      <c r="AO6" s="224">
        <v>0.0</v>
      </c>
      <c r="AP6" s="80">
        <v>0.0</v>
      </c>
      <c r="AQ6" s="80">
        <v>0.0</v>
      </c>
      <c r="AR6" s="235">
        <f t="shared" si="2"/>
        <v>0</v>
      </c>
      <c r="AS6" s="235">
        <f t="shared" si="3"/>
        <v>0</v>
      </c>
    </row>
    <row r="7">
      <c r="A7" s="157">
        <v>6.0</v>
      </c>
      <c r="B7" s="686" t="s">
        <v>1681</v>
      </c>
      <c r="C7" s="184" t="s">
        <v>1672</v>
      </c>
      <c r="D7" s="691" t="s">
        <v>421</v>
      </c>
      <c r="E7" s="354">
        <v>40737.0</v>
      </c>
      <c r="F7" s="157" t="s">
        <v>354</v>
      </c>
      <c r="G7" s="157" t="s">
        <v>354</v>
      </c>
      <c r="H7" s="157" t="s">
        <v>354</v>
      </c>
      <c r="I7" s="157" t="s">
        <v>354</v>
      </c>
      <c r="J7" s="157" t="s">
        <v>354</v>
      </c>
      <c r="K7" s="184">
        <v>0.0</v>
      </c>
      <c r="L7" s="184" t="s">
        <v>354</v>
      </c>
      <c r="M7" s="265"/>
      <c r="N7" s="265"/>
      <c r="O7" s="184" t="s">
        <v>371</v>
      </c>
      <c r="P7" s="157">
        <v>0.0</v>
      </c>
      <c r="Q7" s="157">
        <v>0.0</v>
      </c>
      <c r="R7" s="551" t="s">
        <v>354</v>
      </c>
      <c r="S7" s="551" t="s">
        <v>354</v>
      </c>
      <c r="T7" s="551" t="s">
        <v>354</v>
      </c>
      <c r="U7" s="157">
        <v>0.0</v>
      </c>
      <c r="V7" s="157">
        <v>0.0</v>
      </c>
      <c r="W7" s="551" t="s">
        <v>354</v>
      </c>
      <c r="X7" s="551" t="s">
        <v>354</v>
      </c>
      <c r="Y7" s="674" t="s">
        <v>356</v>
      </c>
      <c r="Z7" s="674" t="s">
        <v>354</v>
      </c>
      <c r="AA7" s="675" t="s">
        <v>356</v>
      </c>
      <c r="AB7" s="675" t="s">
        <v>354</v>
      </c>
      <c r="AC7" s="139" t="s">
        <v>356</v>
      </c>
      <c r="AD7" s="139" t="s">
        <v>354</v>
      </c>
      <c r="AE7" s="46">
        <f t="shared" si="1"/>
        <v>0</v>
      </c>
      <c r="AF7" s="265"/>
      <c r="AG7" s="265"/>
      <c r="AH7" s="265"/>
      <c r="AI7" s="265"/>
      <c r="AJ7" s="80">
        <v>0.0</v>
      </c>
      <c r="AK7" s="80">
        <v>0.0</v>
      </c>
      <c r="AL7" s="80">
        <v>0.0</v>
      </c>
      <c r="AM7" s="224">
        <v>0.0</v>
      </c>
      <c r="AN7" s="80">
        <v>0.0</v>
      </c>
      <c r="AO7" s="224">
        <v>0.0</v>
      </c>
      <c r="AP7" s="80">
        <v>0.0</v>
      </c>
      <c r="AQ7" s="80">
        <v>0.0</v>
      </c>
      <c r="AR7" s="235">
        <f t="shared" si="2"/>
        <v>0</v>
      </c>
      <c r="AS7" s="235">
        <f t="shared" si="3"/>
        <v>0</v>
      </c>
    </row>
    <row r="8">
      <c r="A8" s="157">
        <v>7.0</v>
      </c>
      <c r="B8" s="686" t="s">
        <v>1682</v>
      </c>
      <c r="C8" s="184" t="s">
        <v>6</v>
      </c>
      <c r="D8" s="687" t="s">
        <v>1599</v>
      </c>
      <c r="E8" s="354">
        <v>40737.0</v>
      </c>
      <c r="F8" s="157" t="s">
        <v>354</v>
      </c>
      <c r="G8" s="157" t="s">
        <v>354</v>
      </c>
      <c r="H8" s="157" t="s">
        <v>354</v>
      </c>
      <c r="I8" s="157" t="s">
        <v>354</v>
      </c>
      <c r="J8" s="157" t="s">
        <v>354</v>
      </c>
      <c r="K8" s="184">
        <v>0.0</v>
      </c>
      <c r="L8" s="184" t="s">
        <v>354</v>
      </c>
      <c r="M8" s="265"/>
      <c r="N8" s="265"/>
      <c r="O8" s="184" t="s">
        <v>371</v>
      </c>
      <c r="P8" s="157">
        <v>0.0</v>
      </c>
      <c r="Q8" s="157">
        <v>0.0</v>
      </c>
      <c r="R8" s="551" t="s">
        <v>354</v>
      </c>
      <c r="S8" s="551" t="s">
        <v>354</v>
      </c>
      <c r="T8" s="551" t="s">
        <v>354</v>
      </c>
      <c r="U8" s="157">
        <v>0.0</v>
      </c>
      <c r="V8" s="157">
        <v>0.0</v>
      </c>
      <c r="W8" s="551" t="s">
        <v>354</v>
      </c>
      <c r="X8" s="551" t="s">
        <v>354</v>
      </c>
      <c r="Y8" s="674" t="s">
        <v>356</v>
      </c>
      <c r="Z8" s="674" t="s">
        <v>354</v>
      </c>
      <c r="AA8" s="675" t="s">
        <v>356</v>
      </c>
      <c r="AB8" s="675" t="s">
        <v>354</v>
      </c>
      <c r="AC8" s="139" t="s">
        <v>356</v>
      </c>
      <c r="AD8" s="139" t="s">
        <v>354</v>
      </c>
      <c r="AE8" s="46">
        <f t="shared" si="1"/>
        <v>0</v>
      </c>
      <c r="AF8" s="265"/>
      <c r="AG8" s="265"/>
      <c r="AH8" s="265"/>
      <c r="AI8" s="265"/>
      <c r="AJ8" s="80">
        <v>0.0</v>
      </c>
      <c r="AK8" s="80">
        <v>0.0</v>
      </c>
      <c r="AL8" s="80">
        <v>0.0</v>
      </c>
      <c r="AM8" s="224">
        <v>0.0</v>
      </c>
      <c r="AN8" s="80">
        <v>0.0</v>
      </c>
      <c r="AO8" s="224">
        <v>0.0</v>
      </c>
      <c r="AP8" s="80">
        <v>0.0</v>
      </c>
      <c r="AQ8" s="80">
        <v>0.0</v>
      </c>
      <c r="AR8" s="235">
        <f t="shared" si="2"/>
        <v>0</v>
      </c>
      <c r="AS8" s="235">
        <f t="shared" si="3"/>
        <v>0</v>
      </c>
    </row>
    <row r="9">
      <c r="A9" s="157">
        <v>8.0</v>
      </c>
      <c r="B9" s="683" t="s">
        <v>1683</v>
      </c>
      <c r="C9" s="158" t="s">
        <v>120</v>
      </c>
      <c r="D9" s="692" t="s">
        <v>552</v>
      </c>
      <c r="E9" s="354">
        <v>40737.0</v>
      </c>
      <c r="F9" s="157" t="s">
        <v>354</v>
      </c>
      <c r="G9" s="157" t="s">
        <v>354</v>
      </c>
      <c r="H9" s="157" t="s">
        <v>354</v>
      </c>
      <c r="I9" s="157" t="s">
        <v>354</v>
      </c>
      <c r="J9" s="157" t="s">
        <v>354</v>
      </c>
      <c r="K9" s="158">
        <v>0.0</v>
      </c>
      <c r="L9" s="158" t="s">
        <v>555</v>
      </c>
      <c r="M9" s="265"/>
      <c r="N9" s="265"/>
      <c r="O9" s="158" t="s">
        <v>556</v>
      </c>
      <c r="P9" s="157">
        <v>0.0</v>
      </c>
      <c r="Q9" s="157">
        <v>0.0</v>
      </c>
      <c r="R9" s="551" t="s">
        <v>354</v>
      </c>
      <c r="S9" s="551" t="s">
        <v>354</v>
      </c>
      <c r="T9" s="551" t="s">
        <v>354</v>
      </c>
      <c r="U9" s="157">
        <v>0.0</v>
      </c>
      <c r="V9" s="157">
        <v>0.0</v>
      </c>
      <c r="W9" s="551" t="s">
        <v>354</v>
      </c>
      <c r="X9" s="551" t="s">
        <v>354</v>
      </c>
      <c r="Y9" s="674" t="s">
        <v>356</v>
      </c>
      <c r="Z9" s="674" t="s">
        <v>354</v>
      </c>
      <c r="AA9" s="675" t="s">
        <v>356</v>
      </c>
      <c r="AB9" s="675" t="s">
        <v>354</v>
      </c>
      <c r="AC9" s="139" t="s">
        <v>356</v>
      </c>
      <c r="AD9" s="139" t="s">
        <v>354</v>
      </c>
      <c r="AE9" s="46">
        <f t="shared" si="1"/>
        <v>0</v>
      </c>
      <c r="AF9" s="265"/>
      <c r="AG9" s="265"/>
      <c r="AH9" s="265"/>
      <c r="AI9" s="265"/>
      <c r="AJ9" s="80">
        <v>0.0</v>
      </c>
      <c r="AK9" s="80">
        <v>0.0</v>
      </c>
      <c r="AL9" s="80">
        <v>0.0</v>
      </c>
      <c r="AM9" s="224">
        <v>0.0</v>
      </c>
      <c r="AN9" s="80">
        <v>0.0</v>
      </c>
      <c r="AO9" s="224">
        <v>0.0</v>
      </c>
      <c r="AP9" s="80">
        <v>0.0</v>
      </c>
      <c r="AQ9" s="80">
        <v>0.0</v>
      </c>
      <c r="AR9" s="235">
        <f t="shared" si="2"/>
        <v>0</v>
      </c>
      <c r="AS9" s="235">
        <f t="shared" si="3"/>
        <v>0</v>
      </c>
    </row>
    <row r="10">
      <c r="A10" s="157">
        <v>9.0</v>
      </c>
      <c r="B10" s="686" t="s">
        <v>1684</v>
      </c>
      <c r="C10" s="184" t="s">
        <v>101</v>
      </c>
      <c r="D10" s="687" t="s">
        <v>518</v>
      </c>
      <c r="E10" s="354">
        <v>40737.0</v>
      </c>
      <c r="F10" s="157" t="s">
        <v>354</v>
      </c>
      <c r="G10" s="157" t="s">
        <v>354</v>
      </c>
      <c r="H10" s="157" t="s">
        <v>354</v>
      </c>
      <c r="I10" s="157" t="s">
        <v>354</v>
      </c>
      <c r="J10" s="157" t="s">
        <v>354</v>
      </c>
      <c r="K10" s="184">
        <v>0.0</v>
      </c>
      <c r="L10" s="184" t="s">
        <v>354</v>
      </c>
      <c r="M10" s="265"/>
      <c r="N10" s="265"/>
      <c r="O10" s="184" t="s">
        <v>371</v>
      </c>
      <c r="P10" s="157">
        <v>0.0</v>
      </c>
      <c r="Q10" s="157">
        <v>0.0</v>
      </c>
      <c r="R10" s="551" t="s">
        <v>354</v>
      </c>
      <c r="S10" s="551" t="s">
        <v>354</v>
      </c>
      <c r="T10" s="551" t="s">
        <v>354</v>
      </c>
      <c r="U10" s="157">
        <v>0.0</v>
      </c>
      <c r="V10" s="157">
        <v>0.0</v>
      </c>
      <c r="W10" s="551" t="s">
        <v>354</v>
      </c>
      <c r="X10" s="551" t="s">
        <v>354</v>
      </c>
      <c r="Y10" s="681" t="s">
        <v>365</v>
      </c>
      <c r="Z10" s="40" t="s">
        <v>357</v>
      </c>
      <c r="AA10" s="677" t="s">
        <v>365</v>
      </c>
      <c r="AB10" s="40" t="s">
        <v>357</v>
      </c>
      <c r="AC10" s="144" t="s">
        <v>365</v>
      </c>
      <c r="AD10" s="40" t="s">
        <v>357</v>
      </c>
      <c r="AE10" s="357">
        <f t="shared" si="1"/>
        <v>3</v>
      </c>
      <c r="AF10" s="265"/>
      <c r="AG10" s="265"/>
      <c r="AH10" s="265"/>
      <c r="AI10" s="265"/>
      <c r="AJ10" s="80">
        <v>0.0</v>
      </c>
      <c r="AK10" s="80">
        <v>0.0</v>
      </c>
      <c r="AL10" s="80">
        <v>0.0</v>
      </c>
      <c r="AM10" s="224">
        <v>0.0</v>
      </c>
      <c r="AN10" s="80">
        <v>0.0</v>
      </c>
      <c r="AO10" s="224">
        <v>3.0</v>
      </c>
      <c r="AP10" s="80">
        <v>0.0</v>
      </c>
      <c r="AQ10" s="80">
        <v>0.0</v>
      </c>
      <c r="AR10" s="678">
        <f t="shared" si="2"/>
        <v>3</v>
      </c>
      <c r="AS10" s="678">
        <f t="shared" si="3"/>
        <v>1</v>
      </c>
    </row>
    <row r="11">
      <c r="A11" s="157">
        <v>10.0</v>
      </c>
      <c r="B11" s="673" t="s">
        <v>1685</v>
      </c>
      <c r="C11" s="157" t="s">
        <v>158</v>
      </c>
      <c r="D11" s="482" t="s">
        <v>640</v>
      </c>
      <c r="E11" s="354">
        <v>40737.0</v>
      </c>
      <c r="F11" s="157" t="s">
        <v>354</v>
      </c>
      <c r="G11" s="157" t="s">
        <v>354</v>
      </c>
      <c r="H11" s="157" t="s">
        <v>354</v>
      </c>
      <c r="I11" s="157" t="s">
        <v>354</v>
      </c>
      <c r="J11" s="157" t="s">
        <v>354</v>
      </c>
      <c r="K11" s="157" t="s">
        <v>354</v>
      </c>
      <c r="L11" s="157"/>
      <c r="M11" s="157" t="s">
        <v>354</v>
      </c>
      <c r="N11" s="157" t="s">
        <v>354</v>
      </c>
      <c r="O11" s="157" t="s">
        <v>354</v>
      </c>
      <c r="P11" s="154">
        <v>37.0358193492265</v>
      </c>
      <c r="Q11" s="157">
        <v>0.0</v>
      </c>
      <c r="R11" s="551" t="s">
        <v>354</v>
      </c>
      <c r="S11" s="551" t="s">
        <v>354</v>
      </c>
      <c r="T11" s="551" t="s">
        <v>354</v>
      </c>
      <c r="U11" s="157">
        <v>0.0</v>
      </c>
      <c r="V11" s="157">
        <v>0.0</v>
      </c>
      <c r="W11" s="551" t="s">
        <v>354</v>
      </c>
      <c r="X11" s="551" t="s">
        <v>354</v>
      </c>
      <c r="Y11" s="674" t="s">
        <v>356</v>
      </c>
      <c r="Z11" s="674" t="s">
        <v>354</v>
      </c>
      <c r="AA11" s="675" t="s">
        <v>356</v>
      </c>
      <c r="AB11" s="675" t="s">
        <v>354</v>
      </c>
      <c r="AC11" s="139" t="s">
        <v>356</v>
      </c>
      <c r="AD11" s="139" t="s">
        <v>354</v>
      </c>
      <c r="AE11" s="46">
        <f t="shared" si="1"/>
        <v>1</v>
      </c>
      <c r="AF11" s="265"/>
      <c r="AG11" s="265"/>
      <c r="AH11" s="265"/>
      <c r="AI11" s="265"/>
      <c r="AJ11" s="80">
        <v>0.0</v>
      </c>
      <c r="AK11" s="80">
        <v>0.0</v>
      </c>
      <c r="AL11" s="80">
        <v>0.0</v>
      </c>
      <c r="AM11" s="224">
        <v>0.0</v>
      </c>
      <c r="AN11" s="80">
        <v>0.0</v>
      </c>
      <c r="AO11" s="224">
        <v>0.0</v>
      </c>
      <c r="AP11" s="80">
        <v>0.0</v>
      </c>
      <c r="AQ11" s="80">
        <v>0.0</v>
      </c>
      <c r="AR11" s="235">
        <f t="shared" si="2"/>
        <v>0</v>
      </c>
      <c r="AS11" s="235">
        <f t="shared" si="3"/>
        <v>0</v>
      </c>
    </row>
    <row r="12">
      <c r="A12" s="157">
        <v>11.0</v>
      </c>
      <c r="B12" s="683" t="s">
        <v>1686</v>
      </c>
      <c r="C12" s="78" t="s">
        <v>939</v>
      </c>
      <c r="D12" s="692" t="s">
        <v>940</v>
      </c>
      <c r="E12" s="354">
        <v>40737.0</v>
      </c>
      <c r="F12" s="157" t="s">
        <v>354</v>
      </c>
      <c r="G12" s="157" t="s">
        <v>354</v>
      </c>
      <c r="H12" s="157" t="s">
        <v>354</v>
      </c>
      <c r="I12" s="157" t="s">
        <v>354</v>
      </c>
      <c r="J12" s="157" t="s">
        <v>354</v>
      </c>
      <c r="K12" s="158">
        <v>1.0</v>
      </c>
      <c r="L12" s="158" t="s">
        <v>944</v>
      </c>
      <c r="M12" s="265"/>
      <c r="N12" s="265"/>
      <c r="O12" s="158" t="s">
        <v>455</v>
      </c>
      <c r="P12" s="157">
        <v>0.0</v>
      </c>
      <c r="Q12" s="157">
        <v>0.0</v>
      </c>
      <c r="R12" s="551" t="s">
        <v>354</v>
      </c>
      <c r="S12" s="551" t="s">
        <v>354</v>
      </c>
      <c r="T12" s="551" t="s">
        <v>354</v>
      </c>
      <c r="U12" s="157">
        <v>0.0</v>
      </c>
      <c r="V12" s="157">
        <v>0.0</v>
      </c>
      <c r="W12" s="551" t="s">
        <v>354</v>
      </c>
      <c r="X12" s="551" t="s">
        <v>354</v>
      </c>
      <c r="Y12" s="674" t="s">
        <v>356</v>
      </c>
      <c r="Z12" s="674" t="s">
        <v>354</v>
      </c>
      <c r="AA12" s="675" t="s">
        <v>356</v>
      </c>
      <c r="AB12" s="675" t="s">
        <v>354</v>
      </c>
      <c r="AC12" s="139" t="s">
        <v>356</v>
      </c>
      <c r="AD12" s="139" t="s">
        <v>354</v>
      </c>
      <c r="AE12" s="46">
        <f t="shared" si="1"/>
        <v>0</v>
      </c>
      <c r="AF12" s="265"/>
      <c r="AG12" s="265"/>
      <c r="AH12" s="265"/>
      <c r="AI12" s="265"/>
      <c r="AJ12" s="80">
        <v>0.0</v>
      </c>
      <c r="AK12" s="80">
        <v>0.0</v>
      </c>
      <c r="AL12" s="80">
        <v>0.0</v>
      </c>
      <c r="AM12" s="224">
        <v>0.0</v>
      </c>
      <c r="AN12" s="80">
        <v>0.0</v>
      </c>
      <c r="AO12" s="224">
        <v>0.0</v>
      </c>
      <c r="AP12" s="80">
        <v>0.0</v>
      </c>
      <c r="AQ12" s="80">
        <v>0.0</v>
      </c>
      <c r="AR12" s="235">
        <f t="shared" si="2"/>
        <v>0</v>
      </c>
      <c r="AS12" s="235">
        <f t="shared" si="3"/>
        <v>0</v>
      </c>
    </row>
    <row r="13">
      <c r="A13" s="157">
        <v>12.0</v>
      </c>
      <c r="B13" s="683" t="s">
        <v>1687</v>
      </c>
      <c r="C13" s="158" t="s">
        <v>268</v>
      </c>
      <c r="D13" s="692" t="s">
        <v>1626</v>
      </c>
      <c r="E13" s="354">
        <v>40737.0</v>
      </c>
      <c r="F13" s="157" t="s">
        <v>354</v>
      </c>
      <c r="G13" s="157" t="s">
        <v>354</v>
      </c>
      <c r="H13" s="157" t="s">
        <v>354</v>
      </c>
      <c r="I13" s="157" t="s">
        <v>354</v>
      </c>
      <c r="J13" s="157" t="s">
        <v>354</v>
      </c>
      <c r="K13" s="158">
        <v>2.0</v>
      </c>
      <c r="L13" s="158" t="s">
        <v>922</v>
      </c>
      <c r="M13" s="265"/>
      <c r="N13" s="265"/>
      <c r="O13" s="158" t="s">
        <v>398</v>
      </c>
      <c r="P13" s="157">
        <v>0.0</v>
      </c>
      <c r="Q13" s="157">
        <v>0.0</v>
      </c>
      <c r="R13" s="551" t="s">
        <v>354</v>
      </c>
      <c r="S13" s="551" t="s">
        <v>354</v>
      </c>
      <c r="T13" s="551" t="s">
        <v>354</v>
      </c>
      <c r="U13" s="157">
        <v>0.0</v>
      </c>
      <c r="V13" s="157">
        <v>0.0</v>
      </c>
      <c r="W13" s="551" t="s">
        <v>354</v>
      </c>
      <c r="X13" s="551" t="s">
        <v>354</v>
      </c>
      <c r="Y13" s="674" t="s">
        <v>356</v>
      </c>
      <c r="Z13" s="674" t="s">
        <v>354</v>
      </c>
      <c r="AA13" s="675" t="s">
        <v>356</v>
      </c>
      <c r="AB13" s="675" t="s">
        <v>354</v>
      </c>
      <c r="AC13" s="139" t="s">
        <v>356</v>
      </c>
      <c r="AD13" s="139" t="s">
        <v>354</v>
      </c>
      <c r="AE13" s="46">
        <f t="shared" si="1"/>
        <v>0</v>
      </c>
      <c r="AF13" s="265"/>
      <c r="AG13" s="265"/>
      <c r="AH13" s="265"/>
      <c r="AI13" s="265"/>
      <c r="AJ13" s="80">
        <v>0.0</v>
      </c>
      <c r="AK13" s="80">
        <v>0.0</v>
      </c>
      <c r="AL13" s="80">
        <v>0.0</v>
      </c>
      <c r="AM13" s="224">
        <v>0.0</v>
      </c>
      <c r="AN13" s="80">
        <v>0.0</v>
      </c>
      <c r="AO13" s="224">
        <v>0.0</v>
      </c>
      <c r="AP13" s="80">
        <v>0.0</v>
      </c>
      <c r="AQ13" s="80">
        <v>0.0</v>
      </c>
      <c r="AR13" s="235">
        <f t="shared" si="2"/>
        <v>0</v>
      </c>
      <c r="AS13" s="235">
        <f t="shared" si="3"/>
        <v>0</v>
      </c>
    </row>
    <row r="14">
      <c r="A14" s="157">
        <v>13.0</v>
      </c>
      <c r="B14" s="693" t="s">
        <v>1688</v>
      </c>
      <c r="C14" s="157" t="s">
        <v>1043</v>
      </c>
      <c r="D14" s="273" t="s">
        <v>1043</v>
      </c>
      <c r="E14" s="354">
        <v>40737.0</v>
      </c>
      <c r="F14" s="157" t="s">
        <v>354</v>
      </c>
      <c r="G14" s="157" t="s">
        <v>354</v>
      </c>
      <c r="H14" s="157" t="s">
        <v>354</v>
      </c>
      <c r="I14" s="157" t="s">
        <v>354</v>
      </c>
      <c r="J14" s="157" t="s">
        <v>354</v>
      </c>
      <c r="K14" s="157" t="s">
        <v>354</v>
      </c>
      <c r="L14" s="157"/>
      <c r="M14" s="157" t="s">
        <v>354</v>
      </c>
      <c r="N14" s="157" t="s">
        <v>354</v>
      </c>
      <c r="O14" s="157" t="s">
        <v>354</v>
      </c>
      <c r="P14" s="157">
        <v>0.0</v>
      </c>
      <c r="Q14" s="157">
        <v>0.0</v>
      </c>
      <c r="R14" s="551" t="s">
        <v>354</v>
      </c>
      <c r="S14" s="551" t="s">
        <v>354</v>
      </c>
      <c r="T14" s="551" t="s">
        <v>354</v>
      </c>
      <c r="U14" s="157">
        <v>0.0</v>
      </c>
      <c r="V14" s="157">
        <v>0.0</v>
      </c>
      <c r="W14" s="551" t="s">
        <v>354</v>
      </c>
      <c r="X14" s="551" t="s">
        <v>354</v>
      </c>
      <c r="Y14" s="674" t="s">
        <v>356</v>
      </c>
      <c r="Z14" s="674" t="s">
        <v>354</v>
      </c>
      <c r="AA14" s="675" t="s">
        <v>356</v>
      </c>
      <c r="AB14" s="675" t="s">
        <v>354</v>
      </c>
      <c r="AC14" s="139" t="s">
        <v>356</v>
      </c>
      <c r="AD14" s="139" t="s">
        <v>354</v>
      </c>
      <c r="AE14" s="46">
        <f t="shared" si="1"/>
        <v>0</v>
      </c>
      <c r="AF14" s="265"/>
      <c r="AG14" s="265"/>
      <c r="AH14" s="265"/>
      <c r="AI14" s="265"/>
      <c r="AJ14" s="80">
        <v>0.0</v>
      </c>
      <c r="AK14" s="80">
        <v>0.0</v>
      </c>
      <c r="AL14" s="80">
        <v>0.0</v>
      </c>
      <c r="AM14" s="224">
        <v>0.0</v>
      </c>
      <c r="AN14" s="80">
        <v>0.0</v>
      </c>
      <c r="AO14" s="224">
        <v>0.0</v>
      </c>
      <c r="AP14" s="80">
        <v>0.0</v>
      </c>
      <c r="AQ14" s="80">
        <v>0.0</v>
      </c>
      <c r="AR14" s="235">
        <f t="shared" si="2"/>
        <v>0</v>
      </c>
      <c r="AS14" s="235">
        <f t="shared" si="3"/>
        <v>0</v>
      </c>
    </row>
    <row r="15">
      <c r="A15" s="157">
        <v>14.0</v>
      </c>
      <c r="B15" s="683" t="s">
        <v>1689</v>
      </c>
      <c r="C15" s="78" t="s">
        <v>675</v>
      </c>
      <c r="D15" s="692" t="s">
        <v>676</v>
      </c>
      <c r="E15" s="354">
        <v>40737.0</v>
      </c>
      <c r="F15" s="157" t="s">
        <v>354</v>
      </c>
      <c r="G15" s="157" t="s">
        <v>354</v>
      </c>
      <c r="H15" s="157" t="s">
        <v>354</v>
      </c>
      <c r="I15" s="157" t="s">
        <v>354</v>
      </c>
      <c r="J15" s="157" t="s">
        <v>354</v>
      </c>
      <c r="K15" s="158">
        <v>1.0</v>
      </c>
      <c r="L15" s="158" t="s">
        <v>681</v>
      </c>
      <c r="M15" s="265"/>
      <c r="N15" s="265"/>
      <c r="O15" s="158" t="s">
        <v>455</v>
      </c>
      <c r="P15" s="157">
        <v>0.0</v>
      </c>
      <c r="Q15" s="157">
        <v>0.0</v>
      </c>
      <c r="R15" s="551" t="s">
        <v>354</v>
      </c>
      <c r="S15" s="551" t="s">
        <v>354</v>
      </c>
      <c r="T15" s="551" t="s">
        <v>354</v>
      </c>
      <c r="U15" s="157">
        <v>0.0</v>
      </c>
      <c r="V15" s="157">
        <v>0.0</v>
      </c>
      <c r="W15" s="551" t="s">
        <v>354</v>
      </c>
      <c r="X15" s="551" t="s">
        <v>354</v>
      </c>
      <c r="Y15" s="674" t="s">
        <v>356</v>
      </c>
      <c r="Z15" s="674" t="s">
        <v>354</v>
      </c>
      <c r="AA15" s="675" t="s">
        <v>356</v>
      </c>
      <c r="AB15" s="675" t="s">
        <v>354</v>
      </c>
      <c r="AC15" s="144" t="s">
        <v>365</v>
      </c>
      <c r="AD15" s="40" t="s">
        <v>357</v>
      </c>
      <c r="AE15" s="367">
        <f t="shared" si="1"/>
        <v>1</v>
      </c>
      <c r="AF15" s="265"/>
      <c r="AG15" s="265"/>
      <c r="AH15" s="265"/>
      <c r="AI15" s="265"/>
      <c r="AJ15" s="80">
        <v>0.0</v>
      </c>
      <c r="AK15" s="80">
        <v>0.0</v>
      </c>
      <c r="AL15" s="80">
        <v>0.0</v>
      </c>
      <c r="AM15" s="224">
        <v>0.0</v>
      </c>
      <c r="AN15" s="80">
        <v>0.0</v>
      </c>
      <c r="AO15" s="224">
        <v>1.0</v>
      </c>
      <c r="AP15" s="80">
        <v>0.0</v>
      </c>
      <c r="AQ15" s="80">
        <v>0.0</v>
      </c>
      <c r="AR15" s="679">
        <f t="shared" si="2"/>
        <v>1</v>
      </c>
      <c r="AS15" s="679">
        <f t="shared" si="3"/>
        <v>1</v>
      </c>
    </row>
    <row r="16">
      <c r="A16" s="157">
        <v>15.0</v>
      </c>
      <c r="B16" s="693" t="s">
        <v>1690</v>
      </c>
      <c r="C16" s="157" t="s">
        <v>1020</v>
      </c>
      <c r="D16" s="273" t="s">
        <v>1020</v>
      </c>
      <c r="E16" s="354">
        <v>40737.0</v>
      </c>
      <c r="F16" s="157" t="s">
        <v>354</v>
      </c>
      <c r="G16" s="157" t="s">
        <v>354</v>
      </c>
      <c r="H16" s="157" t="s">
        <v>354</v>
      </c>
      <c r="I16" s="157" t="s">
        <v>354</v>
      </c>
      <c r="J16" s="157" t="s">
        <v>354</v>
      </c>
      <c r="K16" s="157" t="s">
        <v>354</v>
      </c>
      <c r="L16" s="157"/>
      <c r="M16" s="157" t="s">
        <v>354</v>
      </c>
      <c r="N16" s="157" t="s">
        <v>354</v>
      </c>
      <c r="O16" s="157" t="s">
        <v>354</v>
      </c>
      <c r="P16" s="157">
        <v>0.0</v>
      </c>
      <c r="Q16" s="157">
        <v>0.0</v>
      </c>
      <c r="R16" s="551" t="s">
        <v>354</v>
      </c>
      <c r="S16" s="551" t="s">
        <v>354</v>
      </c>
      <c r="T16" s="551" t="s">
        <v>354</v>
      </c>
      <c r="U16" s="157">
        <v>0.0</v>
      </c>
      <c r="V16" s="157">
        <v>0.0</v>
      </c>
      <c r="W16" s="551" t="s">
        <v>354</v>
      </c>
      <c r="X16" s="551" t="s">
        <v>354</v>
      </c>
      <c r="Y16" s="674" t="s">
        <v>356</v>
      </c>
      <c r="Z16" s="674" t="s">
        <v>354</v>
      </c>
      <c r="AA16" s="675" t="s">
        <v>356</v>
      </c>
      <c r="AB16" s="675" t="s">
        <v>354</v>
      </c>
      <c r="AC16" s="43" t="s">
        <v>361</v>
      </c>
      <c r="AD16" s="387" t="s">
        <v>1021</v>
      </c>
      <c r="AE16" s="46">
        <f t="shared" si="1"/>
        <v>0</v>
      </c>
      <c r="AF16" s="265"/>
      <c r="AG16" s="265"/>
      <c r="AH16" s="265"/>
      <c r="AI16" s="265"/>
      <c r="AJ16" s="80">
        <v>0.0</v>
      </c>
      <c r="AK16" s="80">
        <v>0.0</v>
      </c>
      <c r="AL16" s="80">
        <v>0.0</v>
      </c>
      <c r="AM16" s="224">
        <v>0.0</v>
      </c>
      <c r="AN16" s="80">
        <v>0.0</v>
      </c>
      <c r="AO16" s="224">
        <v>0.0</v>
      </c>
      <c r="AP16" s="80">
        <v>0.0</v>
      </c>
      <c r="AQ16" s="80">
        <v>0.0</v>
      </c>
      <c r="AR16" s="235">
        <f t="shared" si="2"/>
        <v>0</v>
      </c>
      <c r="AS16" s="235">
        <f t="shared" si="3"/>
        <v>0</v>
      </c>
    </row>
    <row r="17">
      <c r="A17" s="157">
        <v>16.0</v>
      </c>
      <c r="B17" s="693" t="s">
        <v>1691</v>
      </c>
      <c r="C17" s="157" t="s">
        <v>1025</v>
      </c>
      <c r="D17" s="273" t="s">
        <v>1025</v>
      </c>
      <c r="E17" s="354">
        <v>40737.0</v>
      </c>
      <c r="F17" s="157" t="s">
        <v>354</v>
      </c>
      <c r="G17" s="157" t="s">
        <v>354</v>
      </c>
      <c r="H17" s="157" t="s">
        <v>354</v>
      </c>
      <c r="I17" s="157" t="s">
        <v>354</v>
      </c>
      <c r="J17" s="157" t="s">
        <v>354</v>
      </c>
      <c r="K17" s="157" t="s">
        <v>354</v>
      </c>
      <c r="L17" s="157"/>
      <c r="M17" s="157" t="s">
        <v>354</v>
      </c>
      <c r="N17" s="157" t="s">
        <v>354</v>
      </c>
      <c r="O17" s="157" t="s">
        <v>354</v>
      </c>
      <c r="P17" s="157">
        <v>0.0</v>
      </c>
      <c r="Q17" s="157">
        <v>0.0</v>
      </c>
      <c r="R17" s="551" t="s">
        <v>354</v>
      </c>
      <c r="S17" s="551" t="s">
        <v>354</v>
      </c>
      <c r="T17" s="551" t="s">
        <v>354</v>
      </c>
      <c r="U17" s="157">
        <v>0.0</v>
      </c>
      <c r="V17" s="157">
        <v>0.0</v>
      </c>
      <c r="W17" s="551" t="s">
        <v>354</v>
      </c>
      <c r="X17" s="551" t="s">
        <v>354</v>
      </c>
      <c r="Y17" s="674" t="s">
        <v>356</v>
      </c>
      <c r="Z17" s="674" t="s">
        <v>354</v>
      </c>
      <c r="AA17" s="675" t="s">
        <v>356</v>
      </c>
      <c r="AB17" s="675" t="s">
        <v>354</v>
      </c>
      <c r="AC17" s="139" t="s">
        <v>356</v>
      </c>
      <c r="AD17" s="139" t="s">
        <v>354</v>
      </c>
      <c r="AE17" s="46">
        <f t="shared" si="1"/>
        <v>0</v>
      </c>
      <c r="AF17" s="265"/>
      <c r="AG17" s="265"/>
      <c r="AH17" s="265"/>
      <c r="AI17" s="265"/>
      <c r="AJ17" s="80">
        <v>0.0</v>
      </c>
      <c r="AK17" s="80">
        <v>0.0</v>
      </c>
      <c r="AL17" s="80">
        <v>0.0</v>
      </c>
      <c r="AM17" s="224">
        <v>0.0</v>
      </c>
      <c r="AN17" s="80">
        <v>0.0</v>
      </c>
      <c r="AO17" s="224">
        <v>0.0</v>
      </c>
      <c r="AP17" s="80">
        <v>0.0</v>
      </c>
      <c r="AQ17" s="80">
        <v>0.0</v>
      </c>
      <c r="AR17" s="235">
        <f t="shared" si="2"/>
        <v>0</v>
      </c>
      <c r="AS17" s="235">
        <f t="shared" si="3"/>
        <v>0</v>
      </c>
    </row>
    <row r="18">
      <c r="A18" s="157">
        <v>17.0</v>
      </c>
      <c r="B18" s="686" t="s">
        <v>1692</v>
      </c>
      <c r="C18" s="184" t="s">
        <v>36</v>
      </c>
      <c r="D18" s="687" t="s">
        <v>411</v>
      </c>
      <c r="E18" s="354">
        <v>40737.0</v>
      </c>
      <c r="F18" s="157" t="s">
        <v>354</v>
      </c>
      <c r="G18" s="157" t="s">
        <v>354</v>
      </c>
      <c r="H18" s="157" t="s">
        <v>354</v>
      </c>
      <c r="I18" s="157" t="s">
        <v>354</v>
      </c>
      <c r="J18" s="157" t="s">
        <v>354</v>
      </c>
      <c r="K18" s="184">
        <v>0.0</v>
      </c>
      <c r="L18" s="184" t="s">
        <v>354</v>
      </c>
      <c r="M18" s="265"/>
      <c r="N18" s="265"/>
      <c r="O18" s="184" t="s">
        <v>371</v>
      </c>
      <c r="P18" s="157">
        <v>0.0</v>
      </c>
      <c r="Q18" s="157">
        <v>0.0</v>
      </c>
      <c r="R18" s="551" t="s">
        <v>354</v>
      </c>
      <c r="S18" s="551" t="s">
        <v>354</v>
      </c>
      <c r="T18" s="551" t="s">
        <v>354</v>
      </c>
      <c r="U18" s="157">
        <v>0.0</v>
      </c>
      <c r="V18" s="157">
        <v>0.0</v>
      </c>
      <c r="W18" s="551" t="s">
        <v>354</v>
      </c>
      <c r="X18" s="551" t="s">
        <v>354</v>
      </c>
      <c r="Y18" s="694" t="s">
        <v>361</v>
      </c>
      <c r="Z18" s="694" t="s">
        <v>1021</v>
      </c>
      <c r="AA18" s="675" t="s">
        <v>356</v>
      </c>
      <c r="AB18" s="675" t="s">
        <v>354</v>
      </c>
      <c r="AC18" s="139" t="s">
        <v>356</v>
      </c>
      <c r="AD18" s="139" t="s">
        <v>354</v>
      </c>
      <c r="AE18" s="46">
        <f t="shared" si="1"/>
        <v>0</v>
      </c>
      <c r="AF18" s="265"/>
      <c r="AG18" s="265"/>
      <c r="AH18" s="265"/>
      <c r="AI18" s="265"/>
      <c r="AJ18" s="80">
        <v>0.0</v>
      </c>
      <c r="AK18" s="80">
        <v>0.0</v>
      </c>
      <c r="AL18" s="80">
        <v>0.0</v>
      </c>
      <c r="AM18" s="224">
        <v>0.0</v>
      </c>
      <c r="AN18" s="80">
        <v>0.0</v>
      </c>
      <c r="AO18" s="224">
        <v>0.0</v>
      </c>
      <c r="AP18" s="80">
        <v>0.0</v>
      </c>
      <c r="AQ18" s="80">
        <v>0.0</v>
      </c>
      <c r="AR18" s="235">
        <f t="shared" si="2"/>
        <v>0</v>
      </c>
      <c r="AS18" s="235">
        <f t="shared" si="3"/>
        <v>0</v>
      </c>
    </row>
    <row r="19">
      <c r="A19" s="157">
        <v>18.0</v>
      </c>
      <c r="B19" s="673" t="s">
        <v>1693</v>
      </c>
      <c r="C19" s="157" t="s">
        <v>210</v>
      </c>
      <c r="D19" s="482" t="s">
        <v>748</v>
      </c>
      <c r="E19" s="354">
        <v>40737.0</v>
      </c>
      <c r="F19" s="157" t="s">
        <v>354</v>
      </c>
      <c r="G19" s="157" t="s">
        <v>354</v>
      </c>
      <c r="H19" s="157" t="s">
        <v>354</v>
      </c>
      <c r="I19" s="157" t="s">
        <v>354</v>
      </c>
      <c r="J19" s="157" t="s">
        <v>354</v>
      </c>
      <c r="K19" s="157" t="s">
        <v>354</v>
      </c>
      <c r="L19" s="157"/>
      <c r="M19" s="157" t="s">
        <v>354</v>
      </c>
      <c r="N19" s="157" t="s">
        <v>354</v>
      </c>
      <c r="O19" s="157" t="s">
        <v>354</v>
      </c>
      <c r="P19" s="157">
        <v>0.0</v>
      </c>
      <c r="Q19" s="157">
        <v>0.0</v>
      </c>
      <c r="R19" s="551" t="s">
        <v>354</v>
      </c>
      <c r="S19" s="551" t="s">
        <v>354</v>
      </c>
      <c r="T19" s="551" t="s">
        <v>354</v>
      </c>
      <c r="U19" s="157">
        <v>0.0</v>
      </c>
      <c r="V19" s="157">
        <v>0.0</v>
      </c>
      <c r="W19" s="551" t="s">
        <v>354</v>
      </c>
      <c r="X19" s="551" t="s">
        <v>354</v>
      </c>
      <c r="Y19" s="674" t="s">
        <v>356</v>
      </c>
      <c r="Z19" s="674" t="s">
        <v>354</v>
      </c>
      <c r="AA19" s="675" t="s">
        <v>356</v>
      </c>
      <c r="AB19" s="675" t="s">
        <v>354</v>
      </c>
      <c r="AC19" s="144" t="s">
        <v>365</v>
      </c>
      <c r="AD19" s="40" t="s">
        <v>357</v>
      </c>
      <c r="AE19" s="367">
        <f t="shared" si="1"/>
        <v>1</v>
      </c>
      <c r="AF19" s="265"/>
      <c r="AG19" s="265"/>
      <c r="AH19" s="265"/>
      <c r="AI19" s="265"/>
      <c r="AJ19" s="80">
        <v>0.0</v>
      </c>
      <c r="AK19" s="80">
        <v>0.0</v>
      </c>
      <c r="AL19" s="80">
        <v>0.0</v>
      </c>
      <c r="AM19" s="224">
        <v>0.0</v>
      </c>
      <c r="AN19" s="80">
        <v>0.0</v>
      </c>
      <c r="AO19" s="224">
        <v>1.0</v>
      </c>
      <c r="AP19" s="80">
        <v>0.0</v>
      </c>
      <c r="AQ19" s="80">
        <v>0.0</v>
      </c>
      <c r="AR19" s="679">
        <f t="shared" si="2"/>
        <v>1</v>
      </c>
      <c r="AS19" s="679">
        <f t="shared" si="3"/>
        <v>1</v>
      </c>
    </row>
    <row r="20">
      <c r="A20" s="157">
        <v>19.0</v>
      </c>
      <c r="B20" s="673" t="s">
        <v>1694</v>
      </c>
      <c r="C20" s="49" t="s">
        <v>768</v>
      </c>
      <c r="D20" s="98" t="s">
        <v>769</v>
      </c>
      <c r="E20" s="354">
        <v>40737.0</v>
      </c>
      <c r="F20" s="157" t="s">
        <v>354</v>
      </c>
      <c r="G20" s="157" t="s">
        <v>354</v>
      </c>
      <c r="H20" s="157" t="s">
        <v>354</v>
      </c>
      <c r="I20" s="157" t="s">
        <v>354</v>
      </c>
      <c r="J20" s="157" t="s">
        <v>354</v>
      </c>
      <c r="K20" s="157" t="s">
        <v>354</v>
      </c>
      <c r="L20" s="157"/>
      <c r="M20" s="157" t="s">
        <v>354</v>
      </c>
      <c r="N20" s="157" t="s">
        <v>354</v>
      </c>
      <c r="O20" s="157" t="s">
        <v>354</v>
      </c>
      <c r="P20" s="157">
        <v>0.0</v>
      </c>
      <c r="Q20" s="157">
        <v>0.0</v>
      </c>
      <c r="R20" s="551" t="s">
        <v>354</v>
      </c>
      <c r="S20" s="551" t="s">
        <v>354</v>
      </c>
      <c r="T20" s="551" t="s">
        <v>354</v>
      </c>
      <c r="U20" s="157">
        <v>0.0</v>
      </c>
      <c r="V20" s="157">
        <v>0.0</v>
      </c>
      <c r="W20" s="551" t="s">
        <v>354</v>
      </c>
      <c r="X20" s="551" t="s">
        <v>354</v>
      </c>
      <c r="Y20" s="674" t="s">
        <v>356</v>
      </c>
      <c r="Z20" s="674" t="s">
        <v>354</v>
      </c>
      <c r="AA20" s="675" t="s">
        <v>356</v>
      </c>
      <c r="AB20" s="675" t="s">
        <v>354</v>
      </c>
      <c r="AC20" s="139" t="s">
        <v>356</v>
      </c>
      <c r="AD20" s="139" t="s">
        <v>354</v>
      </c>
      <c r="AE20" s="46">
        <f t="shared" si="1"/>
        <v>0</v>
      </c>
      <c r="AF20" s="265"/>
      <c r="AG20" s="265"/>
      <c r="AH20" s="265"/>
      <c r="AI20" s="265"/>
      <c r="AJ20" s="80">
        <v>0.0</v>
      </c>
      <c r="AK20" s="80">
        <v>0.0</v>
      </c>
      <c r="AL20" s="80">
        <v>0.0</v>
      </c>
      <c r="AM20" s="224">
        <v>0.0</v>
      </c>
      <c r="AN20" s="80">
        <v>0.0</v>
      </c>
      <c r="AO20" s="224">
        <v>0.0</v>
      </c>
      <c r="AP20" s="80">
        <v>0.0</v>
      </c>
      <c r="AQ20" s="80">
        <v>0.0</v>
      </c>
      <c r="AR20" s="235">
        <f t="shared" si="2"/>
        <v>0</v>
      </c>
      <c r="AS20" s="235">
        <f t="shared" si="3"/>
        <v>0</v>
      </c>
    </row>
    <row r="21">
      <c r="A21" s="157">
        <v>20.0</v>
      </c>
      <c r="B21" s="686" t="s">
        <v>1695</v>
      </c>
      <c r="C21" s="184" t="s">
        <v>201</v>
      </c>
      <c r="D21" s="687" t="s">
        <v>1622</v>
      </c>
      <c r="E21" s="354">
        <v>40737.0</v>
      </c>
      <c r="F21" s="157" t="s">
        <v>354</v>
      </c>
      <c r="G21" s="157" t="s">
        <v>354</v>
      </c>
      <c r="H21" s="157" t="s">
        <v>354</v>
      </c>
      <c r="I21" s="157" t="s">
        <v>354</v>
      </c>
      <c r="J21" s="157" t="s">
        <v>354</v>
      </c>
      <c r="K21" s="184">
        <v>0.0</v>
      </c>
      <c r="L21" s="184" t="s">
        <v>354</v>
      </c>
      <c r="M21" s="265"/>
      <c r="N21" s="265"/>
      <c r="O21" s="184" t="s">
        <v>371</v>
      </c>
      <c r="P21" s="157">
        <v>0.0</v>
      </c>
      <c r="Q21" s="157">
        <v>0.0</v>
      </c>
      <c r="R21" s="551" t="s">
        <v>354</v>
      </c>
      <c r="S21" s="551" t="s">
        <v>354</v>
      </c>
      <c r="T21" s="551" t="s">
        <v>354</v>
      </c>
      <c r="U21" s="157">
        <v>0.0</v>
      </c>
      <c r="V21" s="157">
        <v>0.0</v>
      </c>
      <c r="W21" s="551" t="s">
        <v>354</v>
      </c>
      <c r="X21" s="551" t="s">
        <v>354</v>
      </c>
      <c r="Y21" s="674" t="s">
        <v>356</v>
      </c>
      <c r="Z21" s="674" t="s">
        <v>354</v>
      </c>
      <c r="AA21" s="675" t="s">
        <v>356</v>
      </c>
      <c r="AB21" s="675" t="s">
        <v>354</v>
      </c>
      <c r="AC21" s="139" t="s">
        <v>356</v>
      </c>
      <c r="AD21" s="139" t="s">
        <v>354</v>
      </c>
      <c r="AE21" s="46">
        <f t="shared" si="1"/>
        <v>0</v>
      </c>
      <c r="AF21" s="265"/>
      <c r="AG21" s="265"/>
      <c r="AH21" s="265"/>
      <c r="AI21" s="265"/>
      <c r="AJ21" s="80">
        <v>0.0</v>
      </c>
      <c r="AK21" s="80">
        <v>0.0</v>
      </c>
      <c r="AL21" s="80">
        <v>0.0</v>
      </c>
      <c r="AM21" s="224">
        <v>0.0</v>
      </c>
      <c r="AN21" s="80">
        <v>0.0</v>
      </c>
      <c r="AO21" s="224">
        <v>0.0</v>
      </c>
      <c r="AP21" s="80">
        <v>0.0</v>
      </c>
      <c r="AQ21" s="80">
        <v>0.0</v>
      </c>
      <c r="AR21" s="235">
        <f t="shared" si="2"/>
        <v>0</v>
      </c>
      <c r="AS21" s="235">
        <f t="shared" si="3"/>
        <v>0</v>
      </c>
    </row>
    <row r="22">
      <c r="A22" s="157">
        <v>21.0</v>
      </c>
      <c r="B22" s="693" t="s">
        <v>1696</v>
      </c>
      <c r="C22" s="157" t="s">
        <v>897</v>
      </c>
      <c r="D22" s="273" t="s">
        <v>897</v>
      </c>
      <c r="E22" s="354">
        <v>40737.0</v>
      </c>
      <c r="F22" s="157" t="s">
        <v>354</v>
      </c>
      <c r="G22" s="157" t="s">
        <v>354</v>
      </c>
      <c r="H22" s="157" t="s">
        <v>354</v>
      </c>
      <c r="I22" s="157" t="s">
        <v>354</v>
      </c>
      <c r="J22" s="157" t="s">
        <v>354</v>
      </c>
      <c r="K22" s="157" t="s">
        <v>354</v>
      </c>
      <c r="L22" s="157"/>
      <c r="M22" s="157" t="s">
        <v>354</v>
      </c>
      <c r="N22" s="157" t="s">
        <v>354</v>
      </c>
      <c r="O22" s="157" t="s">
        <v>354</v>
      </c>
      <c r="P22" s="157">
        <v>0.0</v>
      </c>
      <c r="Q22" s="157">
        <v>0.0</v>
      </c>
      <c r="R22" s="551" t="s">
        <v>354</v>
      </c>
      <c r="S22" s="551" t="s">
        <v>354</v>
      </c>
      <c r="T22" s="551" t="s">
        <v>354</v>
      </c>
      <c r="U22" s="157">
        <v>0.0</v>
      </c>
      <c r="V22" s="157">
        <v>0.0</v>
      </c>
      <c r="W22" s="551" t="s">
        <v>354</v>
      </c>
      <c r="X22" s="551" t="s">
        <v>354</v>
      </c>
      <c r="Y22" s="674" t="s">
        <v>356</v>
      </c>
      <c r="Z22" s="674" t="s">
        <v>354</v>
      </c>
      <c r="AA22" s="675" t="s">
        <v>356</v>
      </c>
      <c r="AB22" s="675" t="s">
        <v>354</v>
      </c>
      <c r="AC22" s="139" t="s">
        <v>356</v>
      </c>
      <c r="AD22" s="139" t="s">
        <v>354</v>
      </c>
      <c r="AE22" s="46">
        <f t="shared" si="1"/>
        <v>0</v>
      </c>
      <c r="AF22" s="265"/>
      <c r="AG22" s="265"/>
      <c r="AH22" s="265"/>
      <c r="AI22" s="265"/>
      <c r="AJ22" s="80">
        <v>0.0</v>
      </c>
      <c r="AK22" s="80">
        <v>0.0</v>
      </c>
      <c r="AL22" s="80">
        <v>0.0</v>
      </c>
      <c r="AM22" s="224">
        <v>0.0</v>
      </c>
      <c r="AN22" s="80">
        <v>0.0</v>
      </c>
      <c r="AO22" s="224">
        <v>0.0</v>
      </c>
      <c r="AP22" s="80">
        <v>0.0</v>
      </c>
      <c r="AQ22" s="80">
        <v>0.0</v>
      </c>
      <c r="AR22" s="235">
        <f t="shared" si="2"/>
        <v>0</v>
      </c>
      <c r="AS22" s="235">
        <f t="shared" si="3"/>
        <v>0</v>
      </c>
    </row>
    <row r="23">
      <c r="A23" s="157">
        <v>22.0</v>
      </c>
      <c r="B23" s="683" t="s">
        <v>1697</v>
      </c>
      <c r="C23" s="78" t="s">
        <v>666</v>
      </c>
      <c r="D23" s="692" t="s">
        <v>667</v>
      </c>
      <c r="E23" s="354">
        <v>40737.0</v>
      </c>
      <c r="F23" s="157" t="s">
        <v>354</v>
      </c>
      <c r="G23" s="157" t="s">
        <v>354</v>
      </c>
      <c r="H23" s="157" t="s">
        <v>354</v>
      </c>
      <c r="I23" s="157" t="s">
        <v>354</v>
      </c>
      <c r="J23" s="157" t="s">
        <v>354</v>
      </c>
      <c r="K23" s="158">
        <v>3.0</v>
      </c>
      <c r="L23" s="158" t="s">
        <v>670</v>
      </c>
      <c r="M23" s="265"/>
      <c r="N23" s="265"/>
      <c r="O23" s="158" t="s">
        <v>600</v>
      </c>
      <c r="P23" s="157">
        <v>0.0</v>
      </c>
      <c r="Q23" s="157">
        <v>0.0</v>
      </c>
      <c r="R23" s="551" t="s">
        <v>354</v>
      </c>
      <c r="S23" s="551" t="s">
        <v>354</v>
      </c>
      <c r="T23" s="551" t="s">
        <v>354</v>
      </c>
      <c r="U23" s="157">
        <v>0.0</v>
      </c>
      <c r="V23" s="157">
        <v>0.0</v>
      </c>
      <c r="W23" s="551" t="s">
        <v>354</v>
      </c>
      <c r="X23" s="551" t="s">
        <v>354</v>
      </c>
      <c r="Y23" s="674" t="s">
        <v>356</v>
      </c>
      <c r="Z23" s="674" t="s">
        <v>354</v>
      </c>
      <c r="AA23" s="675" t="s">
        <v>356</v>
      </c>
      <c r="AB23" s="675" t="s">
        <v>354</v>
      </c>
      <c r="AC23" s="139" t="s">
        <v>356</v>
      </c>
      <c r="AD23" s="139" t="s">
        <v>354</v>
      </c>
      <c r="AE23" s="46">
        <f t="shared" si="1"/>
        <v>0</v>
      </c>
      <c r="AF23" s="265"/>
      <c r="AG23" s="265"/>
      <c r="AH23" s="265"/>
      <c r="AI23" s="265"/>
      <c r="AJ23" s="80">
        <v>0.0</v>
      </c>
      <c r="AK23" s="80">
        <v>0.0</v>
      </c>
      <c r="AL23" s="80">
        <v>0.0</v>
      </c>
      <c r="AM23" s="224">
        <v>0.0</v>
      </c>
      <c r="AN23" s="80">
        <v>0.0</v>
      </c>
      <c r="AO23" s="224">
        <v>0.0</v>
      </c>
      <c r="AP23" s="80">
        <v>0.0</v>
      </c>
      <c r="AQ23" s="80">
        <v>0.0</v>
      </c>
      <c r="AR23" s="235">
        <f t="shared" si="2"/>
        <v>0</v>
      </c>
      <c r="AS23" s="235">
        <f t="shared" si="3"/>
        <v>0</v>
      </c>
    </row>
    <row r="24">
      <c r="A24" s="157">
        <v>23.0</v>
      </c>
      <c r="B24" s="683" t="s">
        <v>1698</v>
      </c>
      <c r="C24" s="158" t="s">
        <v>238</v>
      </c>
      <c r="D24" s="692" t="s">
        <v>844</v>
      </c>
      <c r="E24" s="354">
        <v>40737.0</v>
      </c>
      <c r="F24" s="157" t="s">
        <v>354</v>
      </c>
      <c r="G24" s="157" t="s">
        <v>354</v>
      </c>
      <c r="H24" s="157" t="s">
        <v>354</v>
      </c>
      <c r="I24" s="157" t="s">
        <v>354</v>
      </c>
      <c r="J24" s="157" t="s">
        <v>354</v>
      </c>
      <c r="K24" s="158">
        <v>3.0</v>
      </c>
      <c r="L24" s="158" t="s">
        <v>850</v>
      </c>
      <c r="M24" s="265"/>
      <c r="N24" s="265"/>
      <c r="O24" s="158" t="s">
        <v>600</v>
      </c>
      <c r="P24" s="157">
        <v>0.0</v>
      </c>
      <c r="Q24" s="157">
        <v>0.0</v>
      </c>
      <c r="R24" s="551" t="s">
        <v>354</v>
      </c>
      <c r="S24" s="551" t="s">
        <v>354</v>
      </c>
      <c r="T24" s="551" t="s">
        <v>354</v>
      </c>
      <c r="U24" s="157">
        <v>0.0</v>
      </c>
      <c r="V24" s="157">
        <v>0.0</v>
      </c>
      <c r="W24" s="551" t="s">
        <v>354</v>
      </c>
      <c r="X24" s="551" t="s">
        <v>354</v>
      </c>
      <c r="Y24" s="674" t="s">
        <v>356</v>
      </c>
      <c r="Z24" s="674" t="s">
        <v>354</v>
      </c>
      <c r="AA24" s="675" t="s">
        <v>356</v>
      </c>
      <c r="AB24" s="675" t="s">
        <v>354</v>
      </c>
      <c r="AC24" s="139" t="s">
        <v>356</v>
      </c>
      <c r="AD24" s="139" t="s">
        <v>354</v>
      </c>
      <c r="AE24" s="46">
        <f t="shared" si="1"/>
        <v>0</v>
      </c>
      <c r="AF24" s="265"/>
      <c r="AG24" s="265"/>
      <c r="AH24" s="265"/>
      <c r="AI24" s="265"/>
      <c r="AJ24" s="80">
        <v>0.0</v>
      </c>
      <c r="AK24" s="80">
        <v>0.0</v>
      </c>
      <c r="AL24" s="80">
        <v>0.0</v>
      </c>
      <c r="AM24" s="224">
        <v>0.0</v>
      </c>
      <c r="AN24" s="80">
        <v>0.0</v>
      </c>
      <c r="AO24" s="224">
        <v>0.0</v>
      </c>
      <c r="AP24" s="80">
        <v>0.0</v>
      </c>
      <c r="AQ24" s="80">
        <v>0.0</v>
      </c>
      <c r="AR24" s="235">
        <f t="shared" si="2"/>
        <v>0</v>
      </c>
      <c r="AS24" s="235">
        <f t="shared" si="3"/>
        <v>0</v>
      </c>
    </row>
    <row r="25">
      <c r="A25" s="157">
        <v>24.0</v>
      </c>
      <c r="B25" s="673" t="s">
        <v>1699</v>
      </c>
      <c r="C25" s="157" t="s">
        <v>842</v>
      </c>
      <c r="D25" s="273" t="s">
        <v>1661</v>
      </c>
      <c r="E25" s="354">
        <v>40737.0</v>
      </c>
      <c r="F25" s="157" t="s">
        <v>354</v>
      </c>
      <c r="G25" s="157" t="s">
        <v>354</v>
      </c>
      <c r="H25" s="157" t="s">
        <v>354</v>
      </c>
      <c r="I25" s="157" t="s">
        <v>354</v>
      </c>
      <c r="J25" s="157" t="s">
        <v>354</v>
      </c>
      <c r="K25" s="157" t="s">
        <v>354</v>
      </c>
      <c r="L25" s="157"/>
      <c r="M25" s="157" t="s">
        <v>354</v>
      </c>
      <c r="N25" s="157" t="s">
        <v>354</v>
      </c>
      <c r="O25" s="157" t="s">
        <v>354</v>
      </c>
      <c r="P25" s="157">
        <v>0.0</v>
      </c>
      <c r="Q25" s="157">
        <v>0.0</v>
      </c>
      <c r="R25" s="551" t="s">
        <v>354</v>
      </c>
      <c r="S25" s="551" t="s">
        <v>354</v>
      </c>
      <c r="T25" s="551" t="s">
        <v>354</v>
      </c>
      <c r="U25" s="157">
        <v>0.0</v>
      </c>
      <c r="V25" s="157">
        <v>0.0</v>
      </c>
      <c r="W25" s="551" t="s">
        <v>354</v>
      </c>
      <c r="X25" s="551" t="s">
        <v>354</v>
      </c>
      <c r="Y25" s="694" t="s">
        <v>361</v>
      </c>
      <c r="Z25" s="694" t="s">
        <v>1021</v>
      </c>
      <c r="AA25" s="675" t="s">
        <v>356</v>
      </c>
      <c r="AB25" s="675" t="s">
        <v>354</v>
      </c>
      <c r="AC25" s="139" t="s">
        <v>356</v>
      </c>
      <c r="AD25" s="139" t="s">
        <v>354</v>
      </c>
      <c r="AE25" s="46">
        <f t="shared" si="1"/>
        <v>0</v>
      </c>
      <c r="AF25" s="265"/>
      <c r="AG25" s="265"/>
      <c r="AH25" s="265"/>
      <c r="AI25" s="265"/>
      <c r="AJ25" s="80">
        <v>0.0</v>
      </c>
      <c r="AK25" s="80">
        <v>0.0</v>
      </c>
      <c r="AL25" s="80">
        <v>0.0</v>
      </c>
      <c r="AM25" s="224">
        <v>0.0</v>
      </c>
      <c r="AN25" s="80">
        <v>0.0</v>
      </c>
      <c r="AO25" s="224">
        <v>0.0</v>
      </c>
      <c r="AP25" s="80">
        <v>0.0</v>
      </c>
      <c r="AQ25" s="80">
        <v>0.0</v>
      </c>
      <c r="AR25" s="235">
        <f t="shared" si="2"/>
        <v>0</v>
      </c>
      <c r="AS25" s="235">
        <f t="shared" si="3"/>
        <v>0</v>
      </c>
    </row>
    <row r="26">
      <c r="A26" s="157">
        <v>25.0</v>
      </c>
      <c r="B26" s="693" t="s">
        <v>1700</v>
      </c>
      <c r="C26" s="157" t="s">
        <v>997</v>
      </c>
      <c r="D26" s="273" t="s">
        <v>997</v>
      </c>
      <c r="E26" s="354">
        <v>40737.0</v>
      </c>
      <c r="F26" s="157" t="s">
        <v>354</v>
      </c>
      <c r="G26" s="157" t="s">
        <v>354</v>
      </c>
      <c r="H26" s="157" t="s">
        <v>354</v>
      </c>
      <c r="I26" s="157" t="s">
        <v>354</v>
      </c>
      <c r="J26" s="157" t="s">
        <v>354</v>
      </c>
      <c r="K26" s="157" t="s">
        <v>354</v>
      </c>
      <c r="L26" s="157"/>
      <c r="M26" s="157" t="s">
        <v>354</v>
      </c>
      <c r="N26" s="157" t="s">
        <v>354</v>
      </c>
      <c r="O26" s="157" t="s">
        <v>354</v>
      </c>
      <c r="P26" s="157">
        <v>0.0</v>
      </c>
      <c r="Q26" s="157">
        <v>0.0</v>
      </c>
      <c r="R26" s="551" t="s">
        <v>354</v>
      </c>
      <c r="S26" s="551" t="s">
        <v>354</v>
      </c>
      <c r="T26" s="551" t="s">
        <v>354</v>
      </c>
      <c r="U26" s="157">
        <v>0.0</v>
      </c>
      <c r="V26" s="157">
        <v>0.0</v>
      </c>
      <c r="W26" s="551" t="s">
        <v>354</v>
      </c>
      <c r="X26" s="551" t="s">
        <v>354</v>
      </c>
      <c r="Y26" s="674" t="s">
        <v>356</v>
      </c>
      <c r="Z26" s="674" t="s">
        <v>354</v>
      </c>
      <c r="AA26" s="675" t="s">
        <v>356</v>
      </c>
      <c r="AB26" s="675" t="s">
        <v>354</v>
      </c>
      <c r="AC26" s="139" t="s">
        <v>356</v>
      </c>
      <c r="AD26" s="139" t="s">
        <v>354</v>
      </c>
      <c r="AE26" s="46">
        <f t="shared" si="1"/>
        <v>0</v>
      </c>
      <c r="AF26" s="265"/>
      <c r="AG26" s="265"/>
      <c r="AH26" s="265"/>
      <c r="AI26" s="265"/>
      <c r="AJ26" s="80">
        <v>0.0</v>
      </c>
      <c r="AK26" s="80">
        <v>0.0</v>
      </c>
      <c r="AL26" s="80">
        <v>0.0</v>
      </c>
      <c r="AM26" s="224">
        <v>0.0</v>
      </c>
      <c r="AN26" s="80">
        <v>0.0</v>
      </c>
      <c r="AO26" s="224">
        <v>0.0</v>
      </c>
      <c r="AP26" s="80">
        <v>0.0</v>
      </c>
      <c r="AQ26" s="80">
        <v>0.0</v>
      </c>
      <c r="AR26" s="235">
        <f t="shared" si="2"/>
        <v>0</v>
      </c>
      <c r="AS26" s="235">
        <f t="shared" si="3"/>
        <v>0</v>
      </c>
    </row>
    <row r="27">
      <c r="A27" s="157">
        <v>26.0</v>
      </c>
      <c r="B27" s="673" t="s">
        <v>1701</v>
      </c>
      <c r="C27" s="157" t="s">
        <v>113</v>
      </c>
      <c r="D27" s="98" t="s">
        <v>541</v>
      </c>
      <c r="E27" s="354">
        <v>40737.0</v>
      </c>
      <c r="F27" s="157" t="s">
        <v>354</v>
      </c>
      <c r="G27" s="157" t="s">
        <v>354</v>
      </c>
      <c r="H27" s="157" t="s">
        <v>354</v>
      </c>
      <c r="I27" s="157" t="s">
        <v>354</v>
      </c>
      <c r="J27" s="157" t="s">
        <v>354</v>
      </c>
      <c r="K27" s="157" t="s">
        <v>354</v>
      </c>
      <c r="L27" s="157"/>
      <c r="M27" s="157" t="s">
        <v>354</v>
      </c>
      <c r="N27" s="157" t="s">
        <v>354</v>
      </c>
      <c r="O27" s="157" t="s">
        <v>354</v>
      </c>
      <c r="P27" s="157">
        <v>0.0</v>
      </c>
      <c r="Q27" s="157">
        <v>0.0</v>
      </c>
      <c r="R27" s="551" t="s">
        <v>354</v>
      </c>
      <c r="S27" s="551" t="s">
        <v>354</v>
      </c>
      <c r="T27" s="551" t="s">
        <v>354</v>
      </c>
      <c r="U27" s="157">
        <v>0.0</v>
      </c>
      <c r="V27" s="157">
        <v>0.0</v>
      </c>
      <c r="W27" s="551" t="s">
        <v>354</v>
      </c>
      <c r="X27" s="551" t="s">
        <v>354</v>
      </c>
      <c r="Y27" s="674" t="s">
        <v>356</v>
      </c>
      <c r="Z27" s="674" t="s">
        <v>354</v>
      </c>
      <c r="AA27" s="675" t="s">
        <v>356</v>
      </c>
      <c r="AB27" s="675" t="s">
        <v>354</v>
      </c>
      <c r="AC27" s="139" t="s">
        <v>356</v>
      </c>
      <c r="AD27" s="139" t="s">
        <v>354</v>
      </c>
      <c r="AE27" s="46">
        <f t="shared" si="1"/>
        <v>0</v>
      </c>
      <c r="AF27" s="265"/>
      <c r="AG27" s="265"/>
      <c r="AH27" s="265"/>
      <c r="AI27" s="265"/>
      <c r="AJ27" s="80">
        <v>0.0</v>
      </c>
      <c r="AK27" s="80">
        <v>0.0</v>
      </c>
      <c r="AL27" s="80">
        <v>0.0</v>
      </c>
      <c r="AM27" s="224">
        <v>0.0</v>
      </c>
      <c r="AN27" s="80">
        <v>0.0</v>
      </c>
      <c r="AO27" s="224">
        <v>0.0</v>
      </c>
      <c r="AP27" s="80">
        <v>0.0</v>
      </c>
      <c r="AQ27" s="80">
        <v>0.0</v>
      </c>
      <c r="AR27" s="235">
        <f t="shared" si="2"/>
        <v>0</v>
      </c>
      <c r="AS27" s="235">
        <f t="shared" si="3"/>
        <v>0</v>
      </c>
    </row>
    <row r="28">
      <c r="A28" s="157">
        <v>27.0</v>
      </c>
      <c r="B28" s="683" t="s">
        <v>1702</v>
      </c>
      <c r="C28" s="158" t="s">
        <v>66</v>
      </c>
      <c r="D28" s="692" t="s">
        <v>451</v>
      </c>
      <c r="E28" s="354">
        <v>40737.0</v>
      </c>
      <c r="F28" s="157" t="s">
        <v>354</v>
      </c>
      <c r="G28" s="157" t="s">
        <v>354</v>
      </c>
      <c r="H28" s="157" t="s">
        <v>354</v>
      </c>
      <c r="I28" s="157" t="s">
        <v>354</v>
      </c>
      <c r="J28" s="157" t="s">
        <v>354</v>
      </c>
      <c r="K28" s="158">
        <v>1.0</v>
      </c>
      <c r="L28" s="158" t="s">
        <v>456</v>
      </c>
      <c r="M28" s="265"/>
      <c r="N28" s="265"/>
      <c r="O28" s="158" t="s">
        <v>455</v>
      </c>
      <c r="P28" s="157">
        <v>0.0</v>
      </c>
      <c r="Q28" s="157">
        <v>0.0</v>
      </c>
      <c r="R28" s="551" t="s">
        <v>354</v>
      </c>
      <c r="S28" s="551" t="s">
        <v>354</v>
      </c>
      <c r="T28" s="551" t="s">
        <v>354</v>
      </c>
      <c r="U28" s="157">
        <v>0.0</v>
      </c>
      <c r="V28" s="157">
        <v>0.0</v>
      </c>
      <c r="W28" s="551" t="s">
        <v>354</v>
      </c>
      <c r="X28" s="551" t="s">
        <v>354</v>
      </c>
      <c r="Y28" s="674" t="s">
        <v>356</v>
      </c>
      <c r="Z28" s="674" t="s">
        <v>354</v>
      </c>
      <c r="AA28" s="675" t="s">
        <v>356</v>
      </c>
      <c r="AB28" s="675" t="s">
        <v>354</v>
      </c>
      <c r="AC28" s="139" t="s">
        <v>356</v>
      </c>
      <c r="AD28" s="139" t="s">
        <v>354</v>
      </c>
      <c r="AE28" s="46">
        <f t="shared" si="1"/>
        <v>0</v>
      </c>
      <c r="AF28" s="265"/>
      <c r="AG28" s="265"/>
      <c r="AH28" s="265"/>
      <c r="AI28" s="265"/>
      <c r="AJ28" s="80">
        <v>0.0</v>
      </c>
      <c r="AK28" s="80">
        <v>0.0</v>
      </c>
      <c r="AL28" s="80">
        <v>0.0</v>
      </c>
      <c r="AM28" s="224">
        <v>0.0</v>
      </c>
      <c r="AN28" s="80">
        <v>0.0</v>
      </c>
      <c r="AO28" s="224">
        <v>0.0</v>
      </c>
      <c r="AP28" s="80">
        <v>0.0</v>
      </c>
      <c r="AQ28" s="80">
        <v>0.0</v>
      </c>
      <c r="AR28" s="235">
        <f t="shared" si="2"/>
        <v>0</v>
      </c>
      <c r="AS28" s="235">
        <f t="shared" si="3"/>
        <v>0</v>
      </c>
    </row>
    <row r="29">
      <c r="A29" s="157">
        <v>28.0</v>
      </c>
      <c r="B29" s="693" t="s">
        <v>1703</v>
      </c>
      <c r="C29" s="157" t="s">
        <v>981</v>
      </c>
      <c r="D29" s="273" t="s">
        <v>981</v>
      </c>
      <c r="E29" s="354">
        <v>40737.0</v>
      </c>
      <c r="F29" s="157" t="s">
        <v>354</v>
      </c>
      <c r="G29" s="157" t="s">
        <v>354</v>
      </c>
      <c r="H29" s="157" t="s">
        <v>354</v>
      </c>
      <c r="I29" s="157" t="s">
        <v>354</v>
      </c>
      <c r="J29" s="157" t="s">
        <v>354</v>
      </c>
      <c r="K29" s="157" t="s">
        <v>354</v>
      </c>
      <c r="L29" s="157"/>
      <c r="M29" s="157" t="s">
        <v>354</v>
      </c>
      <c r="N29" s="157" t="s">
        <v>354</v>
      </c>
      <c r="O29" s="157" t="s">
        <v>354</v>
      </c>
      <c r="P29" s="157">
        <v>0.0</v>
      </c>
      <c r="Q29" s="157">
        <v>0.0</v>
      </c>
      <c r="R29" s="551" t="s">
        <v>354</v>
      </c>
      <c r="S29" s="551" t="s">
        <v>354</v>
      </c>
      <c r="T29" s="551" t="s">
        <v>354</v>
      </c>
      <c r="U29" s="157">
        <v>0.0</v>
      </c>
      <c r="V29" s="157">
        <v>0.0</v>
      </c>
      <c r="W29" s="551" t="s">
        <v>354</v>
      </c>
      <c r="X29" s="551" t="s">
        <v>354</v>
      </c>
      <c r="Y29" s="674" t="s">
        <v>356</v>
      </c>
      <c r="Z29" s="674" t="s">
        <v>354</v>
      </c>
      <c r="AA29" s="675" t="s">
        <v>356</v>
      </c>
      <c r="AB29" s="675" t="s">
        <v>354</v>
      </c>
      <c r="AC29" s="139" t="s">
        <v>356</v>
      </c>
      <c r="AD29" s="139" t="s">
        <v>354</v>
      </c>
      <c r="AE29" s="46">
        <f t="shared" si="1"/>
        <v>0</v>
      </c>
      <c r="AF29" s="265"/>
      <c r="AG29" s="265"/>
      <c r="AH29" s="265"/>
      <c r="AI29" s="265"/>
      <c r="AJ29" s="80">
        <v>0.0</v>
      </c>
      <c r="AK29" s="80">
        <v>0.0</v>
      </c>
      <c r="AL29" s="80">
        <v>0.0</v>
      </c>
      <c r="AM29" s="224">
        <v>0.0</v>
      </c>
      <c r="AN29" s="80">
        <v>0.0</v>
      </c>
      <c r="AO29" s="224">
        <v>0.0</v>
      </c>
      <c r="AP29" s="80">
        <v>0.0</v>
      </c>
      <c r="AQ29" s="80">
        <v>0.0</v>
      </c>
      <c r="AR29" s="235">
        <f t="shared" si="2"/>
        <v>0</v>
      </c>
      <c r="AS29" s="235">
        <f t="shared" si="3"/>
        <v>0</v>
      </c>
    </row>
    <row r="30">
      <c r="A30" s="157">
        <v>29.0</v>
      </c>
      <c r="B30" s="683" t="s">
        <v>1704</v>
      </c>
      <c r="C30" s="78" t="s">
        <v>906</v>
      </c>
      <c r="D30" s="692" t="s">
        <v>907</v>
      </c>
      <c r="E30" s="354">
        <v>40737.0</v>
      </c>
      <c r="F30" s="157" t="s">
        <v>354</v>
      </c>
      <c r="G30" s="157" t="s">
        <v>354</v>
      </c>
      <c r="H30" s="157" t="s">
        <v>354</v>
      </c>
      <c r="I30" s="157" t="s">
        <v>354</v>
      </c>
      <c r="J30" s="157" t="s">
        <v>354</v>
      </c>
      <c r="K30" s="158">
        <v>1.0</v>
      </c>
      <c r="L30" s="158" t="s">
        <v>912</v>
      </c>
      <c r="M30" s="265"/>
      <c r="N30" s="265"/>
      <c r="O30" s="158" t="s">
        <v>455</v>
      </c>
      <c r="P30" s="157">
        <v>0.0</v>
      </c>
      <c r="Q30" s="157">
        <v>0.0</v>
      </c>
      <c r="R30" s="551" t="s">
        <v>354</v>
      </c>
      <c r="S30" s="551" t="s">
        <v>354</v>
      </c>
      <c r="T30" s="551" t="s">
        <v>354</v>
      </c>
      <c r="U30" s="157">
        <v>0.0</v>
      </c>
      <c r="V30" s="157">
        <v>0.0</v>
      </c>
      <c r="W30" s="551" t="s">
        <v>354</v>
      </c>
      <c r="X30" s="551" t="s">
        <v>354</v>
      </c>
      <c r="Y30" s="674" t="s">
        <v>356</v>
      </c>
      <c r="Z30" s="674" t="s">
        <v>354</v>
      </c>
      <c r="AA30" s="675" t="s">
        <v>356</v>
      </c>
      <c r="AB30" s="675" t="s">
        <v>354</v>
      </c>
      <c r="AC30" s="139" t="s">
        <v>356</v>
      </c>
      <c r="AD30" s="139" t="s">
        <v>354</v>
      </c>
      <c r="AE30" s="46">
        <f t="shared" si="1"/>
        <v>0</v>
      </c>
      <c r="AF30" s="265"/>
      <c r="AG30" s="265"/>
      <c r="AH30" s="265"/>
      <c r="AI30" s="265"/>
      <c r="AJ30" s="80">
        <v>0.0</v>
      </c>
      <c r="AK30" s="80">
        <v>0.0</v>
      </c>
      <c r="AL30" s="80">
        <v>0.0</v>
      </c>
      <c r="AM30" s="224">
        <v>0.0</v>
      </c>
      <c r="AN30" s="80">
        <v>0.0</v>
      </c>
      <c r="AO30" s="224">
        <v>0.0</v>
      </c>
      <c r="AP30" s="80">
        <v>0.0</v>
      </c>
      <c r="AQ30" s="80">
        <v>0.0</v>
      </c>
      <c r="AR30" s="235">
        <f t="shared" si="2"/>
        <v>0</v>
      </c>
      <c r="AS30" s="235">
        <f t="shared" si="3"/>
        <v>0</v>
      </c>
    </row>
    <row r="31">
      <c r="A31" s="157">
        <v>30.0</v>
      </c>
      <c r="B31" s="683" t="s">
        <v>1705</v>
      </c>
      <c r="C31" s="622" t="s">
        <v>234</v>
      </c>
      <c r="D31" s="602" t="s">
        <v>1625</v>
      </c>
      <c r="E31" s="354">
        <v>40737.0</v>
      </c>
      <c r="F31" s="157" t="s">
        <v>354</v>
      </c>
      <c r="G31" s="157" t="s">
        <v>354</v>
      </c>
      <c r="H31" s="157" t="s">
        <v>354</v>
      </c>
      <c r="I31" s="157" t="s">
        <v>354</v>
      </c>
      <c r="J31" s="157" t="s">
        <v>354</v>
      </c>
      <c r="K31" s="158">
        <v>0.0</v>
      </c>
      <c r="L31" s="158" t="s">
        <v>832</v>
      </c>
      <c r="M31" s="265"/>
      <c r="N31" s="265"/>
      <c r="O31" s="158" t="s">
        <v>556</v>
      </c>
      <c r="P31" s="157">
        <v>0.0</v>
      </c>
      <c r="Q31" s="157">
        <v>0.0</v>
      </c>
      <c r="R31" s="551" t="s">
        <v>354</v>
      </c>
      <c r="S31" s="551" t="s">
        <v>354</v>
      </c>
      <c r="T31" s="551" t="s">
        <v>354</v>
      </c>
      <c r="U31" s="157">
        <v>0.0</v>
      </c>
      <c r="V31" s="140">
        <v>40.07</v>
      </c>
      <c r="W31" s="552" t="s">
        <v>361</v>
      </c>
      <c r="X31" s="552" t="s">
        <v>361</v>
      </c>
      <c r="Y31" s="674" t="s">
        <v>356</v>
      </c>
      <c r="Z31" s="674" t="s">
        <v>354</v>
      </c>
      <c r="AA31" s="675" t="s">
        <v>356</v>
      </c>
      <c r="AB31" s="675" t="s">
        <v>354</v>
      </c>
      <c r="AC31" s="139" t="s">
        <v>356</v>
      </c>
      <c r="AD31" s="139" t="s">
        <v>354</v>
      </c>
      <c r="AE31" s="46">
        <f t="shared" si="1"/>
        <v>0</v>
      </c>
      <c r="AF31" s="265"/>
      <c r="AG31" s="265"/>
      <c r="AH31" s="265"/>
      <c r="AI31" s="265"/>
      <c r="AJ31" s="80">
        <v>0.0</v>
      </c>
      <c r="AK31" s="80">
        <v>0.0</v>
      </c>
      <c r="AL31" s="80">
        <v>0.0</v>
      </c>
      <c r="AM31" s="224">
        <v>0.0</v>
      </c>
      <c r="AN31" s="80">
        <v>0.0</v>
      </c>
      <c r="AO31" s="224">
        <v>0.0</v>
      </c>
      <c r="AP31" s="80">
        <v>0.0</v>
      </c>
      <c r="AQ31" s="80">
        <v>0.0</v>
      </c>
      <c r="AR31" s="235">
        <f t="shared" si="2"/>
        <v>0</v>
      </c>
      <c r="AS31" s="235">
        <f t="shared" si="3"/>
        <v>0</v>
      </c>
    </row>
    <row r="32">
      <c r="A32" s="157">
        <v>31.0</v>
      </c>
      <c r="B32" s="683" t="s">
        <v>1706</v>
      </c>
      <c r="C32" s="158" t="s">
        <v>105</v>
      </c>
      <c r="D32" s="692" t="s">
        <v>522</v>
      </c>
      <c r="E32" s="354">
        <v>40737.0</v>
      </c>
      <c r="F32" s="157" t="s">
        <v>354</v>
      </c>
      <c r="G32" s="157" t="s">
        <v>354</v>
      </c>
      <c r="H32" s="157" t="s">
        <v>354</v>
      </c>
      <c r="I32" s="157" t="s">
        <v>354</v>
      </c>
      <c r="J32" s="157" t="s">
        <v>354</v>
      </c>
      <c r="K32" s="158">
        <v>1.0</v>
      </c>
      <c r="L32" s="158" t="s">
        <v>530</v>
      </c>
      <c r="M32" s="265"/>
      <c r="N32" s="265"/>
      <c r="O32" s="158" t="s">
        <v>529</v>
      </c>
      <c r="P32" s="157">
        <v>0.0</v>
      </c>
      <c r="Q32" s="157">
        <v>0.0</v>
      </c>
      <c r="R32" s="551" t="s">
        <v>354</v>
      </c>
      <c r="S32" s="551" t="s">
        <v>354</v>
      </c>
      <c r="T32" s="551" t="s">
        <v>354</v>
      </c>
      <c r="U32" s="157">
        <v>0.0</v>
      </c>
      <c r="V32" s="157">
        <v>0.0</v>
      </c>
      <c r="W32" s="551" t="s">
        <v>354</v>
      </c>
      <c r="X32" s="551" t="s">
        <v>354</v>
      </c>
      <c r="Y32" s="674" t="s">
        <v>356</v>
      </c>
      <c r="Z32" s="674" t="s">
        <v>354</v>
      </c>
      <c r="AA32" s="680" t="s">
        <v>361</v>
      </c>
      <c r="AB32" s="680" t="s">
        <v>361</v>
      </c>
      <c r="AC32" s="144" t="s">
        <v>365</v>
      </c>
      <c r="AD32" s="143" t="s">
        <v>358</v>
      </c>
      <c r="AE32" s="367">
        <f t="shared" si="1"/>
        <v>1</v>
      </c>
      <c r="AF32" s="265"/>
      <c r="AG32" s="265"/>
      <c r="AH32" s="265"/>
      <c r="AI32" s="265"/>
      <c r="AJ32" s="80">
        <v>0.0</v>
      </c>
      <c r="AK32" s="80">
        <v>0.0</v>
      </c>
      <c r="AL32" s="224">
        <v>1.0</v>
      </c>
      <c r="AM32" s="224">
        <v>0.0</v>
      </c>
      <c r="AN32" s="80">
        <v>0.0</v>
      </c>
      <c r="AO32" s="224">
        <v>0.0</v>
      </c>
      <c r="AP32" s="80">
        <v>0.0</v>
      </c>
      <c r="AQ32" s="80">
        <v>0.0</v>
      </c>
      <c r="AR32" s="679">
        <f t="shared" si="2"/>
        <v>1</v>
      </c>
      <c r="AS32" s="679">
        <f t="shared" si="3"/>
        <v>1</v>
      </c>
    </row>
    <row r="33">
      <c r="A33" s="157">
        <v>32.0</v>
      </c>
      <c r="B33" s="693" t="s">
        <v>1707</v>
      </c>
      <c r="C33" s="157" t="s">
        <v>1039</v>
      </c>
      <c r="D33" s="273" t="s">
        <v>1039</v>
      </c>
      <c r="E33" s="354">
        <v>40737.0</v>
      </c>
      <c r="F33" s="157" t="s">
        <v>354</v>
      </c>
      <c r="G33" s="157" t="s">
        <v>354</v>
      </c>
      <c r="H33" s="157" t="s">
        <v>354</v>
      </c>
      <c r="I33" s="157" t="s">
        <v>354</v>
      </c>
      <c r="J33" s="157" t="s">
        <v>354</v>
      </c>
      <c r="K33" s="157" t="s">
        <v>354</v>
      </c>
      <c r="L33" s="157"/>
      <c r="M33" s="157" t="s">
        <v>354</v>
      </c>
      <c r="N33" s="157" t="s">
        <v>354</v>
      </c>
      <c r="O33" s="157" t="s">
        <v>354</v>
      </c>
      <c r="P33" s="157">
        <v>0.0</v>
      </c>
      <c r="Q33" s="157">
        <v>0.0</v>
      </c>
      <c r="R33" s="551" t="s">
        <v>354</v>
      </c>
      <c r="S33" s="551" t="s">
        <v>354</v>
      </c>
      <c r="T33" s="551" t="s">
        <v>354</v>
      </c>
      <c r="U33" s="157">
        <v>0.0</v>
      </c>
      <c r="V33" s="157">
        <v>0.0</v>
      </c>
      <c r="W33" s="551" t="s">
        <v>354</v>
      </c>
      <c r="X33" s="551" t="s">
        <v>354</v>
      </c>
      <c r="Y33" s="674" t="s">
        <v>356</v>
      </c>
      <c r="Z33" s="674" t="s">
        <v>354</v>
      </c>
      <c r="AA33" s="675" t="s">
        <v>356</v>
      </c>
      <c r="AB33" s="675" t="s">
        <v>354</v>
      </c>
      <c r="AC33" s="139" t="s">
        <v>356</v>
      </c>
      <c r="AD33" s="139" t="s">
        <v>354</v>
      </c>
      <c r="AE33" s="46">
        <f t="shared" si="1"/>
        <v>0</v>
      </c>
      <c r="AF33" s="265"/>
      <c r="AG33" s="265"/>
      <c r="AH33" s="265"/>
      <c r="AI33" s="265"/>
      <c r="AJ33" s="80">
        <v>0.0</v>
      </c>
      <c r="AK33" s="80">
        <v>0.0</v>
      </c>
      <c r="AL33" s="80">
        <v>0.0</v>
      </c>
      <c r="AM33" s="224">
        <v>0.0</v>
      </c>
      <c r="AN33" s="80">
        <v>0.0</v>
      </c>
      <c r="AO33" s="224">
        <v>0.0</v>
      </c>
      <c r="AP33" s="80">
        <v>0.0</v>
      </c>
      <c r="AQ33" s="80">
        <v>0.0</v>
      </c>
      <c r="AR33" s="235">
        <f t="shared" si="2"/>
        <v>0</v>
      </c>
      <c r="AS33" s="235">
        <f t="shared" si="3"/>
        <v>0</v>
      </c>
    </row>
    <row r="34">
      <c r="A34" s="157">
        <v>33.0</v>
      </c>
      <c r="B34" s="683" t="s">
        <v>1708</v>
      </c>
      <c r="C34" s="78" t="s">
        <v>587</v>
      </c>
      <c r="D34" s="692" t="s">
        <v>588</v>
      </c>
      <c r="E34" s="354">
        <v>40737.0</v>
      </c>
      <c r="F34" s="157" t="s">
        <v>354</v>
      </c>
      <c r="G34" s="157" t="s">
        <v>354</v>
      </c>
      <c r="H34" s="157" t="s">
        <v>354</v>
      </c>
      <c r="I34" s="157" t="s">
        <v>354</v>
      </c>
      <c r="J34" s="157" t="s">
        <v>354</v>
      </c>
      <c r="K34" s="158">
        <v>1.0</v>
      </c>
      <c r="L34" s="158" t="s">
        <v>399</v>
      </c>
      <c r="M34" s="265"/>
      <c r="N34" s="265"/>
      <c r="O34" s="158" t="s">
        <v>455</v>
      </c>
      <c r="P34" s="157">
        <v>0.0</v>
      </c>
      <c r="Q34" s="157">
        <v>0.0</v>
      </c>
      <c r="R34" s="551" t="s">
        <v>354</v>
      </c>
      <c r="S34" s="551" t="s">
        <v>354</v>
      </c>
      <c r="T34" s="551" t="s">
        <v>354</v>
      </c>
      <c r="U34" s="157">
        <v>0.0</v>
      </c>
      <c r="V34" s="157">
        <v>0.0</v>
      </c>
      <c r="W34" s="551" t="s">
        <v>354</v>
      </c>
      <c r="X34" s="551" t="s">
        <v>354</v>
      </c>
      <c r="Y34" s="674" t="s">
        <v>356</v>
      </c>
      <c r="Z34" s="674" t="s">
        <v>354</v>
      </c>
      <c r="AA34" s="675" t="s">
        <v>356</v>
      </c>
      <c r="AB34" s="675" t="s">
        <v>354</v>
      </c>
      <c r="AC34" s="139" t="s">
        <v>356</v>
      </c>
      <c r="AD34" s="139" t="s">
        <v>354</v>
      </c>
      <c r="AE34" s="46">
        <f t="shared" si="1"/>
        <v>0</v>
      </c>
      <c r="AF34" s="265"/>
      <c r="AG34" s="265"/>
      <c r="AH34" s="265"/>
      <c r="AI34" s="265"/>
      <c r="AJ34" s="80">
        <v>0.0</v>
      </c>
      <c r="AK34" s="80">
        <v>0.0</v>
      </c>
      <c r="AL34" s="80">
        <v>0.0</v>
      </c>
      <c r="AM34" s="224">
        <v>0.0</v>
      </c>
      <c r="AN34" s="80">
        <v>0.0</v>
      </c>
      <c r="AO34" s="224">
        <v>0.0</v>
      </c>
      <c r="AP34" s="80">
        <v>0.0</v>
      </c>
      <c r="AQ34" s="80">
        <v>0.0</v>
      </c>
      <c r="AR34" s="235">
        <f t="shared" si="2"/>
        <v>0</v>
      </c>
      <c r="AS34" s="235">
        <f t="shared" si="3"/>
        <v>0</v>
      </c>
    </row>
    <row r="35">
      <c r="A35" s="157">
        <v>34.0</v>
      </c>
      <c r="B35" s="673" t="s">
        <v>1709</v>
      </c>
      <c r="C35" s="157" t="s">
        <v>138</v>
      </c>
      <c r="D35" s="98" t="s">
        <v>1614</v>
      </c>
      <c r="E35" s="354">
        <v>40737.0</v>
      </c>
      <c r="F35" s="157" t="s">
        <v>354</v>
      </c>
      <c r="G35" s="157" t="s">
        <v>354</v>
      </c>
      <c r="H35" s="157" t="s">
        <v>354</v>
      </c>
      <c r="I35" s="157" t="s">
        <v>354</v>
      </c>
      <c r="J35" s="157" t="s">
        <v>354</v>
      </c>
      <c r="K35" s="157" t="s">
        <v>354</v>
      </c>
      <c r="L35" s="157"/>
      <c r="M35" s="157" t="s">
        <v>354</v>
      </c>
      <c r="N35" s="157" t="s">
        <v>354</v>
      </c>
      <c r="O35" s="157" t="s">
        <v>354</v>
      </c>
      <c r="P35" s="157">
        <v>0.0</v>
      </c>
      <c r="Q35" s="157">
        <v>0.0</v>
      </c>
      <c r="R35" s="551" t="s">
        <v>354</v>
      </c>
      <c r="S35" s="551" t="s">
        <v>354</v>
      </c>
      <c r="T35" s="551" t="s">
        <v>354</v>
      </c>
      <c r="U35" s="157">
        <v>0.0</v>
      </c>
      <c r="V35" s="157">
        <v>0.0</v>
      </c>
      <c r="W35" s="551" t="s">
        <v>354</v>
      </c>
      <c r="X35" s="551" t="s">
        <v>354</v>
      </c>
      <c r="Y35" s="674" t="s">
        <v>356</v>
      </c>
      <c r="Z35" s="674" t="s">
        <v>354</v>
      </c>
      <c r="AA35" s="675" t="s">
        <v>356</v>
      </c>
      <c r="AB35" s="675" t="s">
        <v>354</v>
      </c>
      <c r="AC35" s="139" t="s">
        <v>356</v>
      </c>
      <c r="AD35" s="139" t="s">
        <v>354</v>
      </c>
      <c r="AE35" s="46">
        <f t="shared" si="1"/>
        <v>0</v>
      </c>
      <c r="AF35" s="265"/>
      <c r="AG35" s="265"/>
      <c r="AH35" s="265"/>
      <c r="AI35" s="265"/>
      <c r="AJ35" s="80">
        <v>0.0</v>
      </c>
      <c r="AK35" s="80">
        <v>0.0</v>
      </c>
      <c r="AL35" s="80">
        <v>0.0</v>
      </c>
      <c r="AM35" s="224">
        <v>0.0</v>
      </c>
      <c r="AN35" s="80">
        <v>0.0</v>
      </c>
      <c r="AO35" s="224">
        <v>0.0</v>
      </c>
      <c r="AP35" s="80">
        <v>0.0</v>
      </c>
      <c r="AQ35" s="80">
        <v>0.0</v>
      </c>
      <c r="AR35" s="235">
        <f t="shared" si="2"/>
        <v>0</v>
      </c>
      <c r="AS35" s="235">
        <f t="shared" si="3"/>
        <v>0</v>
      </c>
    </row>
    <row r="36">
      <c r="A36" s="157">
        <v>35.0</v>
      </c>
      <c r="B36" s="683" t="s">
        <v>1710</v>
      </c>
      <c r="C36" s="158" t="s">
        <v>109</v>
      </c>
      <c r="D36" s="692" t="s">
        <v>536</v>
      </c>
      <c r="E36" s="354">
        <v>40737.0</v>
      </c>
      <c r="F36" s="157" t="s">
        <v>354</v>
      </c>
      <c r="G36" s="157" t="s">
        <v>354</v>
      </c>
      <c r="H36" s="157" t="s">
        <v>354</v>
      </c>
      <c r="I36" s="157" t="s">
        <v>354</v>
      </c>
      <c r="J36" s="157" t="s">
        <v>354</v>
      </c>
      <c r="K36" s="158">
        <v>1.0</v>
      </c>
      <c r="L36" s="158" t="s">
        <v>538</v>
      </c>
      <c r="M36" s="265"/>
      <c r="N36" s="265"/>
      <c r="O36" s="158" t="s">
        <v>455</v>
      </c>
      <c r="P36" s="157">
        <v>0.0</v>
      </c>
      <c r="Q36" s="157">
        <v>0.0</v>
      </c>
      <c r="R36" s="551" t="s">
        <v>354</v>
      </c>
      <c r="S36" s="551" t="s">
        <v>354</v>
      </c>
      <c r="T36" s="551" t="s">
        <v>354</v>
      </c>
      <c r="U36" s="157">
        <v>0.0</v>
      </c>
      <c r="V36" s="157">
        <v>0.0</v>
      </c>
      <c r="W36" s="551" t="s">
        <v>354</v>
      </c>
      <c r="X36" s="551" t="s">
        <v>354</v>
      </c>
      <c r="Y36" s="674" t="s">
        <v>356</v>
      </c>
      <c r="Z36" s="674" t="s">
        <v>354</v>
      </c>
      <c r="AA36" s="675" t="s">
        <v>356</v>
      </c>
      <c r="AB36" s="675" t="s">
        <v>354</v>
      </c>
      <c r="AC36" s="139" t="s">
        <v>356</v>
      </c>
      <c r="AD36" s="139" t="s">
        <v>354</v>
      </c>
      <c r="AE36" s="46">
        <f t="shared" si="1"/>
        <v>0</v>
      </c>
      <c r="AF36" s="265"/>
      <c r="AG36" s="265"/>
      <c r="AH36" s="265"/>
      <c r="AI36" s="265"/>
      <c r="AJ36" s="80">
        <v>0.0</v>
      </c>
      <c r="AK36" s="80">
        <v>0.0</v>
      </c>
      <c r="AL36" s="80">
        <v>0.0</v>
      </c>
      <c r="AM36" s="224">
        <v>0.0</v>
      </c>
      <c r="AN36" s="80">
        <v>0.0</v>
      </c>
      <c r="AO36" s="224">
        <v>0.0</v>
      </c>
      <c r="AP36" s="80">
        <v>0.0</v>
      </c>
      <c r="AQ36" s="80">
        <v>0.0</v>
      </c>
      <c r="AR36" s="235">
        <f t="shared" si="2"/>
        <v>0</v>
      </c>
      <c r="AS36" s="235">
        <f t="shared" si="3"/>
        <v>0</v>
      </c>
    </row>
    <row r="37">
      <c r="A37" s="157">
        <v>36.0</v>
      </c>
      <c r="B37" s="686" t="s">
        <v>1711</v>
      </c>
      <c r="C37" s="41" t="s">
        <v>947</v>
      </c>
      <c r="D37" s="687" t="s">
        <v>1665</v>
      </c>
      <c r="E37" s="354">
        <v>40737.0</v>
      </c>
      <c r="F37" s="157" t="s">
        <v>354</v>
      </c>
      <c r="G37" s="157" t="s">
        <v>354</v>
      </c>
      <c r="H37" s="157" t="s">
        <v>354</v>
      </c>
      <c r="I37" s="157" t="s">
        <v>354</v>
      </c>
      <c r="J37" s="157" t="s">
        <v>354</v>
      </c>
      <c r="K37" s="184">
        <v>0.0</v>
      </c>
      <c r="L37" s="184" t="s">
        <v>354</v>
      </c>
      <c r="M37" s="265"/>
      <c r="N37" s="265"/>
      <c r="O37" s="184" t="s">
        <v>371</v>
      </c>
      <c r="P37" s="157">
        <v>0.0</v>
      </c>
      <c r="Q37" s="157">
        <v>0.0</v>
      </c>
      <c r="R37" s="551" t="s">
        <v>354</v>
      </c>
      <c r="S37" s="551" t="s">
        <v>354</v>
      </c>
      <c r="T37" s="551" t="s">
        <v>354</v>
      </c>
      <c r="U37" s="157">
        <v>0.0</v>
      </c>
      <c r="V37" s="157">
        <v>0.0</v>
      </c>
      <c r="W37" s="551" t="s">
        <v>354</v>
      </c>
      <c r="X37" s="551" t="s">
        <v>354</v>
      </c>
      <c r="Y37" s="674" t="s">
        <v>356</v>
      </c>
      <c r="Z37" s="674" t="s">
        <v>354</v>
      </c>
      <c r="AA37" s="675" t="s">
        <v>356</v>
      </c>
      <c r="AB37" s="675" t="s">
        <v>354</v>
      </c>
      <c r="AC37" s="139" t="s">
        <v>356</v>
      </c>
      <c r="AD37" s="139" t="s">
        <v>354</v>
      </c>
      <c r="AE37" s="46">
        <f t="shared" si="1"/>
        <v>0</v>
      </c>
      <c r="AF37" s="265"/>
      <c r="AG37" s="265"/>
      <c r="AH37" s="265"/>
      <c r="AI37" s="265"/>
      <c r="AJ37" s="80">
        <v>0.0</v>
      </c>
      <c r="AK37" s="80">
        <v>0.0</v>
      </c>
      <c r="AL37" s="80">
        <v>0.0</v>
      </c>
      <c r="AM37" s="224">
        <v>0.0</v>
      </c>
      <c r="AN37" s="80">
        <v>0.0</v>
      </c>
      <c r="AO37" s="224">
        <v>0.0</v>
      </c>
      <c r="AP37" s="80">
        <v>0.0</v>
      </c>
      <c r="AQ37" s="80">
        <v>0.0</v>
      </c>
      <c r="AR37" s="235">
        <f t="shared" si="2"/>
        <v>0</v>
      </c>
      <c r="AS37" s="235">
        <f t="shared" si="3"/>
        <v>0</v>
      </c>
    </row>
    <row r="38">
      <c r="A38" s="157">
        <v>37.0</v>
      </c>
      <c r="B38" s="695" t="s">
        <v>1712</v>
      </c>
      <c r="C38" s="61" t="s">
        <v>437</v>
      </c>
      <c r="D38" s="696" t="s">
        <v>438</v>
      </c>
      <c r="E38" s="354">
        <v>40737.0</v>
      </c>
      <c r="F38" s="157" t="s">
        <v>354</v>
      </c>
      <c r="G38" s="157" t="s">
        <v>354</v>
      </c>
      <c r="H38" s="157" t="s">
        <v>354</v>
      </c>
      <c r="I38" s="157" t="s">
        <v>354</v>
      </c>
      <c r="J38" s="157" t="s">
        <v>354</v>
      </c>
      <c r="K38" s="179">
        <v>2.0</v>
      </c>
      <c r="L38" s="179" t="s">
        <v>447</v>
      </c>
      <c r="M38" s="265"/>
      <c r="N38" s="265"/>
      <c r="O38" s="179" t="s">
        <v>446</v>
      </c>
      <c r="P38" s="154">
        <v>29.13340047788355</v>
      </c>
      <c r="Q38" s="157">
        <v>0.0</v>
      </c>
      <c r="R38" s="551" t="s">
        <v>354</v>
      </c>
      <c r="S38" s="551" t="s">
        <v>354</v>
      </c>
      <c r="T38" s="551" t="s">
        <v>354</v>
      </c>
      <c r="U38" s="157">
        <v>0.0</v>
      </c>
      <c r="V38" s="157">
        <v>0.0</v>
      </c>
      <c r="W38" s="551" t="s">
        <v>354</v>
      </c>
      <c r="X38" s="551" t="s">
        <v>354</v>
      </c>
      <c r="Y38" s="681" t="s">
        <v>365</v>
      </c>
      <c r="Z38" s="40" t="s">
        <v>357</v>
      </c>
      <c r="AA38" s="677" t="s">
        <v>365</v>
      </c>
      <c r="AB38" s="181" t="s">
        <v>389</v>
      </c>
      <c r="AC38" s="43" t="s">
        <v>361</v>
      </c>
      <c r="AD38" s="43" t="s">
        <v>361</v>
      </c>
      <c r="AE38" s="357">
        <f t="shared" si="1"/>
        <v>3</v>
      </c>
      <c r="AF38" s="265"/>
      <c r="AG38" s="265"/>
      <c r="AH38" s="265"/>
      <c r="AI38" s="265"/>
      <c r="AJ38" s="224">
        <v>1.0</v>
      </c>
      <c r="AK38" s="80">
        <v>0.0</v>
      </c>
      <c r="AL38" s="80">
        <v>0.0</v>
      </c>
      <c r="AM38" s="224">
        <v>0.0</v>
      </c>
      <c r="AN38" s="80">
        <v>0.0</v>
      </c>
      <c r="AO38" s="224">
        <v>1.0</v>
      </c>
      <c r="AP38" s="80">
        <v>0.0</v>
      </c>
      <c r="AQ38" s="80">
        <v>0.0</v>
      </c>
      <c r="AR38" s="678">
        <f t="shared" si="2"/>
        <v>2</v>
      </c>
      <c r="AS38" s="678">
        <f t="shared" si="3"/>
        <v>2</v>
      </c>
    </row>
    <row r="39">
      <c r="A39" s="157">
        <v>38.0</v>
      </c>
      <c r="B39" s="683" t="s">
        <v>1713</v>
      </c>
      <c r="C39" s="78" t="s">
        <v>1425</v>
      </c>
      <c r="D39" s="692" t="s">
        <v>573</v>
      </c>
      <c r="E39" s="354">
        <v>40737.0</v>
      </c>
      <c r="F39" s="157" t="s">
        <v>354</v>
      </c>
      <c r="G39" s="157" t="s">
        <v>354</v>
      </c>
      <c r="H39" s="157" t="s">
        <v>354</v>
      </c>
      <c r="I39" s="157" t="s">
        <v>354</v>
      </c>
      <c r="J39" s="157" t="s">
        <v>354</v>
      </c>
      <c r="K39" s="158">
        <v>2.0</v>
      </c>
      <c r="L39" s="158" t="s">
        <v>581</v>
      </c>
      <c r="M39" s="265"/>
      <c r="N39" s="265"/>
      <c r="O39" s="158" t="s">
        <v>580</v>
      </c>
      <c r="P39" s="157">
        <v>0.0</v>
      </c>
      <c r="Q39" s="157">
        <v>0.0</v>
      </c>
      <c r="R39" s="551" t="s">
        <v>354</v>
      </c>
      <c r="S39" s="551" t="s">
        <v>354</v>
      </c>
      <c r="T39" s="551" t="s">
        <v>354</v>
      </c>
      <c r="U39" s="157">
        <v>0.0</v>
      </c>
      <c r="V39" s="157">
        <v>0.0</v>
      </c>
      <c r="W39" s="551" t="s">
        <v>354</v>
      </c>
      <c r="X39" s="551" t="s">
        <v>354</v>
      </c>
      <c r="Y39" s="674" t="s">
        <v>356</v>
      </c>
      <c r="Z39" s="674" t="s">
        <v>354</v>
      </c>
      <c r="AA39" s="675" t="s">
        <v>356</v>
      </c>
      <c r="AB39" s="675" t="s">
        <v>354</v>
      </c>
      <c r="AC39" s="139" t="s">
        <v>356</v>
      </c>
      <c r="AD39" s="139" t="s">
        <v>354</v>
      </c>
      <c r="AE39" s="46">
        <f t="shared" si="1"/>
        <v>0</v>
      </c>
      <c r="AF39" s="265"/>
      <c r="AG39" s="265"/>
      <c r="AH39" s="265"/>
      <c r="AI39" s="265"/>
      <c r="AJ39" s="80">
        <v>0.0</v>
      </c>
      <c r="AK39" s="80">
        <v>0.0</v>
      </c>
      <c r="AL39" s="80">
        <v>0.0</v>
      </c>
      <c r="AM39" s="224">
        <v>0.0</v>
      </c>
      <c r="AN39" s="80">
        <v>0.0</v>
      </c>
      <c r="AO39" s="224">
        <v>0.0</v>
      </c>
      <c r="AP39" s="80">
        <v>0.0</v>
      </c>
      <c r="AQ39" s="80">
        <v>0.0</v>
      </c>
      <c r="AR39" s="235">
        <f t="shared" si="2"/>
        <v>0</v>
      </c>
      <c r="AS39" s="235">
        <f t="shared" si="3"/>
        <v>0</v>
      </c>
    </row>
    <row r="40">
      <c r="A40" s="157">
        <v>39.0</v>
      </c>
      <c r="B40" s="695" t="s">
        <v>1714</v>
      </c>
      <c r="C40" s="179" t="s">
        <v>180</v>
      </c>
      <c r="D40" s="697" t="s">
        <v>685</v>
      </c>
      <c r="E40" s="354">
        <v>40737.0</v>
      </c>
      <c r="F40" s="157" t="s">
        <v>354</v>
      </c>
      <c r="G40" s="157" t="s">
        <v>354</v>
      </c>
      <c r="H40" s="157" t="s">
        <v>354</v>
      </c>
      <c r="I40" s="157" t="s">
        <v>354</v>
      </c>
      <c r="J40" s="157" t="s">
        <v>354</v>
      </c>
      <c r="K40" s="179">
        <v>0.0</v>
      </c>
      <c r="L40" s="179" t="s">
        <v>1290</v>
      </c>
      <c r="M40" s="265"/>
      <c r="N40" s="265"/>
      <c r="O40" s="179" t="s">
        <v>690</v>
      </c>
      <c r="P40" s="157">
        <v>0.0</v>
      </c>
      <c r="Q40" s="157">
        <v>0.0</v>
      </c>
      <c r="R40" s="551" t="s">
        <v>354</v>
      </c>
      <c r="S40" s="551" t="s">
        <v>354</v>
      </c>
      <c r="T40" s="551" t="s">
        <v>354</v>
      </c>
      <c r="U40" s="157">
        <v>0.0</v>
      </c>
      <c r="V40" s="157">
        <v>0.0</v>
      </c>
      <c r="W40" s="551" t="s">
        <v>354</v>
      </c>
      <c r="X40" s="551" t="s">
        <v>354</v>
      </c>
      <c r="Y40" s="674" t="s">
        <v>356</v>
      </c>
      <c r="Z40" s="674" t="s">
        <v>354</v>
      </c>
      <c r="AA40" s="675" t="s">
        <v>356</v>
      </c>
      <c r="AB40" s="675" t="s">
        <v>354</v>
      </c>
      <c r="AC40" s="43" t="s">
        <v>361</v>
      </c>
      <c r="AD40" s="43" t="s">
        <v>361</v>
      </c>
      <c r="AE40" s="46">
        <f t="shared" si="1"/>
        <v>0</v>
      </c>
      <c r="AF40" s="265"/>
      <c r="AG40" s="265"/>
      <c r="AH40" s="265"/>
      <c r="AI40" s="265"/>
      <c r="AJ40" s="80">
        <v>0.0</v>
      </c>
      <c r="AK40" s="80">
        <v>0.0</v>
      </c>
      <c r="AL40" s="80">
        <v>0.0</v>
      </c>
      <c r="AM40" s="224">
        <v>0.0</v>
      </c>
      <c r="AN40" s="80">
        <v>0.0</v>
      </c>
      <c r="AO40" s="224">
        <v>0.0</v>
      </c>
      <c r="AP40" s="80">
        <v>0.0</v>
      </c>
      <c r="AQ40" s="80">
        <v>0.0</v>
      </c>
      <c r="AR40" s="235">
        <f t="shared" si="2"/>
        <v>0</v>
      </c>
      <c r="AS40" s="235">
        <f t="shared" si="3"/>
        <v>0</v>
      </c>
    </row>
    <row r="41">
      <c r="A41" s="157">
        <v>40.0</v>
      </c>
      <c r="B41" s="693" t="s">
        <v>1715</v>
      </c>
      <c r="C41" s="157" t="s">
        <v>1010</v>
      </c>
      <c r="D41" s="273" t="s">
        <v>1010</v>
      </c>
      <c r="E41" s="354">
        <v>40737.0</v>
      </c>
      <c r="F41" s="157" t="s">
        <v>354</v>
      </c>
      <c r="G41" s="157" t="s">
        <v>354</v>
      </c>
      <c r="H41" s="157" t="s">
        <v>354</v>
      </c>
      <c r="I41" s="157" t="s">
        <v>354</v>
      </c>
      <c r="J41" s="157" t="s">
        <v>354</v>
      </c>
      <c r="K41" s="157" t="s">
        <v>354</v>
      </c>
      <c r="L41" s="157"/>
      <c r="M41" s="157" t="s">
        <v>354</v>
      </c>
      <c r="N41" s="157" t="s">
        <v>354</v>
      </c>
      <c r="O41" s="157" t="s">
        <v>354</v>
      </c>
      <c r="P41" s="157">
        <v>0.0</v>
      </c>
      <c r="Q41" s="157">
        <v>0.0</v>
      </c>
      <c r="R41" s="551" t="s">
        <v>354</v>
      </c>
      <c r="S41" s="551" t="s">
        <v>354</v>
      </c>
      <c r="T41" s="551" t="s">
        <v>354</v>
      </c>
      <c r="U41" s="157">
        <v>0.0</v>
      </c>
      <c r="V41" s="157">
        <v>0.0</v>
      </c>
      <c r="W41" s="551" t="s">
        <v>354</v>
      </c>
      <c r="X41" s="551" t="s">
        <v>354</v>
      </c>
      <c r="Y41" s="674" t="s">
        <v>356</v>
      </c>
      <c r="Z41" s="674" t="s">
        <v>354</v>
      </c>
      <c r="AA41" s="675" t="s">
        <v>356</v>
      </c>
      <c r="AB41" s="675" t="s">
        <v>354</v>
      </c>
      <c r="AC41" s="139" t="s">
        <v>356</v>
      </c>
      <c r="AD41" s="139" t="s">
        <v>354</v>
      </c>
      <c r="AE41" s="46">
        <f t="shared" si="1"/>
        <v>0</v>
      </c>
      <c r="AF41" s="265"/>
      <c r="AG41" s="265"/>
      <c r="AH41" s="265"/>
      <c r="AI41" s="265"/>
      <c r="AJ41" s="80">
        <v>0.0</v>
      </c>
      <c r="AK41" s="80">
        <v>0.0</v>
      </c>
      <c r="AL41" s="80">
        <v>0.0</v>
      </c>
      <c r="AM41" s="224">
        <v>0.0</v>
      </c>
      <c r="AN41" s="80">
        <v>0.0</v>
      </c>
      <c r="AO41" s="224">
        <v>0.0</v>
      </c>
      <c r="AP41" s="80">
        <v>0.0</v>
      </c>
      <c r="AQ41" s="80">
        <v>0.0</v>
      </c>
      <c r="AR41" s="235">
        <f t="shared" si="2"/>
        <v>0</v>
      </c>
      <c r="AS41" s="235">
        <f t="shared" si="3"/>
        <v>0</v>
      </c>
    </row>
    <row r="42">
      <c r="A42" s="157">
        <v>41.0</v>
      </c>
      <c r="B42" s="693" t="s">
        <v>1716</v>
      </c>
      <c r="C42" s="157" t="s">
        <v>1034</v>
      </c>
      <c r="D42" s="273" t="s">
        <v>1034</v>
      </c>
      <c r="E42" s="354">
        <v>40737.0</v>
      </c>
      <c r="F42" s="157" t="s">
        <v>354</v>
      </c>
      <c r="G42" s="157" t="s">
        <v>354</v>
      </c>
      <c r="H42" s="157" t="s">
        <v>354</v>
      </c>
      <c r="I42" s="157" t="s">
        <v>354</v>
      </c>
      <c r="J42" s="157" t="s">
        <v>354</v>
      </c>
      <c r="K42" s="157" t="s">
        <v>354</v>
      </c>
      <c r="L42" s="157"/>
      <c r="M42" s="157" t="s">
        <v>354</v>
      </c>
      <c r="N42" s="157" t="s">
        <v>354</v>
      </c>
      <c r="O42" s="157" t="s">
        <v>354</v>
      </c>
      <c r="P42" s="157">
        <v>0.0</v>
      </c>
      <c r="Q42" s="157">
        <v>0.0</v>
      </c>
      <c r="R42" s="551" t="s">
        <v>354</v>
      </c>
      <c r="S42" s="551" t="s">
        <v>354</v>
      </c>
      <c r="T42" s="551" t="s">
        <v>354</v>
      </c>
      <c r="U42" s="157">
        <v>0.0</v>
      </c>
      <c r="V42" s="157">
        <v>0.0</v>
      </c>
      <c r="W42" s="551" t="s">
        <v>354</v>
      </c>
      <c r="X42" s="551" t="s">
        <v>354</v>
      </c>
      <c r="Y42" s="674" t="s">
        <v>356</v>
      </c>
      <c r="Z42" s="674" t="s">
        <v>354</v>
      </c>
      <c r="AA42" s="675" t="s">
        <v>356</v>
      </c>
      <c r="AB42" s="675" t="s">
        <v>354</v>
      </c>
      <c r="AC42" s="139" t="s">
        <v>356</v>
      </c>
      <c r="AD42" s="139" t="s">
        <v>354</v>
      </c>
      <c r="AE42" s="46">
        <f t="shared" si="1"/>
        <v>0</v>
      </c>
      <c r="AF42" s="265"/>
      <c r="AG42" s="265"/>
      <c r="AH42" s="265"/>
      <c r="AI42" s="265"/>
      <c r="AJ42" s="80">
        <v>0.0</v>
      </c>
      <c r="AK42" s="80">
        <v>0.0</v>
      </c>
      <c r="AL42" s="80">
        <v>0.0</v>
      </c>
      <c r="AM42" s="224">
        <v>0.0</v>
      </c>
      <c r="AN42" s="80">
        <v>0.0</v>
      </c>
      <c r="AO42" s="224">
        <v>0.0</v>
      </c>
      <c r="AP42" s="80">
        <v>0.0</v>
      </c>
      <c r="AQ42" s="80">
        <v>0.0</v>
      </c>
      <c r="AR42" s="235">
        <f t="shared" si="2"/>
        <v>0</v>
      </c>
      <c r="AS42" s="235">
        <f t="shared" si="3"/>
        <v>0</v>
      </c>
    </row>
    <row r="43">
      <c r="A43" s="157">
        <v>42.0</v>
      </c>
      <c r="B43" s="695" t="s">
        <v>1717</v>
      </c>
      <c r="C43" s="179" t="s">
        <v>195</v>
      </c>
      <c r="D43" s="697" t="s">
        <v>707</v>
      </c>
      <c r="E43" s="354">
        <v>40737.0</v>
      </c>
      <c r="F43" s="157" t="s">
        <v>354</v>
      </c>
      <c r="G43" s="157" t="s">
        <v>354</v>
      </c>
      <c r="H43" s="157" t="s">
        <v>354</v>
      </c>
      <c r="I43" s="157" t="s">
        <v>354</v>
      </c>
      <c r="J43" s="157" t="s">
        <v>354</v>
      </c>
      <c r="K43" s="179">
        <v>0.0</v>
      </c>
      <c r="L43" s="179" t="s">
        <v>354</v>
      </c>
      <c r="M43" s="265"/>
      <c r="N43" s="265"/>
      <c r="O43" s="179" t="s">
        <v>446</v>
      </c>
      <c r="P43" s="157">
        <v>0.0</v>
      </c>
      <c r="Q43" s="157">
        <v>0.0</v>
      </c>
      <c r="R43" s="551" t="s">
        <v>354</v>
      </c>
      <c r="S43" s="551" t="s">
        <v>354</v>
      </c>
      <c r="T43" s="551" t="s">
        <v>354</v>
      </c>
      <c r="U43" s="157">
        <v>0.0</v>
      </c>
      <c r="V43" s="157">
        <v>0.0</v>
      </c>
      <c r="W43" s="551" t="s">
        <v>354</v>
      </c>
      <c r="X43" s="551" t="s">
        <v>354</v>
      </c>
      <c r="Y43" s="681" t="s">
        <v>365</v>
      </c>
      <c r="Z43" s="40" t="s">
        <v>357</v>
      </c>
      <c r="AA43" s="675" t="s">
        <v>356</v>
      </c>
      <c r="AB43" s="675" t="s">
        <v>354</v>
      </c>
      <c r="AC43" s="144" t="s">
        <v>365</v>
      </c>
      <c r="AD43" s="40" t="s">
        <v>357</v>
      </c>
      <c r="AE43" s="357">
        <f t="shared" si="1"/>
        <v>2</v>
      </c>
      <c r="AF43" s="265"/>
      <c r="AG43" s="265"/>
      <c r="AH43" s="265"/>
      <c r="AI43" s="265"/>
      <c r="AJ43" s="80">
        <v>0.0</v>
      </c>
      <c r="AK43" s="80">
        <v>0.0</v>
      </c>
      <c r="AL43" s="80">
        <v>0.0</v>
      </c>
      <c r="AM43" s="224">
        <v>0.0</v>
      </c>
      <c r="AN43" s="80">
        <v>0.0</v>
      </c>
      <c r="AO43" s="224">
        <v>2.0</v>
      </c>
      <c r="AP43" s="80">
        <v>0.0</v>
      </c>
      <c r="AQ43" s="80">
        <v>0.0</v>
      </c>
      <c r="AR43" s="678">
        <f t="shared" si="2"/>
        <v>2</v>
      </c>
      <c r="AS43" s="678">
        <f t="shared" si="3"/>
        <v>1</v>
      </c>
    </row>
    <row r="44">
      <c r="A44" s="157">
        <v>43.0</v>
      </c>
      <c r="B44" s="693" t="s">
        <v>1718</v>
      </c>
      <c r="C44" s="157" t="s">
        <v>986</v>
      </c>
      <c r="D44" s="273" t="s">
        <v>986</v>
      </c>
      <c r="E44" s="354">
        <v>40737.0</v>
      </c>
      <c r="F44" s="157" t="s">
        <v>354</v>
      </c>
      <c r="G44" s="157" t="s">
        <v>354</v>
      </c>
      <c r="H44" s="157" t="s">
        <v>354</v>
      </c>
      <c r="I44" s="157" t="s">
        <v>354</v>
      </c>
      <c r="J44" s="157" t="s">
        <v>354</v>
      </c>
      <c r="K44" s="157" t="s">
        <v>354</v>
      </c>
      <c r="L44" s="157"/>
      <c r="M44" s="157" t="s">
        <v>354</v>
      </c>
      <c r="N44" s="157" t="s">
        <v>354</v>
      </c>
      <c r="O44" s="157" t="s">
        <v>354</v>
      </c>
      <c r="P44" s="157">
        <v>0.0</v>
      </c>
      <c r="Q44" s="157">
        <v>0.0</v>
      </c>
      <c r="R44" s="551" t="s">
        <v>354</v>
      </c>
      <c r="S44" s="551" t="s">
        <v>354</v>
      </c>
      <c r="T44" s="551" t="s">
        <v>354</v>
      </c>
      <c r="U44" s="157">
        <v>0.0</v>
      </c>
      <c r="V44" s="157">
        <v>0.0</v>
      </c>
      <c r="W44" s="551" t="s">
        <v>354</v>
      </c>
      <c r="X44" s="551" t="s">
        <v>354</v>
      </c>
      <c r="Y44" s="674" t="s">
        <v>356</v>
      </c>
      <c r="Z44" s="674" t="s">
        <v>354</v>
      </c>
      <c r="AA44" s="675" t="s">
        <v>356</v>
      </c>
      <c r="AB44" s="675" t="s">
        <v>354</v>
      </c>
      <c r="AC44" s="139" t="s">
        <v>356</v>
      </c>
      <c r="AD44" s="139" t="s">
        <v>354</v>
      </c>
      <c r="AE44" s="46">
        <f t="shared" si="1"/>
        <v>0</v>
      </c>
      <c r="AF44" s="265"/>
      <c r="AG44" s="265"/>
      <c r="AH44" s="265"/>
      <c r="AI44" s="265"/>
      <c r="AJ44" s="80">
        <v>0.0</v>
      </c>
      <c r="AK44" s="80">
        <v>0.0</v>
      </c>
      <c r="AL44" s="80">
        <v>0.0</v>
      </c>
      <c r="AM44" s="224">
        <v>0.0</v>
      </c>
      <c r="AN44" s="80">
        <v>0.0</v>
      </c>
      <c r="AO44" s="224">
        <v>0.0</v>
      </c>
      <c r="AP44" s="80">
        <v>0.0</v>
      </c>
      <c r="AQ44" s="80">
        <v>0.0</v>
      </c>
      <c r="AR44" s="235">
        <f t="shared" si="2"/>
        <v>0</v>
      </c>
      <c r="AS44" s="235">
        <f t="shared" si="3"/>
        <v>0</v>
      </c>
    </row>
    <row r="45">
      <c r="A45" s="157">
        <v>44.0</v>
      </c>
      <c r="B45" s="693" t="s">
        <v>1719</v>
      </c>
      <c r="C45" s="157" t="s">
        <v>1004</v>
      </c>
      <c r="D45" s="273" t="s">
        <v>1004</v>
      </c>
      <c r="E45" s="354">
        <v>40737.0</v>
      </c>
      <c r="F45" s="157" t="s">
        <v>354</v>
      </c>
      <c r="G45" s="157" t="s">
        <v>354</v>
      </c>
      <c r="H45" s="157" t="s">
        <v>354</v>
      </c>
      <c r="I45" s="157" t="s">
        <v>354</v>
      </c>
      <c r="J45" s="157" t="s">
        <v>354</v>
      </c>
      <c r="K45" s="157" t="s">
        <v>354</v>
      </c>
      <c r="L45" s="157"/>
      <c r="M45" s="157" t="s">
        <v>354</v>
      </c>
      <c r="N45" s="157" t="s">
        <v>354</v>
      </c>
      <c r="O45" s="157" t="s">
        <v>354</v>
      </c>
      <c r="P45" s="157">
        <v>0.0</v>
      </c>
      <c r="Q45" s="157">
        <v>0.0</v>
      </c>
      <c r="R45" s="551" t="s">
        <v>354</v>
      </c>
      <c r="S45" s="551" t="s">
        <v>354</v>
      </c>
      <c r="T45" s="551" t="s">
        <v>354</v>
      </c>
      <c r="U45" s="157">
        <v>0.0</v>
      </c>
      <c r="V45" s="157">
        <v>0.0</v>
      </c>
      <c r="W45" s="551" t="s">
        <v>354</v>
      </c>
      <c r="X45" s="551" t="s">
        <v>354</v>
      </c>
      <c r="Y45" s="674" t="s">
        <v>356</v>
      </c>
      <c r="Z45" s="674" t="s">
        <v>354</v>
      </c>
      <c r="AA45" s="675" t="s">
        <v>356</v>
      </c>
      <c r="AB45" s="675" t="s">
        <v>354</v>
      </c>
      <c r="AC45" s="139" t="s">
        <v>356</v>
      </c>
      <c r="AD45" s="139" t="s">
        <v>354</v>
      </c>
      <c r="AE45" s="46">
        <f t="shared" si="1"/>
        <v>0</v>
      </c>
      <c r="AF45" s="265"/>
      <c r="AG45" s="265"/>
      <c r="AH45" s="265"/>
      <c r="AI45" s="265"/>
      <c r="AJ45" s="80">
        <v>0.0</v>
      </c>
      <c r="AK45" s="80">
        <v>0.0</v>
      </c>
      <c r="AL45" s="80">
        <v>0.0</v>
      </c>
      <c r="AM45" s="224">
        <v>0.0</v>
      </c>
      <c r="AN45" s="80">
        <v>0.0</v>
      </c>
      <c r="AO45" s="224">
        <v>0.0</v>
      </c>
      <c r="AP45" s="80">
        <v>0.0</v>
      </c>
      <c r="AQ45" s="80">
        <v>0.0</v>
      </c>
      <c r="AR45" s="235">
        <f t="shared" si="2"/>
        <v>0</v>
      </c>
      <c r="AS45" s="235">
        <f t="shared" si="3"/>
        <v>0</v>
      </c>
    </row>
    <row r="46">
      <c r="A46" s="157">
        <v>45.0</v>
      </c>
      <c r="B46" s="683" t="s">
        <v>1720</v>
      </c>
      <c r="C46" s="158" t="s">
        <v>225</v>
      </c>
      <c r="D46" s="698" t="s">
        <v>789</v>
      </c>
      <c r="E46" s="354">
        <v>40737.0</v>
      </c>
      <c r="F46" s="157" t="s">
        <v>354</v>
      </c>
      <c r="G46" s="157" t="s">
        <v>354</v>
      </c>
      <c r="H46" s="157" t="s">
        <v>354</v>
      </c>
      <c r="I46" s="157" t="s">
        <v>354</v>
      </c>
      <c r="J46" s="157" t="s">
        <v>354</v>
      </c>
      <c r="K46" s="158">
        <v>3.0</v>
      </c>
      <c r="L46" s="158" t="s">
        <v>794</v>
      </c>
      <c r="M46" s="265"/>
      <c r="N46" s="265"/>
      <c r="O46" s="158" t="s">
        <v>600</v>
      </c>
      <c r="P46" s="77">
        <v>42.2</v>
      </c>
      <c r="Q46" s="157">
        <v>0.0</v>
      </c>
      <c r="R46" s="551" t="s">
        <v>354</v>
      </c>
      <c r="S46" s="551" t="s">
        <v>354</v>
      </c>
      <c r="T46" s="551" t="s">
        <v>354</v>
      </c>
      <c r="U46" s="157">
        <v>0.0</v>
      </c>
      <c r="V46" s="157">
        <v>0.0</v>
      </c>
      <c r="W46" s="551" t="s">
        <v>354</v>
      </c>
      <c r="X46" s="551" t="s">
        <v>354</v>
      </c>
      <c r="Y46" s="674" t="s">
        <v>356</v>
      </c>
      <c r="Z46" s="674" t="s">
        <v>354</v>
      </c>
      <c r="AA46" s="675" t="s">
        <v>356</v>
      </c>
      <c r="AB46" s="675" t="s">
        <v>354</v>
      </c>
      <c r="AC46" s="36" t="s">
        <v>365</v>
      </c>
      <c r="AD46" s="699" t="s">
        <v>363</v>
      </c>
      <c r="AE46" s="357">
        <f t="shared" si="1"/>
        <v>2</v>
      </c>
      <c r="AF46" s="265"/>
      <c r="AG46" s="265"/>
      <c r="AH46" s="265"/>
      <c r="AI46" s="265"/>
      <c r="AJ46" s="80">
        <v>0.0</v>
      </c>
      <c r="AK46" s="80">
        <v>0.0</v>
      </c>
      <c r="AL46" s="80">
        <v>0.0</v>
      </c>
      <c r="AM46" s="224">
        <v>1.0</v>
      </c>
      <c r="AN46" s="80">
        <v>0.0</v>
      </c>
      <c r="AO46" s="224">
        <v>0.0</v>
      </c>
      <c r="AP46" s="80">
        <v>0.0</v>
      </c>
      <c r="AQ46" s="80">
        <v>0.0</v>
      </c>
      <c r="AR46" s="678">
        <f t="shared" si="2"/>
        <v>1</v>
      </c>
      <c r="AS46" s="678">
        <f t="shared" si="3"/>
        <v>1</v>
      </c>
    </row>
    <row r="47">
      <c r="A47" s="157">
        <v>46.0</v>
      </c>
      <c r="B47" s="686" t="s">
        <v>1721</v>
      </c>
      <c r="C47" s="184" t="s">
        <v>141</v>
      </c>
      <c r="D47" s="687" t="s">
        <v>609</v>
      </c>
      <c r="E47" s="354">
        <v>40737.0</v>
      </c>
      <c r="F47" s="157" t="s">
        <v>354</v>
      </c>
      <c r="G47" s="157" t="s">
        <v>354</v>
      </c>
      <c r="H47" s="157" t="s">
        <v>354</v>
      </c>
      <c r="I47" s="157" t="s">
        <v>354</v>
      </c>
      <c r="J47" s="157" t="s">
        <v>354</v>
      </c>
      <c r="K47" s="184">
        <v>0.0</v>
      </c>
      <c r="L47" s="184" t="s">
        <v>354</v>
      </c>
      <c r="M47" s="265"/>
      <c r="N47" s="265"/>
      <c r="O47" s="184" t="s">
        <v>371</v>
      </c>
      <c r="P47" s="157">
        <v>0.0</v>
      </c>
      <c r="Q47" s="157">
        <v>0.0</v>
      </c>
      <c r="R47" s="551" t="s">
        <v>354</v>
      </c>
      <c r="S47" s="551" t="s">
        <v>354</v>
      </c>
      <c r="T47" s="551" t="s">
        <v>354</v>
      </c>
      <c r="U47" s="157">
        <v>0.0</v>
      </c>
      <c r="V47" s="157">
        <v>0.0</v>
      </c>
      <c r="W47" s="551" t="s">
        <v>354</v>
      </c>
      <c r="X47" s="551" t="s">
        <v>354</v>
      </c>
      <c r="Y47" s="674" t="s">
        <v>356</v>
      </c>
      <c r="Z47" s="674" t="s">
        <v>354</v>
      </c>
      <c r="AA47" s="675" t="s">
        <v>356</v>
      </c>
      <c r="AB47" s="675" t="s">
        <v>354</v>
      </c>
      <c r="AC47" s="139" t="s">
        <v>356</v>
      </c>
      <c r="AD47" s="139" t="s">
        <v>354</v>
      </c>
      <c r="AE47" s="46">
        <f t="shared" si="1"/>
        <v>0</v>
      </c>
      <c r="AF47" s="265"/>
      <c r="AG47" s="265"/>
      <c r="AH47" s="265"/>
      <c r="AI47" s="265"/>
      <c r="AJ47" s="80">
        <v>0.0</v>
      </c>
      <c r="AK47" s="80">
        <v>0.0</v>
      </c>
      <c r="AL47" s="80">
        <v>0.0</v>
      </c>
      <c r="AM47" s="224">
        <v>0.0</v>
      </c>
      <c r="AN47" s="80">
        <v>0.0</v>
      </c>
      <c r="AO47" s="224">
        <v>0.0</v>
      </c>
      <c r="AP47" s="80">
        <v>0.0</v>
      </c>
      <c r="AQ47" s="80">
        <v>0.0</v>
      </c>
      <c r="AR47" s="235">
        <f t="shared" si="2"/>
        <v>0</v>
      </c>
      <c r="AS47" s="235">
        <f t="shared" si="3"/>
        <v>0</v>
      </c>
    </row>
    <row r="48">
      <c r="A48" s="157">
        <v>47.0</v>
      </c>
      <c r="B48" s="686" t="s">
        <v>1722</v>
      </c>
      <c r="C48" s="41" t="s">
        <v>616</v>
      </c>
      <c r="D48" s="687" t="s">
        <v>617</v>
      </c>
      <c r="E48" s="354">
        <v>40737.0</v>
      </c>
      <c r="F48" s="157" t="s">
        <v>354</v>
      </c>
      <c r="G48" s="157" t="s">
        <v>354</v>
      </c>
      <c r="H48" s="157" t="s">
        <v>354</v>
      </c>
      <c r="I48" s="157" t="s">
        <v>354</v>
      </c>
      <c r="J48" s="157" t="s">
        <v>354</v>
      </c>
      <c r="K48" s="184">
        <v>0.0</v>
      </c>
      <c r="L48" s="184" t="s">
        <v>354</v>
      </c>
      <c r="M48" s="265"/>
      <c r="N48" s="265"/>
      <c r="O48" s="184" t="s">
        <v>371</v>
      </c>
      <c r="P48" s="157">
        <v>0.0</v>
      </c>
      <c r="Q48" s="157">
        <v>0.0</v>
      </c>
      <c r="R48" s="551" t="s">
        <v>354</v>
      </c>
      <c r="S48" s="551" t="s">
        <v>354</v>
      </c>
      <c r="T48" s="551" t="s">
        <v>354</v>
      </c>
      <c r="U48" s="157">
        <v>0.0</v>
      </c>
      <c r="V48" s="157">
        <v>0.0</v>
      </c>
      <c r="W48" s="551" t="s">
        <v>354</v>
      </c>
      <c r="X48" s="551" t="s">
        <v>354</v>
      </c>
      <c r="Y48" s="674" t="s">
        <v>356</v>
      </c>
      <c r="Z48" s="674" t="s">
        <v>354</v>
      </c>
      <c r="AA48" s="675" t="s">
        <v>356</v>
      </c>
      <c r="AB48" s="675" t="s">
        <v>354</v>
      </c>
      <c r="AC48" s="139" t="s">
        <v>356</v>
      </c>
      <c r="AD48" s="139" t="s">
        <v>354</v>
      </c>
      <c r="AE48" s="46">
        <f t="shared" si="1"/>
        <v>0</v>
      </c>
      <c r="AF48" s="265"/>
      <c r="AG48" s="265"/>
      <c r="AH48" s="265"/>
      <c r="AI48" s="265"/>
      <c r="AJ48" s="80">
        <v>0.0</v>
      </c>
      <c r="AK48" s="80">
        <v>0.0</v>
      </c>
      <c r="AL48" s="80">
        <v>0.0</v>
      </c>
      <c r="AM48" s="224">
        <v>0.0</v>
      </c>
      <c r="AN48" s="80">
        <v>0.0</v>
      </c>
      <c r="AO48" s="224">
        <v>0.0</v>
      </c>
      <c r="AP48" s="80">
        <v>0.0</v>
      </c>
      <c r="AQ48" s="80">
        <v>0.0</v>
      </c>
      <c r="AR48" s="235">
        <f t="shared" si="2"/>
        <v>0</v>
      </c>
      <c r="AS48" s="235">
        <f t="shared" si="3"/>
        <v>0</v>
      </c>
    </row>
    <row r="49">
      <c r="A49" s="157">
        <v>48.0</v>
      </c>
      <c r="B49" s="686" t="s">
        <v>1723</v>
      </c>
      <c r="C49" s="184" t="s">
        <v>80</v>
      </c>
      <c r="D49" s="687" t="s">
        <v>467</v>
      </c>
      <c r="E49" s="354">
        <v>40737.0</v>
      </c>
      <c r="F49" s="157" t="s">
        <v>354</v>
      </c>
      <c r="G49" s="157" t="s">
        <v>354</v>
      </c>
      <c r="H49" s="157" t="s">
        <v>354</v>
      </c>
      <c r="I49" s="157" t="s">
        <v>354</v>
      </c>
      <c r="J49" s="157" t="s">
        <v>354</v>
      </c>
      <c r="K49" s="184">
        <v>0.0</v>
      </c>
      <c r="L49" s="184" t="s">
        <v>354</v>
      </c>
      <c r="M49" s="265"/>
      <c r="N49" s="265"/>
      <c r="O49" s="184" t="s">
        <v>371</v>
      </c>
      <c r="P49" s="157">
        <v>0.0</v>
      </c>
      <c r="Q49" s="157">
        <v>0.0</v>
      </c>
      <c r="R49" s="551" t="s">
        <v>354</v>
      </c>
      <c r="S49" s="551" t="s">
        <v>354</v>
      </c>
      <c r="T49" s="551" t="s">
        <v>354</v>
      </c>
      <c r="U49" s="157">
        <v>0.0</v>
      </c>
      <c r="V49" s="157">
        <v>0.0</v>
      </c>
      <c r="W49" s="551" t="s">
        <v>354</v>
      </c>
      <c r="X49" s="551" t="s">
        <v>354</v>
      </c>
      <c r="Y49" s="674" t="s">
        <v>356</v>
      </c>
      <c r="Z49" s="674" t="s">
        <v>354</v>
      </c>
      <c r="AA49" s="675" t="s">
        <v>356</v>
      </c>
      <c r="AB49" s="675" t="s">
        <v>354</v>
      </c>
      <c r="AC49" s="139" t="s">
        <v>356</v>
      </c>
      <c r="AD49" s="139" t="s">
        <v>354</v>
      </c>
      <c r="AE49" s="46">
        <f t="shared" si="1"/>
        <v>0</v>
      </c>
      <c r="AF49" s="265"/>
      <c r="AG49" s="265"/>
      <c r="AH49" s="265"/>
      <c r="AI49" s="265"/>
      <c r="AJ49" s="80">
        <v>0.0</v>
      </c>
      <c r="AK49" s="80">
        <v>0.0</v>
      </c>
      <c r="AL49" s="80">
        <v>0.0</v>
      </c>
      <c r="AM49" s="224">
        <v>0.0</v>
      </c>
      <c r="AN49" s="80">
        <v>0.0</v>
      </c>
      <c r="AO49" s="224">
        <v>0.0</v>
      </c>
      <c r="AP49" s="80">
        <v>0.0</v>
      </c>
      <c r="AQ49" s="80">
        <v>0.0</v>
      </c>
      <c r="AR49" s="235">
        <f t="shared" si="2"/>
        <v>0</v>
      </c>
      <c r="AS49" s="235">
        <f t="shared" si="3"/>
        <v>0</v>
      </c>
    </row>
    <row r="50">
      <c r="A50" s="157">
        <v>49.0</v>
      </c>
      <c r="B50" s="686" t="s">
        <v>1724</v>
      </c>
      <c r="C50" s="184" t="s">
        <v>168</v>
      </c>
      <c r="D50" s="687" t="s">
        <v>656</v>
      </c>
      <c r="E50" s="354">
        <v>40737.0</v>
      </c>
      <c r="F50" s="157" t="s">
        <v>354</v>
      </c>
      <c r="G50" s="157" t="s">
        <v>354</v>
      </c>
      <c r="H50" s="157" t="s">
        <v>354</v>
      </c>
      <c r="I50" s="157" t="s">
        <v>354</v>
      </c>
      <c r="J50" s="157" t="s">
        <v>354</v>
      </c>
      <c r="K50" s="184">
        <v>0.0</v>
      </c>
      <c r="L50" s="184" t="s">
        <v>354</v>
      </c>
      <c r="M50" s="265"/>
      <c r="N50" s="265"/>
      <c r="O50" s="184" t="s">
        <v>371</v>
      </c>
      <c r="P50" s="157">
        <v>0.0</v>
      </c>
      <c r="Q50" s="157">
        <v>0.0</v>
      </c>
      <c r="R50" s="551" t="s">
        <v>354</v>
      </c>
      <c r="S50" s="551" t="s">
        <v>354</v>
      </c>
      <c r="T50" s="551" t="s">
        <v>354</v>
      </c>
      <c r="U50" s="157">
        <v>0.0</v>
      </c>
      <c r="V50" s="157">
        <v>0.0</v>
      </c>
      <c r="W50" s="551" t="s">
        <v>354</v>
      </c>
      <c r="X50" s="551" t="s">
        <v>354</v>
      </c>
      <c r="Y50" s="674" t="s">
        <v>356</v>
      </c>
      <c r="Z50" s="674" t="s">
        <v>354</v>
      </c>
      <c r="AA50" s="675" t="s">
        <v>356</v>
      </c>
      <c r="AB50" s="675" t="s">
        <v>354</v>
      </c>
      <c r="AC50" s="139" t="s">
        <v>356</v>
      </c>
      <c r="AD50" s="139" t="s">
        <v>354</v>
      </c>
      <c r="AE50" s="46">
        <f t="shared" si="1"/>
        <v>0</v>
      </c>
      <c r="AF50" s="265"/>
      <c r="AG50" s="265"/>
      <c r="AH50" s="265"/>
      <c r="AI50" s="265"/>
      <c r="AJ50" s="80">
        <v>0.0</v>
      </c>
      <c r="AK50" s="80">
        <v>0.0</v>
      </c>
      <c r="AL50" s="80">
        <v>0.0</v>
      </c>
      <c r="AM50" s="224">
        <v>0.0</v>
      </c>
      <c r="AN50" s="80">
        <v>0.0</v>
      </c>
      <c r="AO50" s="224">
        <v>0.0</v>
      </c>
      <c r="AP50" s="80">
        <v>0.0</v>
      </c>
      <c r="AQ50" s="80">
        <v>0.0</v>
      </c>
      <c r="AR50" s="235">
        <f t="shared" si="2"/>
        <v>0</v>
      </c>
      <c r="AS50" s="235">
        <f t="shared" si="3"/>
        <v>0</v>
      </c>
    </row>
    <row r="51">
      <c r="A51" s="157">
        <v>50.0</v>
      </c>
      <c r="B51" s="693" t="s">
        <v>1725</v>
      </c>
      <c r="C51" s="157" t="s">
        <v>1047</v>
      </c>
      <c r="D51" s="273" t="s">
        <v>1047</v>
      </c>
      <c r="E51" s="354">
        <v>40737.0</v>
      </c>
      <c r="F51" s="157" t="s">
        <v>354</v>
      </c>
      <c r="G51" s="157" t="s">
        <v>354</v>
      </c>
      <c r="H51" s="157" t="s">
        <v>354</v>
      </c>
      <c r="I51" s="157" t="s">
        <v>354</v>
      </c>
      <c r="J51" s="157" t="s">
        <v>354</v>
      </c>
      <c r="K51" s="157" t="s">
        <v>354</v>
      </c>
      <c r="L51" s="157"/>
      <c r="M51" s="157" t="s">
        <v>354</v>
      </c>
      <c r="N51" s="157" t="s">
        <v>354</v>
      </c>
      <c r="O51" s="157" t="s">
        <v>354</v>
      </c>
      <c r="P51" s="157">
        <v>0.0</v>
      </c>
      <c r="Q51" s="157">
        <v>0.0</v>
      </c>
      <c r="R51" s="551" t="s">
        <v>354</v>
      </c>
      <c r="S51" s="551" t="s">
        <v>354</v>
      </c>
      <c r="T51" s="551" t="s">
        <v>354</v>
      </c>
      <c r="U51" s="157">
        <v>0.0</v>
      </c>
      <c r="V51" s="157">
        <v>0.0</v>
      </c>
      <c r="W51" s="551" t="s">
        <v>354</v>
      </c>
      <c r="X51" s="551" t="s">
        <v>354</v>
      </c>
      <c r="Y51" s="674" t="s">
        <v>356</v>
      </c>
      <c r="Z51" s="674" t="s">
        <v>354</v>
      </c>
      <c r="AA51" s="675" t="s">
        <v>356</v>
      </c>
      <c r="AB51" s="675" t="s">
        <v>354</v>
      </c>
      <c r="AC51" s="139" t="s">
        <v>356</v>
      </c>
      <c r="AD51" s="139" t="s">
        <v>354</v>
      </c>
      <c r="AE51" s="46">
        <f t="shared" si="1"/>
        <v>0</v>
      </c>
      <c r="AF51" s="265"/>
      <c r="AG51" s="265"/>
      <c r="AH51" s="265"/>
      <c r="AI51" s="265"/>
      <c r="AJ51" s="80">
        <v>0.0</v>
      </c>
      <c r="AK51" s="80">
        <v>0.0</v>
      </c>
      <c r="AL51" s="80">
        <v>0.0</v>
      </c>
      <c r="AM51" s="224">
        <v>0.0</v>
      </c>
      <c r="AN51" s="80">
        <v>0.0</v>
      </c>
      <c r="AO51" s="224">
        <v>0.0</v>
      </c>
      <c r="AP51" s="80">
        <v>0.0</v>
      </c>
      <c r="AQ51" s="80">
        <v>0.0</v>
      </c>
      <c r="AR51" s="235">
        <f t="shared" si="2"/>
        <v>0</v>
      </c>
      <c r="AS51" s="235">
        <f t="shared" si="3"/>
        <v>0</v>
      </c>
    </row>
    <row r="52">
      <c r="A52" s="157">
        <v>51.0</v>
      </c>
      <c r="B52" s="695" t="s">
        <v>1726</v>
      </c>
      <c r="C52" s="179" t="s">
        <v>165</v>
      </c>
      <c r="D52" s="697" t="s">
        <v>650</v>
      </c>
      <c r="E52" s="354">
        <v>40737.0</v>
      </c>
      <c r="F52" s="157" t="s">
        <v>354</v>
      </c>
      <c r="G52" s="157" t="s">
        <v>354</v>
      </c>
      <c r="H52" s="157" t="s">
        <v>354</v>
      </c>
      <c r="I52" s="157" t="s">
        <v>354</v>
      </c>
      <c r="J52" s="157" t="s">
        <v>354</v>
      </c>
      <c r="K52" s="179">
        <v>0.0</v>
      </c>
      <c r="L52" s="179" t="s">
        <v>354</v>
      </c>
      <c r="M52" s="265"/>
      <c r="N52" s="265"/>
      <c r="O52" s="179" t="s">
        <v>485</v>
      </c>
      <c r="P52" s="157">
        <v>0.0</v>
      </c>
      <c r="Q52" s="157">
        <v>0.0</v>
      </c>
      <c r="R52" s="551" t="s">
        <v>354</v>
      </c>
      <c r="S52" s="551" t="s">
        <v>354</v>
      </c>
      <c r="T52" s="551" t="s">
        <v>354</v>
      </c>
      <c r="U52" s="157">
        <v>0.0</v>
      </c>
      <c r="V52" s="157">
        <v>0.0</v>
      </c>
      <c r="W52" s="551" t="s">
        <v>354</v>
      </c>
      <c r="X52" s="551" t="s">
        <v>354</v>
      </c>
      <c r="Y52" s="674" t="s">
        <v>356</v>
      </c>
      <c r="Z52" s="674" t="s">
        <v>354</v>
      </c>
      <c r="AA52" s="675" t="s">
        <v>356</v>
      </c>
      <c r="AB52" s="675" t="s">
        <v>354</v>
      </c>
      <c r="AC52" s="139" t="s">
        <v>356</v>
      </c>
      <c r="AD52" s="139" t="s">
        <v>354</v>
      </c>
      <c r="AE52" s="46">
        <f t="shared" si="1"/>
        <v>0</v>
      </c>
      <c r="AF52" s="265"/>
      <c r="AG52" s="265"/>
      <c r="AH52" s="265"/>
      <c r="AI52" s="265"/>
      <c r="AJ52" s="80">
        <v>0.0</v>
      </c>
      <c r="AK52" s="80">
        <v>0.0</v>
      </c>
      <c r="AL52" s="80">
        <v>0.0</v>
      </c>
      <c r="AM52" s="224">
        <v>0.0</v>
      </c>
      <c r="AN52" s="80">
        <v>0.0</v>
      </c>
      <c r="AO52" s="224">
        <v>0.0</v>
      </c>
      <c r="AP52" s="80">
        <v>0.0</v>
      </c>
      <c r="AQ52" s="80">
        <v>0.0</v>
      </c>
      <c r="AR52" s="235">
        <f t="shared" si="2"/>
        <v>0</v>
      </c>
      <c r="AS52" s="235">
        <f t="shared" si="3"/>
        <v>0</v>
      </c>
    </row>
    <row r="53">
      <c r="A53" s="157">
        <v>52.0</v>
      </c>
      <c r="B53" s="686" t="s">
        <v>1727</v>
      </c>
      <c r="C53" s="184" t="s">
        <v>19</v>
      </c>
      <c r="D53" s="687" t="s">
        <v>383</v>
      </c>
      <c r="E53" s="354">
        <v>40737.0</v>
      </c>
      <c r="F53" s="157" t="s">
        <v>354</v>
      </c>
      <c r="G53" s="157" t="s">
        <v>354</v>
      </c>
      <c r="H53" s="157" t="s">
        <v>354</v>
      </c>
      <c r="I53" s="157" t="s">
        <v>354</v>
      </c>
      <c r="J53" s="157" t="s">
        <v>354</v>
      </c>
      <c r="K53" s="184">
        <v>0.0</v>
      </c>
      <c r="L53" s="184" t="s">
        <v>354</v>
      </c>
      <c r="M53" s="265"/>
      <c r="N53" s="265"/>
      <c r="O53" s="184" t="s">
        <v>371</v>
      </c>
      <c r="P53" s="154">
        <v>36.89883785120145</v>
      </c>
      <c r="Q53" s="157">
        <v>0.0</v>
      </c>
      <c r="R53" s="551" t="s">
        <v>354</v>
      </c>
      <c r="S53" s="551" t="s">
        <v>354</v>
      </c>
      <c r="T53" s="551" t="s">
        <v>354</v>
      </c>
      <c r="U53" s="157">
        <v>0.0</v>
      </c>
      <c r="V53" s="157">
        <v>0.0</v>
      </c>
      <c r="W53" s="551" t="s">
        <v>354</v>
      </c>
      <c r="X53" s="551" t="s">
        <v>354</v>
      </c>
      <c r="Y53" s="681" t="s">
        <v>365</v>
      </c>
      <c r="Z53" s="162" t="s">
        <v>363</v>
      </c>
      <c r="AA53" s="675" t="s">
        <v>356</v>
      </c>
      <c r="AB53" s="675" t="s">
        <v>354</v>
      </c>
      <c r="AC53" s="36" t="s">
        <v>365</v>
      </c>
      <c r="AD53" s="699" t="s">
        <v>363</v>
      </c>
      <c r="AE53" s="357">
        <f t="shared" si="1"/>
        <v>3</v>
      </c>
      <c r="AF53" s="265"/>
      <c r="AG53" s="265"/>
      <c r="AH53" s="265"/>
      <c r="AI53" s="265"/>
      <c r="AJ53" s="80">
        <v>0.0</v>
      </c>
      <c r="AK53" s="80">
        <v>0.0</v>
      </c>
      <c r="AL53" s="80">
        <v>0.0</v>
      </c>
      <c r="AM53" s="224">
        <v>2.0</v>
      </c>
      <c r="AN53" s="80">
        <v>0.0</v>
      </c>
      <c r="AO53" s="224">
        <v>0.0</v>
      </c>
      <c r="AP53" s="80">
        <v>0.0</v>
      </c>
      <c r="AQ53" s="80">
        <v>0.0</v>
      </c>
      <c r="AR53" s="678">
        <f t="shared" si="2"/>
        <v>2</v>
      </c>
      <c r="AS53" s="678">
        <f t="shared" si="3"/>
        <v>1</v>
      </c>
    </row>
    <row r="54">
      <c r="A54" s="157">
        <v>53.0</v>
      </c>
      <c r="B54" s="686" t="s">
        <v>1728</v>
      </c>
      <c r="C54" s="41" t="s">
        <v>888</v>
      </c>
      <c r="D54" s="687" t="s">
        <v>889</v>
      </c>
      <c r="E54" s="354">
        <v>40737.0</v>
      </c>
      <c r="F54" s="157" t="s">
        <v>354</v>
      </c>
      <c r="G54" s="157" t="s">
        <v>354</v>
      </c>
      <c r="H54" s="157" t="s">
        <v>354</v>
      </c>
      <c r="I54" s="157" t="s">
        <v>354</v>
      </c>
      <c r="J54" s="157" t="s">
        <v>354</v>
      </c>
      <c r="K54" s="157" t="s">
        <v>354</v>
      </c>
      <c r="L54" s="157"/>
      <c r="M54" s="157" t="s">
        <v>354</v>
      </c>
      <c r="N54" s="157" t="s">
        <v>354</v>
      </c>
      <c r="O54" s="157" t="s">
        <v>354</v>
      </c>
      <c r="P54" s="154">
        <v>35.8312185626822</v>
      </c>
      <c r="Q54" s="154">
        <v>31.21</v>
      </c>
      <c r="R54" s="551" t="s">
        <v>356</v>
      </c>
      <c r="S54" s="551" t="s">
        <v>356</v>
      </c>
      <c r="T54" s="551" t="s">
        <v>356</v>
      </c>
      <c r="U54" s="157">
        <v>0.0</v>
      </c>
      <c r="V54" s="157">
        <v>0.0</v>
      </c>
      <c r="W54" s="551" t="s">
        <v>354</v>
      </c>
      <c r="X54" s="551" t="s">
        <v>354</v>
      </c>
      <c r="Y54" s="674" t="s">
        <v>356</v>
      </c>
      <c r="Z54" s="674" t="s">
        <v>354</v>
      </c>
      <c r="AA54" s="677" t="s">
        <v>365</v>
      </c>
      <c r="AB54" s="90" t="s">
        <v>413</v>
      </c>
      <c r="AC54" s="139" t="s">
        <v>356</v>
      </c>
      <c r="AD54" s="139" t="s">
        <v>354</v>
      </c>
      <c r="AE54" s="357">
        <f t="shared" si="1"/>
        <v>2</v>
      </c>
      <c r="AF54" s="265"/>
      <c r="AG54" s="265"/>
      <c r="AH54" s="265"/>
      <c r="AI54" s="265"/>
      <c r="AJ54" s="80">
        <v>0.0</v>
      </c>
      <c r="AK54" s="80">
        <v>0.0</v>
      </c>
      <c r="AL54" s="80">
        <v>0.0</v>
      </c>
      <c r="AM54" s="224">
        <v>0.0</v>
      </c>
      <c r="AN54" s="224">
        <v>1.0</v>
      </c>
      <c r="AO54" s="224">
        <v>0.0</v>
      </c>
      <c r="AP54" s="80">
        <v>0.0</v>
      </c>
      <c r="AQ54" s="80">
        <v>0.0</v>
      </c>
      <c r="AR54" s="678">
        <f t="shared" si="2"/>
        <v>1</v>
      </c>
      <c r="AS54" s="678">
        <f t="shared" si="3"/>
        <v>1</v>
      </c>
    </row>
    <row r="55">
      <c r="A55" s="157">
        <v>54.0</v>
      </c>
      <c r="B55" s="683" t="s">
        <v>1729</v>
      </c>
      <c r="C55" s="158" t="s">
        <v>24</v>
      </c>
      <c r="D55" s="692" t="s">
        <v>391</v>
      </c>
      <c r="E55" s="354">
        <v>40737.0</v>
      </c>
      <c r="F55" s="157" t="s">
        <v>354</v>
      </c>
      <c r="G55" s="157" t="s">
        <v>354</v>
      </c>
      <c r="H55" s="157" t="s">
        <v>354</v>
      </c>
      <c r="I55" s="157" t="s">
        <v>354</v>
      </c>
      <c r="J55" s="157" t="s">
        <v>354</v>
      </c>
      <c r="K55" s="158">
        <v>2.0</v>
      </c>
      <c r="L55" s="158" t="s">
        <v>1730</v>
      </c>
      <c r="M55" s="265"/>
      <c r="N55" s="265"/>
      <c r="O55" s="158" t="s">
        <v>398</v>
      </c>
      <c r="P55" s="157">
        <v>0.0</v>
      </c>
      <c r="Q55" s="157">
        <v>0.0</v>
      </c>
      <c r="R55" s="551" t="s">
        <v>354</v>
      </c>
      <c r="S55" s="551" t="s">
        <v>354</v>
      </c>
      <c r="T55" s="551" t="s">
        <v>354</v>
      </c>
      <c r="U55" s="157">
        <v>0.0</v>
      </c>
      <c r="V55" s="157">
        <v>0.0</v>
      </c>
      <c r="W55" s="551" t="s">
        <v>354</v>
      </c>
      <c r="X55" s="551" t="s">
        <v>354</v>
      </c>
      <c r="Y55" s="674" t="s">
        <v>356</v>
      </c>
      <c r="Z55" s="674" t="s">
        <v>354</v>
      </c>
      <c r="AA55" s="675" t="s">
        <v>356</v>
      </c>
      <c r="AB55" s="675" t="s">
        <v>354</v>
      </c>
      <c r="AC55" s="139" t="s">
        <v>356</v>
      </c>
      <c r="AD55" s="139" t="s">
        <v>354</v>
      </c>
      <c r="AE55" s="46">
        <f t="shared" si="1"/>
        <v>0</v>
      </c>
      <c r="AF55" s="265"/>
      <c r="AG55" s="265"/>
      <c r="AH55" s="265"/>
      <c r="AI55" s="265"/>
      <c r="AJ55" s="80">
        <v>0.0</v>
      </c>
      <c r="AK55" s="80">
        <v>0.0</v>
      </c>
      <c r="AL55" s="80">
        <v>0.0</v>
      </c>
      <c r="AM55" s="224">
        <v>0.0</v>
      </c>
      <c r="AN55" s="80">
        <v>0.0</v>
      </c>
      <c r="AO55" s="224">
        <v>0.0</v>
      </c>
      <c r="AP55" s="80">
        <v>0.0</v>
      </c>
      <c r="AQ55" s="80">
        <v>0.0</v>
      </c>
      <c r="AR55" s="235">
        <f t="shared" si="2"/>
        <v>0</v>
      </c>
      <c r="AS55" s="235">
        <f t="shared" si="3"/>
        <v>0</v>
      </c>
    </row>
    <row r="56">
      <c r="A56" s="157">
        <v>55.0</v>
      </c>
      <c r="B56" s="673" t="s">
        <v>1731</v>
      </c>
      <c r="C56" s="46" t="s">
        <v>88</v>
      </c>
      <c r="D56" s="98" t="s">
        <v>499</v>
      </c>
      <c r="E56" s="354">
        <v>40737.0</v>
      </c>
      <c r="F56" s="157" t="s">
        <v>354</v>
      </c>
      <c r="G56" s="157" t="s">
        <v>354</v>
      </c>
      <c r="H56" s="157" t="s">
        <v>354</v>
      </c>
      <c r="I56" s="157" t="s">
        <v>354</v>
      </c>
      <c r="J56" s="157" t="s">
        <v>354</v>
      </c>
      <c r="K56" s="157" t="s">
        <v>354</v>
      </c>
      <c r="L56" s="157"/>
      <c r="M56" s="157" t="s">
        <v>354</v>
      </c>
      <c r="N56" s="157" t="s">
        <v>354</v>
      </c>
      <c r="O56" s="157" t="s">
        <v>354</v>
      </c>
      <c r="P56" s="154">
        <v>37.9505786598981</v>
      </c>
      <c r="Q56" s="157">
        <v>0.0</v>
      </c>
      <c r="R56" s="551" t="s">
        <v>354</v>
      </c>
      <c r="S56" s="551" t="s">
        <v>354</v>
      </c>
      <c r="T56" s="551" t="s">
        <v>354</v>
      </c>
      <c r="U56" s="157">
        <v>0.0</v>
      </c>
      <c r="V56" s="157">
        <v>0.0</v>
      </c>
      <c r="W56" s="551" t="s">
        <v>354</v>
      </c>
      <c r="X56" s="551" t="s">
        <v>354</v>
      </c>
      <c r="Y56" s="674" t="s">
        <v>356</v>
      </c>
      <c r="Z56" s="674" t="s">
        <v>354</v>
      </c>
      <c r="AA56" s="675" t="s">
        <v>356</v>
      </c>
      <c r="AB56" s="675" t="s">
        <v>354</v>
      </c>
      <c r="AC56" s="144" t="s">
        <v>365</v>
      </c>
      <c r="AD56" s="40" t="s">
        <v>357</v>
      </c>
      <c r="AE56" s="357">
        <f t="shared" si="1"/>
        <v>2</v>
      </c>
      <c r="AF56" s="265"/>
      <c r="AG56" s="265"/>
      <c r="AH56" s="265"/>
      <c r="AI56" s="265"/>
      <c r="AJ56" s="80">
        <v>0.0</v>
      </c>
      <c r="AK56" s="80">
        <v>0.0</v>
      </c>
      <c r="AL56" s="80">
        <v>0.0</v>
      </c>
      <c r="AM56" s="224">
        <v>0.0</v>
      </c>
      <c r="AN56" s="80">
        <v>0.0</v>
      </c>
      <c r="AO56" s="224">
        <v>1.0</v>
      </c>
      <c r="AP56" s="80">
        <v>0.0</v>
      </c>
      <c r="AQ56" s="80">
        <v>0.0</v>
      </c>
      <c r="AR56" s="678">
        <f t="shared" si="2"/>
        <v>1</v>
      </c>
      <c r="AS56" s="678">
        <f t="shared" si="3"/>
        <v>1</v>
      </c>
    </row>
    <row r="57">
      <c r="A57" s="157">
        <v>56.0</v>
      </c>
      <c r="B57" s="683" t="s">
        <v>1732</v>
      </c>
      <c r="C57" s="158" t="s">
        <v>204</v>
      </c>
      <c r="D57" s="692" t="s">
        <v>725</v>
      </c>
      <c r="E57" s="354">
        <v>40737.0</v>
      </c>
      <c r="F57" s="157" t="s">
        <v>354</v>
      </c>
      <c r="G57" s="157" t="s">
        <v>354</v>
      </c>
      <c r="H57" s="157" t="s">
        <v>354</v>
      </c>
      <c r="I57" s="157" t="s">
        <v>354</v>
      </c>
      <c r="J57" s="157" t="s">
        <v>354</v>
      </c>
      <c r="K57" s="158">
        <v>3.0</v>
      </c>
      <c r="L57" s="158" t="s">
        <v>733</v>
      </c>
      <c r="M57" s="265"/>
      <c r="N57" s="265"/>
      <c r="O57" s="158" t="s">
        <v>600</v>
      </c>
      <c r="P57" s="157">
        <v>0.0</v>
      </c>
      <c r="Q57" s="157">
        <v>0.0</v>
      </c>
      <c r="R57" s="551" t="s">
        <v>354</v>
      </c>
      <c r="S57" s="551" t="s">
        <v>354</v>
      </c>
      <c r="T57" s="551" t="s">
        <v>354</v>
      </c>
      <c r="U57" s="157">
        <v>0.0</v>
      </c>
      <c r="V57" s="157">
        <v>0.0</v>
      </c>
      <c r="W57" s="551" t="s">
        <v>354</v>
      </c>
      <c r="X57" s="551" t="s">
        <v>354</v>
      </c>
      <c r="Y57" s="674" t="s">
        <v>356</v>
      </c>
      <c r="Z57" s="674" t="s">
        <v>354</v>
      </c>
      <c r="AA57" s="675" t="s">
        <v>356</v>
      </c>
      <c r="AB57" s="675" t="s">
        <v>354</v>
      </c>
      <c r="AC57" s="139" t="s">
        <v>356</v>
      </c>
      <c r="AD57" s="139" t="s">
        <v>354</v>
      </c>
      <c r="AE57" s="46">
        <f t="shared" si="1"/>
        <v>0</v>
      </c>
      <c r="AF57" s="265"/>
      <c r="AG57" s="265"/>
      <c r="AH57" s="265"/>
      <c r="AI57" s="265"/>
      <c r="AJ57" s="80">
        <v>0.0</v>
      </c>
      <c r="AK57" s="80">
        <v>0.0</v>
      </c>
      <c r="AL57" s="80">
        <v>0.0</v>
      </c>
      <c r="AM57" s="224">
        <v>0.0</v>
      </c>
      <c r="AN57" s="80">
        <v>0.0</v>
      </c>
      <c r="AO57" s="224">
        <v>0.0</v>
      </c>
      <c r="AP57" s="80">
        <v>0.0</v>
      </c>
      <c r="AQ57" s="80">
        <v>0.0</v>
      </c>
      <c r="AR57" s="235">
        <f t="shared" si="2"/>
        <v>0</v>
      </c>
      <c r="AS57" s="235">
        <f t="shared" si="3"/>
        <v>0</v>
      </c>
    </row>
    <row r="58">
      <c r="A58" s="157">
        <v>57.0</v>
      </c>
      <c r="B58" s="683" t="s">
        <v>1733</v>
      </c>
      <c r="C58" s="158" t="s">
        <v>250</v>
      </c>
      <c r="D58" s="692" t="s">
        <v>874</v>
      </c>
      <c r="E58" s="354">
        <v>40737.0</v>
      </c>
      <c r="F58" s="157" t="s">
        <v>354</v>
      </c>
      <c r="G58" s="157" t="s">
        <v>354</v>
      </c>
      <c r="H58" s="157" t="s">
        <v>354</v>
      </c>
      <c r="I58" s="157" t="s">
        <v>354</v>
      </c>
      <c r="J58" s="157" t="s">
        <v>354</v>
      </c>
      <c r="K58" s="158">
        <v>1.0</v>
      </c>
      <c r="L58" s="158" t="s">
        <v>878</v>
      </c>
      <c r="M58" s="265"/>
      <c r="N58" s="265"/>
      <c r="O58" s="158" t="s">
        <v>455</v>
      </c>
      <c r="P58" s="154">
        <v>26.5687961040689</v>
      </c>
      <c r="Q58" s="154">
        <v>25.32</v>
      </c>
      <c r="R58" s="551" t="s">
        <v>356</v>
      </c>
      <c r="S58" s="551" t="s">
        <v>356</v>
      </c>
      <c r="T58" s="551" t="s">
        <v>356</v>
      </c>
      <c r="U58" s="157">
        <v>0.0</v>
      </c>
      <c r="V58" s="157">
        <v>0.0</v>
      </c>
      <c r="W58" s="551" t="s">
        <v>354</v>
      </c>
      <c r="X58" s="551" t="s">
        <v>354</v>
      </c>
      <c r="Y58" s="681" t="s">
        <v>365</v>
      </c>
      <c r="Z58" s="181" t="s">
        <v>389</v>
      </c>
      <c r="AA58" s="675" t="s">
        <v>356</v>
      </c>
      <c r="AB58" s="675" t="s">
        <v>354</v>
      </c>
      <c r="AC58" s="144" t="s">
        <v>365</v>
      </c>
      <c r="AD58" s="181" t="s">
        <v>389</v>
      </c>
      <c r="AE58" s="357">
        <f t="shared" si="1"/>
        <v>3</v>
      </c>
      <c r="AF58" s="265"/>
      <c r="AG58" s="265"/>
      <c r="AH58" s="265"/>
      <c r="AI58" s="265"/>
      <c r="AJ58" s="224">
        <v>2.0</v>
      </c>
      <c r="AK58" s="80">
        <v>0.0</v>
      </c>
      <c r="AL58" s="80">
        <v>0.0</v>
      </c>
      <c r="AM58" s="224">
        <v>0.0</v>
      </c>
      <c r="AN58" s="80">
        <v>0.0</v>
      </c>
      <c r="AO58" s="224">
        <v>0.0</v>
      </c>
      <c r="AP58" s="80">
        <v>0.0</v>
      </c>
      <c r="AQ58" s="80">
        <v>0.0</v>
      </c>
      <c r="AR58" s="678">
        <f t="shared" si="2"/>
        <v>2</v>
      </c>
      <c r="AS58" s="678">
        <f t="shared" si="3"/>
        <v>1</v>
      </c>
    </row>
    <row r="59">
      <c r="A59" s="157">
        <v>58.0</v>
      </c>
      <c r="B59" s="693" t="s">
        <v>1734</v>
      </c>
      <c r="C59" s="157" t="s">
        <v>798</v>
      </c>
      <c r="D59" s="273" t="s">
        <v>798</v>
      </c>
      <c r="E59" s="354">
        <v>40737.0</v>
      </c>
      <c r="F59" s="157" t="s">
        <v>354</v>
      </c>
      <c r="G59" s="157" t="s">
        <v>354</v>
      </c>
      <c r="H59" s="157" t="s">
        <v>354</v>
      </c>
      <c r="I59" s="157" t="s">
        <v>354</v>
      </c>
      <c r="J59" s="157" t="s">
        <v>354</v>
      </c>
      <c r="K59" s="157" t="s">
        <v>354</v>
      </c>
      <c r="L59" s="157"/>
      <c r="M59" s="157" t="s">
        <v>354</v>
      </c>
      <c r="N59" s="157" t="s">
        <v>354</v>
      </c>
      <c r="O59" s="157" t="s">
        <v>354</v>
      </c>
      <c r="P59" s="157">
        <v>0.0</v>
      </c>
      <c r="Q59" s="157">
        <v>0.0</v>
      </c>
      <c r="R59" s="551" t="s">
        <v>354</v>
      </c>
      <c r="S59" s="551" t="s">
        <v>354</v>
      </c>
      <c r="T59" s="551" t="s">
        <v>354</v>
      </c>
      <c r="U59" s="157">
        <v>0.0</v>
      </c>
      <c r="V59" s="157">
        <v>0.0</v>
      </c>
      <c r="W59" s="551" t="s">
        <v>354</v>
      </c>
      <c r="X59" s="551" t="s">
        <v>354</v>
      </c>
      <c r="Y59" s="674" t="s">
        <v>356</v>
      </c>
      <c r="Z59" s="674" t="s">
        <v>354</v>
      </c>
      <c r="AA59" s="675" t="s">
        <v>356</v>
      </c>
      <c r="AB59" s="675" t="s">
        <v>354</v>
      </c>
      <c r="AC59" s="139" t="s">
        <v>356</v>
      </c>
      <c r="AD59" s="139" t="s">
        <v>354</v>
      </c>
      <c r="AE59" s="46">
        <f t="shared" si="1"/>
        <v>0</v>
      </c>
      <c r="AF59" s="265"/>
      <c r="AG59" s="265"/>
      <c r="AH59" s="265"/>
      <c r="AI59" s="265"/>
      <c r="AJ59" s="80">
        <v>0.0</v>
      </c>
      <c r="AK59" s="80">
        <v>0.0</v>
      </c>
      <c r="AL59" s="80">
        <v>0.0</v>
      </c>
      <c r="AM59" s="224">
        <v>0.0</v>
      </c>
      <c r="AN59" s="80">
        <v>0.0</v>
      </c>
      <c r="AO59" s="224">
        <v>0.0</v>
      </c>
      <c r="AP59" s="80">
        <v>0.0</v>
      </c>
      <c r="AQ59" s="80">
        <v>0.0</v>
      </c>
      <c r="AR59" s="235">
        <f t="shared" si="2"/>
        <v>0</v>
      </c>
      <c r="AS59" s="235">
        <f t="shared" si="3"/>
        <v>0</v>
      </c>
    </row>
    <row r="60">
      <c r="A60" s="157">
        <v>59.0</v>
      </c>
      <c r="B60" s="683" t="s">
        <v>1735</v>
      </c>
      <c r="C60" s="158" t="s">
        <v>244</v>
      </c>
      <c r="D60" s="692" t="s">
        <v>856</v>
      </c>
      <c r="E60" s="354">
        <v>40737.0</v>
      </c>
      <c r="F60" s="157" t="s">
        <v>354</v>
      </c>
      <c r="G60" s="157" t="s">
        <v>354</v>
      </c>
      <c r="H60" s="157" t="s">
        <v>354</v>
      </c>
      <c r="I60" s="157" t="s">
        <v>354</v>
      </c>
      <c r="J60" s="157" t="s">
        <v>354</v>
      </c>
      <c r="K60" s="158">
        <v>3.0</v>
      </c>
      <c r="L60" s="158" t="s">
        <v>862</v>
      </c>
      <c r="M60" s="265"/>
      <c r="N60" s="265"/>
      <c r="O60" s="158" t="s">
        <v>600</v>
      </c>
      <c r="P60" s="157">
        <v>0.0</v>
      </c>
      <c r="Q60" s="157">
        <v>0.0</v>
      </c>
      <c r="R60" s="551" t="s">
        <v>354</v>
      </c>
      <c r="S60" s="551" t="s">
        <v>354</v>
      </c>
      <c r="T60" s="551" t="s">
        <v>354</v>
      </c>
      <c r="U60" s="157">
        <v>0.0</v>
      </c>
      <c r="V60" s="157">
        <v>0.0</v>
      </c>
      <c r="W60" s="551" t="s">
        <v>354</v>
      </c>
      <c r="X60" s="551" t="s">
        <v>354</v>
      </c>
      <c r="Y60" s="674" t="s">
        <v>356</v>
      </c>
      <c r="Z60" s="674" t="s">
        <v>354</v>
      </c>
      <c r="AA60" s="675" t="s">
        <v>356</v>
      </c>
      <c r="AB60" s="675" t="s">
        <v>354</v>
      </c>
      <c r="AC60" s="139" t="s">
        <v>356</v>
      </c>
      <c r="AD60" s="139" t="s">
        <v>354</v>
      </c>
      <c r="AE60" s="46">
        <f t="shared" si="1"/>
        <v>0</v>
      </c>
      <c r="AF60" s="265"/>
      <c r="AG60" s="265"/>
      <c r="AH60" s="265"/>
      <c r="AI60" s="265"/>
      <c r="AJ60" s="80">
        <v>0.0</v>
      </c>
      <c r="AK60" s="80">
        <v>0.0</v>
      </c>
      <c r="AL60" s="80">
        <v>0.0</v>
      </c>
      <c r="AM60" s="224">
        <v>0.0</v>
      </c>
      <c r="AN60" s="80">
        <v>0.0</v>
      </c>
      <c r="AO60" s="224">
        <v>0.0</v>
      </c>
      <c r="AP60" s="80">
        <v>0.0</v>
      </c>
      <c r="AQ60" s="80">
        <v>0.0</v>
      </c>
      <c r="AR60" s="235">
        <f t="shared" si="2"/>
        <v>0</v>
      </c>
      <c r="AS60" s="235">
        <f t="shared" si="3"/>
        <v>0</v>
      </c>
    </row>
    <row r="61">
      <c r="A61" s="157">
        <v>60.0</v>
      </c>
      <c r="B61" s="686" t="s">
        <v>1736</v>
      </c>
      <c r="C61" s="271" t="s">
        <v>71</v>
      </c>
      <c r="D61" s="687" t="s">
        <v>459</v>
      </c>
      <c r="E61" s="354">
        <v>40737.0</v>
      </c>
      <c r="F61" s="157" t="s">
        <v>354</v>
      </c>
      <c r="G61" s="157" t="s">
        <v>354</v>
      </c>
      <c r="H61" s="157" t="s">
        <v>354</v>
      </c>
      <c r="I61" s="157" t="s">
        <v>354</v>
      </c>
      <c r="J61" s="157" t="s">
        <v>354</v>
      </c>
      <c r="K61" s="184">
        <v>0.0</v>
      </c>
      <c r="L61" s="184" t="s">
        <v>354</v>
      </c>
      <c r="M61" s="265"/>
      <c r="N61" s="265"/>
      <c r="O61" s="184" t="s">
        <v>371</v>
      </c>
      <c r="P61" s="157">
        <v>0.0</v>
      </c>
      <c r="Q61" s="157">
        <v>0.0</v>
      </c>
      <c r="R61" s="551" t="s">
        <v>354</v>
      </c>
      <c r="S61" s="551" t="s">
        <v>354</v>
      </c>
      <c r="T61" s="551" t="s">
        <v>354</v>
      </c>
      <c r="U61" s="157">
        <v>0.0</v>
      </c>
      <c r="V61" s="157">
        <v>0.0</v>
      </c>
      <c r="W61" s="551" t="s">
        <v>354</v>
      </c>
      <c r="X61" s="551" t="s">
        <v>354</v>
      </c>
      <c r="Y61" s="674" t="s">
        <v>356</v>
      </c>
      <c r="Z61" s="674" t="s">
        <v>354</v>
      </c>
      <c r="AA61" s="675" t="s">
        <v>356</v>
      </c>
      <c r="AB61" s="675" t="s">
        <v>354</v>
      </c>
      <c r="AC61" s="139" t="s">
        <v>356</v>
      </c>
      <c r="AD61" s="139" t="s">
        <v>354</v>
      </c>
      <c r="AE61" s="46">
        <f t="shared" si="1"/>
        <v>0</v>
      </c>
      <c r="AF61" s="265"/>
      <c r="AG61" s="265"/>
      <c r="AH61" s="265"/>
      <c r="AI61" s="265"/>
      <c r="AJ61" s="80">
        <v>0.0</v>
      </c>
      <c r="AK61" s="80">
        <v>0.0</v>
      </c>
      <c r="AL61" s="80">
        <v>0.0</v>
      </c>
      <c r="AM61" s="224">
        <v>0.0</v>
      </c>
      <c r="AN61" s="80">
        <v>0.0</v>
      </c>
      <c r="AO61" s="224">
        <v>0.0</v>
      </c>
      <c r="AP61" s="80">
        <v>0.0</v>
      </c>
      <c r="AQ61" s="80">
        <v>0.0</v>
      </c>
      <c r="AR61" s="235">
        <f t="shared" si="2"/>
        <v>0</v>
      </c>
      <c r="AS61" s="235">
        <f t="shared" si="3"/>
        <v>0</v>
      </c>
    </row>
    <row r="62">
      <c r="A62" s="157">
        <v>61.0</v>
      </c>
      <c r="B62" s="686" t="s">
        <v>1737</v>
      </c>
      <c r="C62" s="41" t="s">
        <v>869</v>
      </c>
      <c r="D62" s="700" t="s">
        <v>870</v>
      </c>
      <c r="E62" s="354">
        <v>40737.0</v>
      </c>
      <c r="F62" s="157" t="s">
        <v>354</v>
      </c>
      <c r="G62" s="157" t="s">
        <v>354</v>
      </c>
      <c r="H62" s="157" t="s">
        <v>354</v>
      </c>
      <c r="I62" s="157" t="s">
        <v>354</v>
      </c>
      <c r="J62" s="157" t="s">
        <v>354</v>
      </c>
      <c r="K62" s="184">
        <v>0.0</v>
      </c>
      <c r="L62" s="184" t="s">
        <v>354</v>
      </c>
      <c r="M62" s="265"/>
      <c r="N62" s="265"/>
      <c r="O62" s="184" t="s">
        <v>371</v>
      </c>
      <c r="P62" s="157">
        <v>0.0</v>
      </c>
      <c r="Q62" s="157">
        <v>0.0</v>
      </c>
      <c r="R62" s="551" t="s">
        <v>354</v>
      </c>
      <c r="S62" s="551" t="s">
        <v>354</v>
      </c>
      <c r="T62" s="551" t="s">
        <v>354</v>
      </c>
      <c r="U62" s="157">
        <v>0.0</v>
      </c>
      <c r="V62" s="157">
        <v>0.0</v>
      </c>
      <c r="W62" s="551" t="s">
        <v>354</v>
      </c>
      <c r="X62" s="551" t="s">
        <v>354</v>
      </c>
      <c r="Y62" s="674" t="s">
        <v>356</v>
      </c>
      <c r="Z62" s="674" t="s">
        <v>354</v>
      </c>
      <c r="AA62" s="675" t="s">
        <v>356</v>
      </c>
      <c r="AB62" s="675" t="s">
        <v>354</v>
      </c>
      <c r="AC62" s="139" t="s">
        <v>356</v>
      </c>
      <c r="AD62" s="139" t="s">
        <v>354</v>
      </c>
      <c r="AE62" s="46">
        <f t="shared" si="1"/>
        <v>0</v>
      </c>
      <c r="AF62" s="265"/>
      <c r="AG62" s="265"/>
      <c r="AH62" s="265"/>
      <c r="AI62" s="265"/>
      <c r="AJ62" s="80">
        <v>0.0</v>
      </c>
      <c r="AK62" s="80">
        <v>0.0</v>
      </c>
      <c r="AL62" s="80">
        <v>0.0</v>
      </c>
      <c r="AM62" s="224">
        <v>0.0</v>
      </c>
      <c r="AN62" s="80">
        <v>0.0</v>
      </c>
      <c r="AO62" s="224">
        <v>0.0</v>
      </c>
      <c r="AP62" s="80">
        <v>0.0</v>
      </c>
      <c r="AQ62" s="80">
        <v>0.0</v>
      </c>
      <c r="AR62" s="235">
        <f t="shared" si="2"/>
        <v>0</v>
      </c>
      <c r="AS62" s="235">
        <f t="shared" si="3"/>
        <v>0</v>
      </c>
    </row>
    <row r="63">
      <c r="A63" s="157">
        <v>62.0</v>
      </c>
      <c r="B63" s="683" t="s">
        <v>1738</v>
      </c>
      <c r="C63" s="158" t="s">
        <v>213</v>
      </c>
      <c r="D63" s="692" t="s">
        <v>753</v>
      </c>
      <c r="E63" s="354">
        <v>40737.0</v>
      </c>
      <c r="F63" s="157" t="s">
        <v>354</v>
      </c>
      <c r="G63" s="157" t="s">
        <v>354</v>
      </c>
      <c r="H63" s="157" t="s">
        <v>354</v>
      </c>
      <c r="I63" s="157" t="s">
        <v>354</v>
      </c>
      <c r="J63" s="157" t="s">
        <v>354</v>
      </c>
      <c r="K63" s="158">
        <v>2.0</v>
      </c>
      <c r="L63" s="158" t="s">
        <v>759</v>
      </c>
      <c r="M63" s="265"/>
      <c r="N63" s="265"/>
      <c r="O63" s="158" t="s">
        <v>398</v>
      </c>
      <c r="P63" s="207">
        <v>40.8743224356316</v>
      </c>
      <c r="Q63" s="157">
        <v>0.0</v>
      </c>
      <c r="R63" s="551" t="s">
        <v>354</v>
      </c>
      <c r="S63" s="551" t="s">
        <v>354</v>
      </c>
      <c r="T63" s="551" t="s">
        <v>354</v>
      </c>
      <c r="U63" s="157">
        <v>0.0</v>
      </c>
      <c r="V63" s="157">
        <v>0.0</v>
      </c>
      <c r="W63" s="551" t="s">
        <v>354</v>
      </c>
      <c r="X63" s="551" t="s">
        <v>354</v>
      </c>
      <c r="Y63" s="681" t="s">
        <v>365</v>
      </c>
      <c r="Z63" s="90" t="s">
        <v>413</v>
      </c>
      <c r="AA63" s="675" t="s">
        <v>356</v>
      </c>
      <c r="AB63" s="675" t="s">
        <v>354</v>
      </c>
      <c r="AC63" s="139" t="s">
        <v>356</v>
      </c>
      <c r="AD63" s="139" t="s">
        <v>354</v>
      </c>
      <c r="AE63" s="357">
        <f t="shared" si="1"/>
        <v>2</v>
      </c>
      <c r="AF63" s="265"/>
      <c r="AG63" s="265"/>
      <c r="AH63" s="265"/>
      <c r="AI63" s="265"/>
      <c r="AJ63" s="80">
        <v>0.0</v>
      </c>
      <c r="AK63" s="80">
        <v>0.0</v>
      </c>
      <c r="AL63" s="80">
        <v>0.0</v>
      </c>
      <c r="AM63" s="224">
        <v>0.0</v>
      </c>
      <c r="AN63" s="224">
        <v>1.0</v>
      </c>
      <c r="AO63" s="224">
        <v>0.0</v>
      </c>
      <c r="AP63" s="80">
        <v>0.0</v>
      </c>
      <c r="AQ63" s="80">
        <v>0.0</v>
      </c>
      <c r="AR63" s="678">
        <f t="shared" si="2"/>
        <v>1</v>
      </c>
      <c r="AS63" s="678">
        <f t="shared" si="3"/>
        <v>1</v>
      </c>
    </row>
    <row r="64">
      <c r="A64" s="157">
        <v>63.0</v>
      </c>
      <c r="B64" s="686" t="s">
        <v>1739</v>
      </c>
      <c r="C64" s="41" t="s">
        <v>560</v>
      </c>
      <c r="D64" s="687" t="s">
        <v>561</v>
      </c>
      <c r="E64" s="354">
        <v>40737.0</v>
      </c>
      <c r="F64" s="157" t="s">
        <v>354</v>
      </c>
      <c r="G64" s="157" t="s">
        <v>354</v>
      </c>
      <c r="H64" s="157" t="s">
        <v>354</v>
      </c>
      <c r="I64" s="157" t="s">
        <v>354</v>
      </c>
      <c r="J64" s="157" t="s">
        <v>354</v>
      </c>
      <c r="K64" s="184">
        <v>0.0</v>
      </c>
      <c r="L64" s="184" t="s">
        <v>354</v>
      </c>
      <c r="M64" s="265"/>
      <c r="N64" s="265"/>
      <c r="O64" s="184" t="s">
        <v>371</v>
      </c>
      <c r="P64" s="157">
        <v>0.0</v>
      </c>
      <c r="Q64" s="157">
        <v>0.0</v>
      </c>
      <c r="R64" s="551" t="s">
        <v>354</v>
      </c>
      <c r="S64" s="551" t="s">
        <v>354</v>
      </c>
      <c r="T64" s="551" t="s">
        <v>354</v>
      </c>
      <c r="U64" s="157">
        <v>0.0</v>
      </c>
      <c r="V64" s="157">
        <v>0.0</v>
      </c>
      <c r="W64" s="551" t="s">
        <v>354</v>
      </c>
      <c r="X64" s="551" t="s">
        <v>354</v>
      </c>
      <c r="Y64" s="674" t="s">
        <v>356</v>
      </c>
      <c r="Z64" s="674" t="s">
        <v>354</v>
      </c>
      <c r="AA64" s="675" t="s">
        <v>356</v>
      </c>
      <c r="AB64" s="675" t="s">
        <v>354</v>
      </c>
      <c r="AC64" s="139" t="s">
        <v>356</v>
      </c>
      <c r="AD64" s="139" t="s">
        <v>354</v>
      </c>
      <c r="AE64" s="46">
        <f t="shared" si="1"/>
        <v>0</v>
      </c>
      <c r="AF64" s="265"/>
      <c r="AG64" s="265"/>
      <c r="AH64" s="265"/>
      <c r="AI64" s="265"/>
      <c r="AJ64" s="80">
        <v>0.0</v>
      </c>
      <c r="AK64" s="80">
        <v>0.0</v>
      </c>
      <c r="AL64" s="80">
        <v>0.0</v>
      </c>
      <c r="AM64" s="224">
        <v>0.0</v>
      </c>
      <c r="AN64" s="80">
        <v>0.0</v>
      </c>
      <c r="AO64" s="224">
        <v>0.0</v>
      </c>
      <c r="AP64" s="80">
        <v>0.0</v>
      </c>
      <c r="AQ64" s="80">
        <v>0.0</v>
      </c>
      <c r="AR64" s="235">
        <f t="shared" si="2"/>
        <v>0</v>
      </c>
      <c r="AS64" s="235">
        <f t="shared" si="3"/>
        <v>0</v>
      </c>
    </row>
    <row r="65">
      <c r="A65" s="157">
        <v>64.0</v>
      </c>
      <c r="B65" s="683" t="s">
        <v>1740</v>
      </c>
      <c r="C65" s="158" t="s">
        <v>231</v>
      </c>
      <c r="D65" s="692" t="s">
        <v>808</v>
      </c>
      <c r="E65" s="354">
        <v>40737.0</v>
      </c>
      <c r="F65" s="157" t="s">
        <v>354</v>
      </c>
      <c r="G65" s="157" t="s">
        <v>354</v>
      </c>
      <c r="H65" s="157" t="s">
        <v>354</v>
      </c>
      <c r="I65" s="157" t="s">
        <v>354</v>
      </c>
      <c r="J65" s="157" t="s">
        <v>354</v>
      </c>
      <c r="K65" s="158">
        <v>2.0</v>
      </c>
      <c r="L65" s="158" t="s">
        <v>815</v>
      </c>
      <c r="M65" s="265"/>
      <c r="N65" s="265"/>
      <c r="O65" s="158" t="s">
        <v>398</v>
      </c>
      <c r="P65" s="157">
        <v>0.0</v>
      </c>
      <c r="Q65" s="157">
        <v>0.0</v>
      </c>
      <c r="R65" s="551" t="s">
        <v>354</v>
      </c>
      <c r="S65" s="551" t="s">
        <v>354</v>
      </c>
      <c r="T65" s="551" t="s">
        <v>354</v>
      </c>
      <c r="U65" s="157">
        <v>0.0</v>
      </c>
      <c r="V65" s="157">
        <v>0.0</v>
      </c>
      <c r="W65" s="551" t="s">
        <v>354</v>
      </c>
      <c r="X65" s="551" t="s">
        <v>354</v>
      </c>
      <c r="Y65" s="694" t="s">
        <v>361</v>
      </c>
      <c r="Z65" s="694" t="s">
        <v>1021</v>
      </c>
      <c r="AA65" s="677" t="s">
        <v>365</v>
      </c>
      <c r="AB65" s="162" t="s">
        <v>363</v>
      </c>
      <c r="AC65" s="144" t="s">
        <v>365</v>
      </c>
      <c r="AD65" s="143" t="s">
        <v>358</v>
      </c>
      <c r="AE65" s="357">
        <f t="shared" si="1"/>
        <v>2</v>
      </c>
      <c r="AF65" s="265"/>
      <c r="AG65" s="265"/>
      <c r="AH65" s="265"/>
      <c r="AI65" s="265"/>
      <c r="AJ65" s="80">
        <v>0.0</v>
      </c>
      <c r="AK65" s="80">
        <v>0.0</v>
      </c>
      <c r="AL65" s="224">
        <v>1.0</v>
      </c>
      <c r="AM65" s="224">
        <v>1.0</v>
      </c>
      <c r="AN65" s="80">
        <v>0.0</v>
      </c>
      <c r="AO65" s="224">
        <v>0.0</v>
      </c>
      <c r="AP65" s="80">
        <v>0.0</v>
      </c>
      <c r="AQ65" s="80">
        <v>0.0</v>
      </c>
      <c r="AR65" s="678">
        <f t="shared" si="2"/>
        <v>2</v>
      </c>
      <c r="AS65" s="678">
        <f t="shared" si="3"/>
        <v>2</v>
      </c>
    </row>
    <row r="66">
      <c r="A66" s="157">
        <v>65.0</v>
      </c>
      <c r="B66" s="683" t="s">
        <v>1741</v>
      </c>
      <c r="C66" s="158" t="s">
        <v>216</v>
      </c>
      <c r="D66" s="692" t="s">
        <v>764</v>
      </c>
      <c r="E66" s="354">
        <v>40737.0</v>
      </c>
      <c r="F66" s="157" t="s">
        <v>354</v>
      </c>
      <c r="G66" s="157" t="s">
        <v>354</v>
      </c>
      <c r="H66" s="157" t="s">
        <v>354</v>
      </c>
      <c r="I66" s="157" t="s">
        <v>354</v>
      </c>
      <c r="J66" s="157" t="s">
        <v>354</v>
      </c>
      <c r="K66" s="158">
        <v>3.0</v>
      </c>
      <c r="L66" s="158" t="s">
        <v>766</v>
      </c>
      <c r="M66" s="265"/>
      <c r="N66" s="265"/>
      <c r="O66" s="158" t="s">
        <v>600</v>
      </c>
      <c r="P66" s="157">
        <v>0.0</v>
      </c>
      <c r="Q66" s="157">
        <v>0.0</v>
      </c>
      <c r="R66" s="551" t="s">
        <v>354</v>
      </c>
      <c r="S66" s="551" t="s">
        <v>354</v>
      </c>
      <c r="T66" s="551" t="s">
        <v>354</v>
      </c>
      <c r="U66" s="157">
        <v>0.0</v>
      </c>
      <c r="V66" s="157">
        <v>0.0</v>
      </c>
      <c r="W66" s="551" t="s">
        <v>354</v>
      </c>
      <c r="X66" s="551" t="s">
        <v>354</v>
      </c>
      <c r="Y66" s="674" t="s">
        <v>356</v>
      </c>
      <c r="Z66" s="674" t="s">
        <v>354</v>
      </c>
      <c r="AA66" s="675" t="s">
        <v>356</v>
      </c>
      <c r="AB66" s="675" t="s">
        <v>354</v>
      </c>
      <c r="AC66" s="139" t="s">
        <v>356</v>
      </c>
      <c r="AD66" s="139" t="s">
        <v>354</v>
      </c>
      <c r="AE66" s="46">
        <f t="shared" si="1"/>
        <v>0</v>
      </c>
      <c r="AF66" s="265"/>
      <c r="AG66" s="265"/>
      <c r="AH66" s="265"/>
      <c r="AI66" s="265"/>
      <c r="AJ66" s="80">
        <v>0.0</v>
      </c>
      <c r="AK66" s="80">
        <v>0.0</v>
      </c>
      <c r="AL66" s="80">
        <v>0.0</v>
      </c>
      <c r="AM66" s="224">
        <v>0.0</v>
      </c>
      <c r="AN66" s="80">
        <v>0.0</v>
      </c>
      <c r="AO66" s="224">
        <v>0.0</v>
      </c>
      <c r="AP66" s="80">
        <v>0.0</v>
      </c>
      <c r="AQ66" s="80">
        <v>0.0</v>
      </c>
      <c r="AR66" s="235">
        <f t="shared" si="2"/>
        <v>0</v>
      </c>
      <c r="AS66" s="235">
        <f t="shared" si="3"/>
        <v>0</v>
      </c>
    </row>
    <row r="67">
      <c r="A67" s="157">
        <v>66.0</v>
      </c>
      <c r="B67" s="683" t="s">
        <v>1742</v>
      </c>
      <c r="C67" s="158" t="s">
        <v>135</v>
      </c>
      <c r="D67" s="692" t="s">
        <v>596</v>
      </c>
      <c r="E67" s="354">
        <v>40737.0</v>
      </c>
      <c r="F67" s="157" t="s">
        <v>354</v>
      </c>
      <c r="G67" s="157" t="s">
        <v>354</v>
      </c>
      <c r="H67" s="157" t="s">
        <v>354</v>
      </c>
      <c r="I67" s="157" t="s">
        <v>354</v>
      </c>
      <c r="J67" s="157" t="s">
        <v>354</v>
      </c>
      <c r="K67" s="158">
        <v>3.0</v>
      </c>
      <c r="L67" s="158" t="s">
        <v>601</v>
      </c>
      <c r="M67" s="265"/>
      <c r="N67" s="265"/>
      <c r="O67" s="158" t="s">
        <v>600</v>
      </c>
      <c r="P67" s="157">
        <v>0.0</v>
      </c>
      <c r="Q67" s="154">
        <v>27.23</v>
      </c>
      <c r="R67" s="551" t="s">
        <v>356</v>
      </c>
      <c r="S67" s="551" t="s">
        <v>356</v>
      </c>
      <c r="T67" s="551" t="s">
        <v>356</v>
      </c>
      <c r="U67" s="157">
        <v>0.0</v>
      </c>
      <c r="V67" s="157">
        <v>0.0</v>
      </c>
      <c r="W67" s="551" t="s">
        <v>354</v>
      </c>
      <c r="X67" s="551" t="s">
        <v>354</v>
      </c>
      <c r="Y67" s="674" t="s">
        <v>356</v>
      </c>
      <c r="Z67" s="674" t="s">
        <v>354</v>
      </c>
      <c r="AA67" s="675" t="s">
        <v>356</v>
      </c>
      <c r="AB67" s="675" t="s">
        <v>354</v>
      </c>
      <c r="AC67" s="139" t="s">
        <v>356</v>
      </c>
      <c r="AD67" s="139" t="s">
        <v>354</v>
      </c>
      <c r="AE67" s="46">
        <f t="shared" si="1"/>
        <v>0</v>
      </c>
      <c r="AF67" s="265"/>
      <c r="AG67" s="265"/>
      <c r="AH67" s="265"/>
      <c r="AI67" s="265"/>
      <c r="AJ67" s="80">
        <v>0.0</v>
      </c>
      <c r="AK67" s="80">
        <v>0.0</v>
      </c>
      <c r="AL67" s="80">
        <v>0.0</v>
      </c>
      <c r="AM67" s="224">
        <v>0.0</v>
      </c>
      <c r="AN67" s="80">
        <v>0.0</v>
      </c>
      <c r="AO67" s="224">
        <v>0.0</v>
      </c>
      <c r="AP67" s="80">
        <v>0.0</v>
      </c>
      <c r="AQ67" s="80">
        <v>0.0</v>
      </c>
      <c r="AR67" s="235">
        <f t="shared" si="2"/>
        <v>0</v>
      </c>
      <c r="AS67" s="235">
        <f t="shared" si="3"/>
        <v>0</v>
      </c>
    </row>
    <row r="68">
      <c r="A68" s="157">
        <v>67.0</v>
      </c>
      <c r="B68" s="693" t="s">
        <v>1743</v>
      </c>
      <c r="C68" s="157" t="s">
        <v>1744</v>
      </c>
      <c r="D68" s="273" t="s">
        <v>1744</v>
      </c>
      <c r="E68" s="354">
        <v>40737.0</v>
      </c>
      <c r="F68" s="157" t="s">
        <v>354</v>
      </c>
      <c r="G68" s="157" t="s">
        <v>354</v>
      </c>
      <c r="H68" s="157" t="s">
        <v>354</v>
      </c>
      <c r="I68" s="157" t="s">
        <v>354</v>
      </c>
      <c r="J68" s="157" t="s">
        <v>354</v>
      </c>
      <c r="K68" s="157" t="s">
        <v>354</v>
      </c>
      <c r="L68" s="157"/>
      <c r="M68" s="157" t="s">
        <v>354</v>
      </c>
      <c r="N68" s="157" t="s">
        <v>354</v>
      </c>
      <c r="O68" s="157" t="s">
        <v>354</v>
      </c>
      <c r="P68" s="157">
        <v>0.0</v>
      </c>
      <c r="Q68" s="157">
        <v>0.0</v>
      </c>
      <c r="R68" s="551" t="s">
        <v>354</v>
      </c>
      <c r="S68" s="551" t="s">
        <v>354</v>
      </c>
      <c r="T68" s="551" t="s">
        <v>354</v>
      </c>
      <c r="U68" s="157">
        <v>0.0</v>
      </c>
      <c r="V68" s="157">
        <v>0.0</v>
      </c>
      <c r="W68" s="551" t="s">
        <v>354</v>
      </c>
      <c r="X68" s="551" t="s">
        <v>354</v>
      </c>
      <c r="Y68" s="674" t="s">
        <v>356</v>
      </c>
      <c r="Z68" s="674" t="s">
        <v>354</v>
      </c>
      <c r="AA68" s="675" t="s">
        <v>356</v>
      </c>
      <c r="AB68" s="675" t="s">
        <v>354</v>
      </c>
      <c r="AC68" s="139" t="s">
        <v>356</v>
      </c>
      <c r="AD68" s="139" t="s">
        <v>354</v>
      </c>
      <c r="AE68" s="46">
        <f t="shared" si="1"/>
        <v>0</v>
      </c>
      <c r="AF68" s="265"/>
      <c r="AG68" s="265"/>
      <c r="AH68" s="265"/>
      <c r="AI68" s="265"/>
      <c r="AJ68" s="80">
        <v>0.0</v>
      </c>
      <c r="AK68" s="80">
        <v>0.0</v>
      </c>
      <c r="AL68" s="80">
        <v>0.0</v>
      </c>
      <c r="AM68" s="224">
        <v>0.0</v>
      </c>
      <c r="AN68" s="80">
        <v>0.0</v>
      </c>
      <c r="AO68" s="224">
        <v>0.0</v>
      </c>
      <c r="AP68" s="80">
        <v>0.0</v>
      </c>
      <c r="AQ68" s="80">
        <v>0.0</v>
      </c>
      <c r="AR68" s="235">
        <f t="shared" si="2"/>
        <v>0</v>
      </c>
      <c r="AS68" s="235">
        <f t="shared" si="3"/>
        <v>0</v>
      </c>
    </row>
    <row r="69">
      <c r="A69" s="157">
        <v>68.0</v>
      </c>
      <c r="B69" s="686" t="s">
        <v>1745</v>
      </c>
      <c r="C69" s="184" t="s">
        <v>228</v>
      </c>
      <c r="D69" s="687" t="s">
        <v>1623</v>
      </c>
      <c r="E69" s="354">
        <v>40737.0</v>
      </c>
      <c r="F69" s="157" t="s">
        <v>354</v>
      </c>
      <c r="G69" s="157" t="s">
        <v>354</v>
      </c>
      <c r="H69" s="157" t="s">
        <v>354</v>
      </c>
      <c r="I69" s="157" t="s">
        <v>354</v>
      </c>
      <c r="J69" s="157" t="s">
        <v>354</v>
      </c>
      <c r="K69" s="184">
        <v>0.0</v>
      </c>
      <c r="L69" s="184" t="s">
        <v>354</v>
      </c>
      <c r="M69" s="265"/>
      <c r="N69" s="265"/>
      <c r="O69" s="184" t="s">
        <v>371</v>
      </c>
      <c r="P69" s="154">
        <v>36.83752863993755</v>
      </c>
      <c r="Q69" s="157">
        <v>0.0</v>
      </c>
      <c r="R69" s="551" t="s">
        <v>354</v>
      </c>
      <c r="S69" s="551" t="s">
        <v>354</v>
      </c>
      <c r="T69" s="551" t="s">
        <v>354</v>
      </c>
      <c r="U69" s="157">
        <v>0.0</v>
      </c>
      <c r="V69" s="157">
        <v>0.0</v>
      </c>
      <c r="W69" s="551" t="s">
        <v>354</v>
      </c>
      <c r="X69" s="551" t="s">
        <v>354</v>
      </c>
      <c r="Y69" s="681" t="s">
        <v>365</v>
      </c>
      <c r="Z69" s="181" t="s">
        <v>389</v>
      </c>
      <c r="AA69" s="675" t="s">
        <v>356</v>
      </c>
      <c r="AB69" s="675" t="s">
        <v>354</v>
      </c>
      <c r="AC69" s="139" t="s">
        <v>356</v>
      </c>
      <c r="AD69" s="139" t="s">
        <v>354</v>
      </c>
      <c r="AE69" s="357">
        <f t="shared" si="1"/>
        <v>2</v>
      </c>
      <c r="AF69" s="265"/>
      <c r="AG69" s="265"/>
      <c r="AH69" s="265"/>
      <c r="AI69" s="265"/>
      <c r="AJ69" s="224">
        <v>1.0</v>
      </c>
      <c r="AK69" s="80">
        <v>0.0</v>
      </c>
      <c r="AL69" s="80">
        <v>0.0</v>
      </c>
      <c r="AM69" s="224">
        <v>0.0</v>
      </c>
      <c r="AN69" s="80">
        <v>0.0</v>
      </c>
      <c r="AO69" s="224">
        <v>0.0</v>
      </c>
      <c r="AP69" s="80">
        <v>0.0</v>
      </c>
      <c r="AQ69" s="80">
        <v>0.0</v>
      </c>
      <c r="AR69" s="678">
        <f t="shared" si="2"/>
        <v>1</v>
      </c>
      <c r="AS69" s="678">
        <f t="shared" si="3"/>
        <v>1</v>
      </c>
    </row>
    <row r="70">
      <c r="A70" s="157">
        <v>69.0</v>
      </c>
      <c r="B70" s="686" t="s">
        <v>1746</v>
      </c>
      <c r="C70" s="41" t="s">
        <v>816</v>
      </c>
      <c r="D70" s="687" t="s">
        <v>817</v>
      </c>
      <c r="E70" s="354">
        <v>40737.0</v>
      </c>
      <c r="F70" s="157" t="s">
        <v>354</v>
      </c>
      <c r="G70" s="157" t="s">
        <v>354</v>
      </c>
      <c r="H70" s="157" t="s">
        <v>354</v>
      </c>
      <c r="I70" s="157" t="s">
        <v>354</v>
      </c>
      <c r="J70" s="157" t="s">
        <v>354</v>
      </c>
      <c r="K70" s="184">
        <v>0.0</v>
      </c>
      <c r="L70" s="184" t="s">
        <v>354</v>
      </c>
      <c r="M70" s="265"/>
      <c r="N70" s="265"/>
      <c r="O70" s="184" t="s">
        <v>371</v>
      </c>
      <c r="P70" s="157">
        <v>0.0</v>
      </c>
      <c r="Q70" s="157">
        <v>0.0</v>
      </c>
      <c r="R70" s="551" t="s">
        <v>354</v>
      </c>
      <c r="S70" s="551" t="s">
        <v>354</v>
      </c>
      <c r="T70" s="551" t="s">
        <v>354</v>
      </c>
      <c r="U70" s="157">
        <v>0.0</v>
      </c>
      <c r="V70" s="157">
        <v>0.0</v>
      </c>
      <c r="W70" s="551" t="s">
        <v>354</v>
      </c>
      <c r="X70" s="551" t="s">
        <v>354</v>
      </c>
      <c r="Y70" s="674" t="s">
        <v>356</v>
      </c>
      <c r="Z70" s="674" t="s">
        <v>354</v>
      </c>
      <c r="AA70" s="701" t="s">
        <v>365</v>
      </c>
      <c r="AB70" s="391" t="s">
        <v>380</v>
      </c>
      <c r="AC70" s="139" t="s">
        <v>356</v>
      </c>
      <c r="AD70" s="139" t="s">
        <v>354</v>
      </c>
      <c r="AE70" s="367">
        <f t="shared" si="1"/>
        <v>1</v>
      </c>
      <c r="AF70" s="265"/>
      <c r="AG70" s="265"/>
      <c r="AH70" s="265"/>
      <c r="AI70" s="265"/>
      <c r="AJ70" s="80">
        <v>0.0</v>
      </c>
      <c r="AK70" s="80">
        <v>0.0</v>
      </c>
      <c r="AL70" s="80">
        <v>0.0</v>
      </c>
      <c r="AM70" s="224">
        <v>0.0</v>
      </c>
      <c r="AN70" s="80">
        <v>0.0</v>
      </c>
      <c r="AO70" s="224">
        <v>0.0</v>
      </c>
      <c r="AP70" s="224">
        <v>1.0</v>
      </c>
      <c r="AQ70" s="80">
        <v>0.0</v>
      </c>
      <c r="AR70" s="679">
        <f t="shared" si="2"/>
        <v>1</v>
      </c>
      <c r="AS70" s="679">
        <f t="shared" si="3"/>
        <v>1</v>
      </c>
    </row>
    <row r="71">
      <c r="A71" s="157">
        <v>70.0</v>
      </c>
      <c r="B71" s="695" t="s">
        <v>1747</v>
      </c>
      <c r="C71" s="179" t="s">
        <v>84</v>
      </c>
      <c r="D71" s="697" t="s">
        <v>474</v>
      </c>
      <c r="E71" s="354">
        <v>40737.0</v>
      </c>
      <c r="F71" s="157" t="s">
        <v>354</v>
      </c>
      <c r="G71" s="157" t="s">
        <v>354</v>
      </c>
      <c r="H71" s="157" t="s">
        <v>354</v>
      </c>
      <c r="I71" s="157" t="s">
        <v>354</v>
      </c>
      <c r="J71" s="157" t="s">
        <v>354</v>
      </c>
      <c r="K71" s="179">
        <v>1.0</v>
      </c>
      <c r="L71" s="179" t="s">
        <v>354</v>
      </c>
      <c r="M71" s="265"/>
      <c r="N71" s="265"/>
      <c r="O71" s="179" t="s">
        <v>485</v>
      </c>
      <c r="P71" s="157">
        <v>0.0</v>
      </c>
      <c r="Q71" s="157">
        <v>0.0</v>
      </c>
      <c r="R71" s="551" t="s">
        <v>354</v>
      </c>
      <c r="S71" s="551" t="s">
        <v>354</v>
      </c>
      <c r="T71" s="551" t="s">
        <v>354</v>
      </c>
      <c r="U71" s="157">
        <v>0.0</v>
      </c>
      <c r="V71" s="157">
        <v>0.0</v>
      </c>
      <c r="W71" s="551" t="s">
        <v>354</v>
      </c>
      <c r="X71" s="551" t="s">
        <v>354</v>
      </c>
      <c r="Y71" s="674" t="s">
        <v>356</v>
      </c>
      <c r="Z71" s="674" t="s">
        <v>354</v>
      </c>
      <c r="AA71" s="675" t="s">
        <v>356</v>
      </c>
      <c r="AB71" s="675" t="s">
        <v>354</v>
      </c>
      <c r="AC71" s="139" t="s">
        <v>356</v>
      </c>
      <c r="AD71" s="139" t="s">
        <v>354</v>
      </c>
      <c r="AE71" s="46">
        <f t="shared" si="1"/>
        <v>0</v>
      </c>
      <c r="AF71" s="265"/>
      <c r="AG71" s="265"/>
      <c r="AH71" s="265"/>
      <c r="AI71" s="265"/>
      <c r="AJ71" s="80">
        <v>0.0</v>
      </c>
      <c r="AK71" s="80">
        <v>0.0</v>
      </c>
      <c r="AL71" s="80">
        <v>0.0</v>
      </c>
      <c r="AM71" s="224">
        <v>0.0</v>
      </c>
      <c r="AN71" s="80">
        <v>0.0</v>
      </c>
      <c r="AO71" s="224">
        <v>0.0</v>
      </c>
      <c r="AP71" s="80">
        <v>0.0</v>
      </c>
      <c r="AQ71" s="80">
        <v>0.0</v>
      </c>
      <c r="AR71" s="235">
        <f t="shared" si="2"/>
        <v>0</v>
      </c>
      <c r="AS71" s="235">
        <f t="shared" si="3"/>
        <v>0</v>
      </c>
    </row>
    <row r="72">
      <c r="A72" s="157">
        <v>71.0</v>
      </c>
      <c r="B72" s="686" t="s">
        <v>1748</v>
      </c>
      <c r="C72" s="41" t="s">
        <v>899</v>
      </c>
      <c r="D72" s="687" t="s">
        <v>900</v>
      </c>
      <c r="E72" s="354">
        <v>40737.0</v>
      </c>
      <c r="F72" s="157" t="s">
        <v>354</v>
      </c>
      <c r="G72" s="157" t="s">
        <v>354</v>
      </c>
      <c r="H72" s="157" t="s">
        <v>354</v>
      </c>
      <c r="I72" s="157" t="s">
        <v>354</v>
      </c>
      <c r="J72" s="157" t="s">
        <v>354</v>
      </c>
      <c r="K72" s="184">
        <v>0.0</v>
      </c>
      <c r="L72" s="184" t="s">
        <v>354</v>
      </c>
      <c r="M72" s="265"/>
      <c r="N72" s="265"/>
      <c r="O72" s="184" t="s">
        <v>371</v>
      </c>
      <c r="P72" s="157">
        <v>0.0</v>
      </c>
      <c r="Q72" s="157">
        <v>0.0</v>
      </c>
      <c r="R72" s="551" t="s">
        <v>354</v>
      </c>
      <c r="S72" s="551" t="s">
        <v>354</v>
      </c>
      <c r="T72" s="551" t="s">
        <v>354</v>
      </c>
      <c r="U72" s="157">
        <v>0.0</v>
      </c>
      <c r="V72" s="157">
        <v>0.0</v>
      </c>
      <c r="W72" s="551" t="s">
        <v>354</v>
      </c>
      <c r="X72" s="551" t="s">
        <v>354</v>
      </c>
      <c r="Y72" s="694" t="s">
        <v>361</v>
      </c>
      <c r="Z72" s="694" t="s">
        <v>1021</v>
      </c>
      <c r="AA72" s="675" t="s">
        <v>356</v>
      </c>
      <c r="AB72" s="675" t="s">
        <v>354</v>
      </c>
      <c r="AC72" s="139" t="s">
        <v>356</v>
      </c>
      <c r="AD72" s="139" t="s">
        <v>354</v>
      </c>
      <c r="AE72" s="46">
        <f t="shared" si="1"/>
        <v>0</v>
      </c>
      <c r="AF72" s="265"/>
      <c r="AG72" s="265"/>
      <c r="AH72" s="265"/>
      <c r="AI72" s="265"/>
      <c r="AJ72" s="80">
        <v>0.0</v>
      </c>
      <c r="AK72" s="80">
        <v>0.0</v>
      </c>
      <c r="AL72" s="80">
        <v>0.0</v>
      </c>
      <c r="AM72" s="224">
        <v>0.0</v>
      </c>
      <c r="AN72" s="80">
        <v>0.0</v>
      </c>
      <c r="AO72" s="224">
        <v>0.0</v>
      </c>
      <c r="AP72" s="80">
        <v>0.0</v>
      </c>
      <c r="AQ72" s="80">
        <v>0.0</v>
      </c>
      <c r="AR72" s="235">
        <f t="shared" si="2"/>
        <v>0</v>
      </c>
      <c r="AS72" s="235">
        <f t="shared" si="3"/>
        <v>0</v>
      </c>
    </row>
    <row r="73">
      <c r="A73" s="157">
        <v>72.0</v>
      </c>
      <c r="B73" s="693" t="s">
        <v>1749</v>
      </c>
      <c r="C73" s="157" t="s">
        <v>992</v>
      </c>
      <c r="D73" s="273" t="s">
        <v>992</v>
      </c>
      <c r="E73" s="354">
        <v>40737.0</v>
      </c>
      <c r="F73" s="157" t="s">
        <v>354</v>
      </c>
      <c r="G73" s="157" t="s">
        <v>354</v>
      </c>
      <c r="H73" s="157" t="s">
        <v>354</v>
      </c>
      <c r="I73" s="157" t="s">
        <v>354</v>
      </c>
      <c r="J73" s="157" t="s">
        <v>354</v>
      </c>
      <c r="K73" s="157" t="s">
        <v>354</v>
      </c>
      <c r="L73" s="157"/>
      <c r="M73" s="157" t="s">
        <v>354</v>
      </c>
      <c r="N73" s="157" t="s">
        <v>354</v>
      </c>
      <c r="O73" s="157" t="s">
        <v>354</v>
      </c>
      <c r="P73" s="207">
        <v>43.8713658736389</v>
      </c>
      <c r="Q73" s="157">
        <v>0.0</v>
      </c>
      <c r="R73" s="551" t="s">
        <v>354</v>
      </c>
      <c r="S73" s="551" t="s">
        <v>354</v>
      </c>
      <c r="T73" s="551" t="s">
        <v>354</v>
      </c>
      <c r="U73" s="157">
        <v>0.0</v>
      </c>
      <c r="V73" s="157">
        <v>0.0</v>
      </c>
      <c r="W73" s="551" t="s">
        <v>354</v>
      </c>
      <c r="X73" s="551" t="s">
        <v>354</v>
      </c>
      <c r="Y73" s="674" t="s">
        <v>356</v>
      </c>
      <c r="Z73" s="674" t="s">
        <v>354</v>
      </c>
      <c r="AA73" s="675" t="s">
        <v>356</v>
      </c>
      <c r="AB73" s="675" t="s">
        <v>354</v>
      </c>
      <c r="AC73" s="139" t="s">
        <v>356</v>
      </c>
      <c r="AD73" s="139" t="s">
        <v>354</v>
      </c>
      <c r="AE73" s="46">
        <f t="shared" si="1"/>
        <v>1</v>
      </c>
      <c r="AF73" s="265"/>
      <c r="AG73" s="265"/>
      <c r="AH73" s="265"/>
      <c r="AI73" s="265"/>
      <c r="AJ73" s="80">
        <v>0.0</v>
      </c>
      <c r="AK73" s="80">
        <v>0.0</v>
      </c>
      <c r="AL73" s="80">
        <v>0.0</v>
      </c>
      <c r="AM73" s="224">
        <v>0.0</v>
      </c>
      <c r="AN73" s="80">
        <v>0.0</v>
      </c>
      <c r="AO73" s="224">
        <v>0.0</v>
      </c>
      <c r="AP73" s="80">
        <v>0.0</v>
      </c>
      <c r="AQ73" s="80">
        <v>0.0</v>
      </c>
      <c r="AR73" s="235">
        <f t="shared" si="2"/>
        <v>0</v>
      </c>
      <c r="AS73" s="235">
        <f t="shared" si="3"/>
        <v>0</v>
      </c>
    </row>
    <row r="74">
      <c r="A74" s="157">
        <v>73.0</v>
      </c>
      <c r="B74" s="693" t="s">
        <v>1750</v>
      </c>
      <c r="C74" s="157" t="s">
        <v>1030</v>
      </c>
      <c r="D74" s="273" t="s">
        <v>1030</v>
      </c>
      <c r="E74" s="354">
        <v>40737.0</v>
      </c>
      <c r="F74" s="157" t="s">
        <v>354</v>
      </c>
      <c r="G74" s="157" t="s">
        <v>354</v>
      </c>
      <c r="H74" s="157" t="s">
        <v>354</v>
      </c>
      <c r="I74" s="157" t="s">
        <v>354</v>
      </c>
      <c r="J74" s="157" t="s">
        <v>354</v>
      </c>
      <c r="K74" s="157" t="s">
        <v>354</v>
      </c>
      <c r="L74" s="157"/>
      <c r="M74" s="157" t="s">
        <v>354</v>
      </c>
      <c r="N74" s="157" t="s">
        <v>354</v>
      </c>
      <c r="O74" s="157" t="s">
        <v>354</v>
      </c>
      <c r="P74" s="157">
        <v>0.0</v>
      </c>
      <c r="Q74" s="157">
        <v>0.0</v>
      </c>
      <c r="R74" s="551" t="s">
        <v>354</v>
      </c>
      <c r="S74" s="551" t="s">
        <v>354</v>
      </c>
      <c r="T74" s="551" t="s">
        <v>354</v>
      </c>
      <c r="U74" s="157">
        <v>0.0</v>
      </c>
      <c r="V74" s="157">
        <v>0.0</v>
      </c>
      <c r="W74" s="551" t="s">
        <v>354</v>
      </c>
      <c r="X74" s="551" t="s">
        <v>354</v>
      </c>
      <c r="Y74" s="674" t="s">
        <v>356</v>
      </c>
      <c r="Z74" s="674" t="s">
        <v>354</v>
      </c>
      <c r="AA74" s="675" t="s">
        <v>356</v>
      </c>
      <c r="AB74" s="675" t="s">
        <v>354</v>
      </c>
      <c r="AC74" s="139" t="s">
        <v>356</v>
      </c>
      <c r="AD74" s="139" t="s">
        <v>354</v>
      </c>
      <c r="AE74" s="46">
        <f t="shared" si="1"/>
        <v>0</v>
      </c>
      <c r="AF74" s="265"/>
      <c r="AG74" s="265"/>
      <c r="AH74" s="265"/>
      <c r="AI74" s="235"/>
      <c r="AJ74" s="80">
        <v>0.0</v>
      </c>
      <c r="AK74" s="80">
        <v>0.0</v>
      </c>
      <c r="AL74" s="80">
        <v>0.0</v>
      </c>
      <c r="AM74" s="224">
        <v>0.0</v>
      </c>
      <c r="AN74" s="80">
        <v>0.0</v>
      </c>
      <c r="AO74" s="224">
        <v>0.0</v>
      </c>
      <c r="AP74" s="80">
        <v>0.0</v>
      </c>
      <c r="AQ74" s="80">
        <v>0.0</v>
      </c>
      <c r="AR74" s="235">
        <f t="shared" si="2"/>
        <v>0</v>
      </c>
      <c r="AS74" s="235">
        <f t="shared" si="3"/>
        <v>0</v>
      </c>
    </row>
    <row r="75">
      <c r="A75" s="157">
        <v>74.0</v>
      </c>
      <c r="B75" s="683" t="s">
        <v>1751</v>
      </c>
      <c r="C75" s="702" t="s">
        <v>271</v>
      </c>
      <c r="D75" s="692" t="s">
        <v>924</v>
      </c>
      <c r="E75" s="354">
        <v>40737.0</v>
      </c>
      <c r="F75" s="157" t="s">
        <v>354</v>
      </c>
      <c r="G75" s="157" t="s">
        <v>354</v>
      </c>
      <c r="H75" s="157" t="s">
        <v>354</v>
      </c>
      <c r="I75" s="157" t="s">
        <v>354</v>
      </c>
      <c r="J75" s="157" t="s">
        <v>354</v>
      </c>
      <c r="K75" s="158">
        <v>1.0</v>
      </c>
      <c r="L75" s="158" t="s">
        <v>929</v>
      </c>
      <c r="M75" s="265"/>
      <c r="N75" s="265"/>
      <c r="O75" s="158" t="s">
        <v>455</v>
      </c>
      <c r="P75" s="157">
        <v>0.0</v>
      </c>
      <c r="Q75" s="157">
        <v>0.0</v>
      </c>
      <c r="R75" s="551" t="s">
        <v>354</v>
      </c>
      <c r="S75" s="551" t="s">
        <v>354</v>
      </c>
      <c r="T75" s="551" t="s">
        <v>354</v>
      </c>
      <c r="U75" s="157">
        <v>0.0</v>
      </c>
      <c r="V75" s="157">
        <v>0.0</v>
      </c>
      <c r="W75" s="551" t="s">
        <v>354</v>
      </c>
      <c r="X75" s="551" t="s">
        <v>354</v>
      </c>
      <c r="Y75" s="694" t="s">
        <v>361</v>
      </c>
      <c r="Z75" s="694" t="s">
        <v>1021</v>
      </c>
      <c r="AA75" s="675" t="s">
        <v>356</v>
      </c>
      <c r="AB75" s="675" t="s">
        <v>354</v>
      </c>
      <c r="AC75" s="139" t="s">
        <v>356</v>
      </c>
      <c r="AD75" s="139" t="s">
        <v>354</v>
      </c>
      <c r="AE75" s="46">
        <f t="shared" si="1"/>
        <v>0</v>
      </c>
      <c r="AF75" s="265"/>
      <c r="AG75" s="265"/>
      <c r="AH75" s="265"/>
      <c r="AI75" s="235"/>
      <c r="AJ75" s="80">
        <v>0.0</v>
      </c>
      <c r="AK75" s="80">
        <v>0.0</v>
      </c>
      <c r="AL75" s="80">
        <v>0.0</v>
      </c>
      <c r="AM75" s="224">
        <v>0.0</v>
      </c>
      <c r="AN75" s="80">
        <v>0.0</v>
      </c>
      <c r="AO75" s="224">
        <v>0.0</v>
      </c>
      <c r="AP75" s="80">
        <v>0.0</v>
      </c>
      <c r="AQ75" s="80">
        <v>0.0</v>
      </c>
      <c r="AR75" s="235">
        <f t="shared" si="2"/>
        <v>0</v>
      </c>
      <c r="AS75" s="235">
        <f t="shared" si="3"/>
        <v>0</v>
      </c>
    </row>
    <row r="76">
      <c r="A76" s="157">
        <v>75.0</v>
      </c>
      <c r="B76" s="686" t="s">
        <v>1752</v>
      </c>
      <c r="C76" s="184" t="s">
        <v>29</v>
      </c>
      <c r="D76" s="687" t="s">
        <v>401</v>
      </c>
      <c r="E76" s="354">
        <v>40737.0</v>
      </c>
      <c r="F76" s="157" t="s">
        <v>354</v>
      </c>
      <c r="G76" s="157" t="s">
        <v>354</v>
      </c>
      <c r="H76" s="157" t="s">
        <v>354</v>
      </c>
      <c r="I76" s="157" t="s">
        <v>354</v>
      </c>
      <c r="J76" s="157" t="s">
        <v>354</v>
      </c>
      <c r="K76" s="184">
        <v>0.0</v>
      </c>
      <c r="L76" s="184" t="s">
        <v>354</v>
      </c>
      <c r="M76" s="265"/>
      <c r="N76" s="265"/>
      <c r="O76" s="184" t="s">
        <v>371</v>
      </c>
      <c r="P76" s="157">
        <v>0.0</v>
      </c>
      <c r="Q76" s="157">
        <v>0.0</v>
      </c>
      <c r="R76" s="551" t="s">
        <v>354</v>
      </c>
      <c r="S76" s="551" t="s">
        <v>354</v>
      </c>
      <c r="T76" s="551" t="s">
        <v>354</v>
      </c>
      <c r="U76" s="157">
        <v>0.0</v>
      </c>
      <c r="V76" s="157">
        <v>0.0</v>
      </c>
      <c r="W76" s="551" t="s">
        <v>354</v>
      </c>
      <c r="X76" s="551" t="s">
        <v>354</v>
      </c>
      <c r="Y76" s="694" t="s">
        <v>361</v>
      </c>
      <c r="Z76" s="694" t="s">
        <v>1021</v>
      </c>
      <c r="AA76" s="680" t="s">
        <v>361</v>
      </c>
      <c r="AB76" s="680" t="s">
        <v>361</v>
      </c>
      <c r="AC76" s="144" t="s">
        <v>365</v>
      </c>
      <c r="AD76" s="40" t="s">
        <v>357</v>
      </c>
      <c r="AE76" s="367">
        <f t="shared" si="1"/>
        <v>1</v>
      </c>
      <c r="AF76" s="265"/>
      <c r="AG76" s="265"/>
      <c r="AH76" s="265"/>
      <c r="AI76" s="265"/>
      <c r="AJ76" s="80">
        <v>0.0</v>
      </c>
      <c r="AK76" s="80">
        <v>0.0</v>
      </c>
      <c r="AL76" s="80">
        <v>0.0</v>
      </c>
      <c r="AM76" s="224">
        <v>0.0</v>
      </c>
      <c r="AN76" s="80">
        <v>0.0</v>
      </c>
      <c r="AO76" s="224">
        <v>1.0</v>
      </c>
      <c r="AP76" s="80">
        <v>0.0</v>
      </c>
      <c r="AQ76" s="80">
        <v>0.0</v>
      </c>
      <c r="AR76" s="679">
        <f t="shared" si="2"/>
        <v>1</v>
      </c>
      <c r="AS76" s="679">
        <f t="shared" si="3"/>
        <v>1</v>
      </c>
    </row>
    <row r="77">
      <c r="A77" s="157">
        <v>76.0</v>
      </c>
      <c r="B77" s="686" t="s">
        <v>253</v>
      </c>
      <c r="C77" s="41" t="s">
        <v>881</v>
      </c>
      <c r="D77" s="687" t="s">
        <v>882</v>
      </c>
      <c r="E77" s="354">
        <v>40737.0</v>
      </c>
      <c r="F77" s="157" t="s">
        <v>354</v>
      </c>
      <c r="G77" s="157" t="s">
        <v>354</v>
      </c>
      <c r="H77" s="157" t="s">
        <v>354</v>
      </c>
      <c r="I77" s="157" t="s">
        <v>354</v>
      </c>
      <c r="J77" s="157" t="s">
        <v>354</v>
      </c>
      <c r="K77" s="184">
        <v>0.0</v>
      </c>
      <c r="L77" s="184" t="s">
        <v>354</v>
      </c>
      <c r="M77" s="265"/>
      <c r="N77" s="265"/>
      <c r="O77" s="184" t="s">
        <v>371</v>
      </c>
      <c r="P77" s="157">
        <v>0.0</v>
      </c>
      <c r="Q77" s="157">
        <v>0.0</v>
      </c>
      <c r="R77" s="551" t="s">
        <v>354</v>
      </c>
      <c r="S77" s="551" t="s">
        <v>354</v>
      </c>
      <c r="T77" s="551" t="s">
        <v>354</v>
      </c>
      <c r="U77" s="157">
        <v>0.0</v>
      </c>
      <c r="V77" s="157">
        <v>0.0</v>
      </c>
      <c r="W77" s="551" t="s">
        <v>354</v>
      </c>
      <c r="X77" s="551" t="s">
        <v>354</v>
      </c>
      <c r="Y77" s="674" t="s">
        <v>356</v>
      </c>
      <c r="Z77" s="674" t="s">
        <v>354</v>
      </c>
      <c r="AA77" s="675" t="s">
        <v>356</v>
      </c>
      <c r="AB77" s="675" t="s">
        <v>354</v>
      </c>
      <c r="AC77" s="139" t="s">
        <v>356</v>
      </c>
      <c r="AD77" s="139" t="s">
        <v>354</v>
      </c>
      <c r="AE77" s="46">
        <f t="shared" si="1"/>
        <v>0</v>
      </c>
      <c r="AF77" s="265"/>
      <c r="AG77" s="265"/>
      <c r="AH77" s="265"/>
      <c r="AI77" s="265"/>
      <c r="AJ77" s="80">
        <v>0.0</v>
      </c>
      <c r="AK77" s="80">
        <v>0.0</v>
      </c>
      <c r="AL77" s="80">
        <v>0.0</v>
      </c>
      <c r="AM77" s="224">
        <v>0.0</v>
      </c>
      <c r="AN77" s="80">
        <v>0.0</v>
      </c>
      <c r="AO77" s="224">
        <v>0.0</v>
      </c>
      <c r="AP77" s="80">
        <v>0.0</v>
      </c>
      <c r="AQ77" s="80">
        <v>0.0</v>
      </c>
      <c r="AR77" s="235">
        <f t="shared" si="2"/>
        <v>0</v>
      </c>
      <c r="AS77" s="235">
        <f t="shared" si="3"/>
        <v>0</v>
      </c>
    </row>
    <row r="78">
      <c r="A78" s="157">
        <v>77.0</v>
      </c>
      <c r="B78" s="686" t="s">
        <v>259</v>
      </c>
      <c r="C78" s="690" t="s">
        <v>259</v>
      </c>
      <c r="D78" s="687" t="s">
        <v>977</v>
      </c>
      <c r="E78" s="354">
        <v>40737.0</v>
      </c>
      <c r="F78" s="157" t="s">
        <v>354</v>
      </c>
      <c r="G78" s="157" t="s">
        <v>354</v>
      </c>
      <c r="H78" s="157" t="s">
        <v>354</v>
      </c>
      <c r="I78" s="157" t="s">
        <v>354</v>
      </c>
      <c r="J78" s="157" t="s">
        <v>354</v>
      </c>
      <c r="K78" s="184">
        <v>0.0</v>
      </c>
      <c r="L78" s="184" t="s">
        <v>354</v>
      </c>
      <c r="M78" s="265"/>
      <c r="N78" s="265"/>
      <c r="O78" s="184" t="s">
        <v>371</v>
      </c>
      <c r="P78" s="157">
        <v>0.0</v>
      </c>
      <c r="Q78" s="157">
        <v>0.0</v>
      </c>
      <c r="R78" s="551" t="s">
        <v>354</v>
      </c>
      <c r="S78" s="551" t="s">
        <v>354</v>
      </c>
      <c r="T78" s="551" t="s">
        <v>354</v>
      </c>
      <c r="U78" s="157">
        <v>0.0</v>
      </c>
      <c r="V78" s="157">
        <v>0.0</v>
      </c>
      <c r="W78" s="551" t="s">
        <v>354</v>
      </c>
      <c r="X78" s="551" t="s">
        <v>354</v>
      </c>
      <c r="Y78" s="674" t="s">
        <v>356</v>
      </c>
      <c r="Z78" s="674" t="s">
        <v>354</v>
      </c>
      <c r="AA78" s="675" t="s">
        <v>356</v>
      </c>
      <c r="AB78" s="675" t="s">
        <v>354</v>
      </c>
      <c r="AC78" s="139" t="s">
        <v>356</v>
      </c>
      <c r="AD78" s="139" t="s">
        <v>354</v>
      </c>
      <c r="AE78" s="46">
        <f t="shared" si="1"/>
        <v>0</v>
      </c>
      <c r="AF78" s="265"/>
      <c r="AG78" s="265"/>
      <c r="AH78" s="265"/>
      <c r="AI78" s="265"/>
      <c r="AJ78" s="80">
        <v>0.0</v>
      </c>
      <c r="AK78" s="80">
        <v>0.0</v>
      </c>
      <c r="AL78" s="80">
        <v>0.0</v>
      </c>
      <c r="AM78" s="224">
        <v>0.0</v>
      </c>
      <c r="AN78" s="80">
        <v>0.0</v>
      </c>
      <c r="AO78" s="224">
        <v>0.0</v>
      </c>
      <c r="AP78" s="80">
        <v>0.0</v>
      </c>
      <c r="AQ78" s="80">
        <v>0.0</v>
      </c>
      <c r="AR78" s="235">
        <f t="shared" si="2"/>
        <v>0</v>
      </c>
      <c r="AS78" s="235">
        <f t="shared" si="3"/>
        <v>0</v>
      </c>
    </row>
    <row r="79">
      <c r="A79" s="157">
        <v>78.0</v>
      </c>
      <c r="B79" s="693" t="s">
        <v>255</v>
      </c>
      <c r="C79" s="157" t="s">
        <v>255</v>
      </c>
      <c r="D79" s="273" t="s">
        <v>255</v>
      </c>
      <c r="E79" s="354">
        <v>40737.0</v>
      </c>
      <c r="F79" s="157" t="s">
        <v>354</v>
      </c>
      <c r="G79" s="157" t="s">
        <v>354</v>
      </c>
      <c r="H79" s="157" t="s">
        <v>354</v>
      </c>
      <c r="I79" s="157" t="s">
        <v>354</v>
      </c>
      <c r="J79" s="157" t="s">
        <v>354</v>
      </c>
      <c r="K79" s="157" t="s">
        <v>354</v>
      </c>
      <c r="L79" s="157"/>
      <c r="M79" s="157" t="s">
        <v>354</v>
      </c>
      <c r="N79" s="157" t="s">
        <v>354</v>
      </c>
      <c r="O79" s="157" t="s">
        <v>354</v>
      </c>
      <c r="P79" s="157">
        <v>0.0</v>
      </c>
      <c r="Q79" s="157">
        <v>0.0</v>
      </c>
      <c r="R79" s="551" t="s">
        <v>354</v>
      </c>
      <c r="S79" s="551" t="s">
        <v>354</v>
      </c>
      <c r="T79" s="551" t="s">
        <v>354</v>
      </c>
      <c r="U79" s="157">
        <v>0.0</v>
      </c>
      <c r="V79" s="157">
        <v>0.0</v>
      </c>
      <c r="W79" s="551" t="s">
        <v>354</v>
      </c>
      <c r="X79" s="551" t="s">
        <v>354</v>
      </c>
      <c r="Y79" s="674" t="s">
        <v>356</v>
      </c>
      <c r="Z79" s="674" t="s">
        <v>354</v>
      </c>
      <c r="AA79" s="675" t="s">
        <v>356</v>
      </c>
      <c r="AB79" s="675" t="s">
        <v>354</v>
      </c>
      <c r="AC79" s="139" t="s">
        <v>356</v>
      </c>
      <c r="AD79" s="139" t="s">
        <v>354</v>
      </c>
      <c r="AE79" s="46">
        <f t="shared" si="1"/>
        <v>0</v>
      </c>
      <c r="AF79" s="265"/>
      <c r="AG79" s="265"/>
      <c r="AH79" s="265"/>
      <c r="AI79" s="265"/>
      <c r="AJ79" s="80">
        <v>0.0</v>
      </c>
      <c r="AK79" s="80">
        <v>0.0</v>
      </c>
      <c r="AL79" s="80">
        <v>0.0</v>
      </c>
      <c r="AM79" s="224">
        <v>0.0</v>
      </c>
      <c r="AN79" s="80">
        <v>0.0</v>
      </c>
      <c r="AO79" s="224">
        <v>0.0</v>
      </c>
      <c r="AP79" s="80">
        <v>0.0</v>
      </c>
      <c r="AQ79" s="80">
        <v>0.0</v>
      </c>
      <c r="AR79" s="235">
        <f t="shared" si="2"/>
        <v>0</v>
      </c>
      <c r="AS79" s="235">
        <f t="shared" si="3"/>
        <v>0</v>
      </c>
    </row>
    <row r="80">
      <c r="A80" s="157">
        <v>79.0</v>
      </c>
      <c r="B80" s="693" t="s">
        <v>972</v>
      </c>
      <c r="C80" s="157" t="s">
        <v>972</v>
      </c>
      <c r="D80" s="273" t="s">
        <v>972</v>
      </c>
      <c r="E80" s="354">
        <v>40737.0</v>
      </c>
      <c r="F80" s="157" t="s">
        <v>354</v>
      </c>
      <c r="G80" s="157" t="s">
        <v>354</v>
      </c>
      <c r="H80" s="157" t="s">
        <v>354</v>
      </c>
      <c r="I80" s="157" t="s">
        <v>354</v>
      </c>
      <c r="J80" s="157" t="s">
        <v>354</v>
      </c>
      <c r="K80" s="157" t="s">
        <v>354</v>
      </c>
      <c r="L80" s="157"/>
      <c r="M80" s="157" t="s">
        <v>354</v>
      </c>
      <c r="N80" s="157" t="s">
        <v>354</v>
      </c>
      <c r="O80" s="157" t="s">
        <v>354</v>
      </c>
      <c r="P80" s="157">
        <v>0.0</v>
      </c>
      <c r="Q80" s="157">
        <v>0.0</v>
      </c>
      <c r="R80" s="551" t="s">
        <v>354</v>
      </c>
      <c r="S80" s="551" t="s">
        <v>354</v>
      </c>
      <c r="T80" s="551" t="s">
        <v>354</v>
      </c>
      <c r="U80" s="157">
        <v>0.0</v>
      </c>
      <c r="V80" s="157">
        <v>0.0</v>
      </c>
      <c r="W80" s="551" t="s">
        <v>354</v>
      </c>
      <c r="X80" s="551" t="s">
        <v>354</v>
      </c>
      <c r="Y80" s="694" t="s">
        <v>361</v>
      </c>
      <c r="Z80" s="694" t="s">
        <v>1021</v>
      </c>
      <c r="AA80" s="675" t="s">
        <v>356</v>
      </c>
      <c r="AB80" s="675" t="s">
        <v>354</v>
      </c>
      <c r="AC80" s="139" t="s">
        <v>356</v>
      </c>
      <c r="AD80" s="139" t="s">
        <v>354</v>
      </c>
      <c r="AE80" s="46">
        <f t="shared" si="1"/>
        <v>0</v>
      </c>
      <c r="AF80" s="265"/>
      <c r="AG80" s="265"/>
      <c r="AH80" s="265"/>
      <c r="AI80" s="265"/>
      <c r="AJ80" s="80">
        <v>0.0</v>
      </c>
      <c r="AK80" s="80">
        <v>0.0</v>
      </c>
      <c r="AL80" s="80">
        <v>0.0</v>
      </c>
      <c r="AM80" s="224">
        <v>0.0</v>
      </c>
      <c r="AN80" s="80">
        <v>0.0</v>
      </c>
      <c r="AO80" s="224">
        <v>0.0</v>
      </c>
      <c r="AP80" s="80">
        <v>0.0</v>
      </c>
      <c r="AQ80" s="80">
        <v>0.0</v>
      </c>
      <c r="AR80" s="235">
        <f t="shared" si="2"/>
        <v>0</v>
      </c>
      <c r="AS80" s="235">
        <f t="shared" si="3"/>
        <v>0</v>
      </c>
    </row>
    <row r="81">
      <c r="A81" s="157">
        <v>80.0</v>
      </c>
      <c r="B81" s="693" t="s">
        <v>1753</v>
      </c>
      <c r="C81" s="157" t="s">
        <v>1015</v>
      </c>
      <c r="D81" s="273" t="s">
        <v>1015</v>
      </c>
      <c r="E81" s="354">
        <v>40737.0</v>
      </c>
      <c r="F81" s="157" t="s">
        <v>354</v>
      </c>
      <c r="G81" s="157" t="s">
        <v>354</v>
      </c>
      <c r="H81" s="157" t="s">
        <v>354</v>
      </c>
      <c r="I81" s="157" t="s">
        <v>354</v>
      </c>
      <c r="J81" s="157" t="s">
        <v>354</v>
      </c>
      <c r="K81" s="157" t="s">
        <v>354</v>
      </c>
      <c r="L81" s="157"/>
      <c r="M81" s="157" t="s">
        <v>354</v>
      </c>
      <c r="N81" s="157" t="s">
        <v>354</v>
      </c>
      <c r="O81" s="157" t="s">
        <v>354</v>
      </c>
      <c r="P81" s="157">
        <v>0.0</v>
      </c>
      <c r="Q81" s="157">
        <v>0.0</v>
      </c>
      <c r="R81" s="551" t="s">
        <v>354</v>
      </c>
      <c r="S81" s="551" t="s">
        <v>354</v>
      </c>
      <c r="T81" s="551" t="s">
        <v>354</v>
      </c>
      <c r="U81" s="157">
        <v>0.0</v>
      </c>
      <c r="V81" s="157">
        <v>0.0</v>
      </c>
      <c r="W81" s="551" t="s">
        <v>354</v>
      </c>
      <c r="X81" s="551" t="s">
        <v>354</v>
      </c>
      <c r="Y81" s="674" t="s">
        <v>356</v>
      </c>
      <c r="Z81" s="674" t="s">
        <v>354</v>
      </c>
      <c r="AA81" s="675" t="s">
        <v>356</v>
      </c>
      <c r="AB81" s="675" t="s">
        <v>354</v>
      </c>
      <c r="AC81" s="139" t="s">
        <v>356</v>
      </c>
      <c r="AD81" s="139" t="s">
        <v>354</v>
      </c>
      <c r="AE81" s="46">
        <f t="shared" si="1"/>
        <v>0</v>
      </c>
      <c r="AF81" s="265"/>
      <c r="AG81" s="265"/>
      <c r="AH81" s="265"/>
      <c r="AI81" s="265"/>
      <c r="AJ81" s="80">
        <v>0.0</v>
      </c>
      <c r="AK81" s="80">
        <v>0.0</v>
      </c>
      <c r="AL81" s="80">
        <v>0.0</v>
      </c>
      <c r="AM81" s="224">
        <v>0.0</v>
      </c>
      <c r="AN81" s="80">
        <v>0.0</v>
      </c>
      <c r="AO81" s="224">
        <v>0.0</v>
      </c>
      <c r="AP81" s="80">
        <v>0.0</v>
      </c>
      <c r="AQ81" s="80">
        <v>0.0</v>
      </c>
      <c r="AR81" s="235">
        <f t="shared" si="2"/>
        <v>0</v>
      </c>
      <c r="AS81" s="235">
        <f t="shared" si="3"/>
        <v>0</v>
      </c>
    </row>
    <row r="82">
      <c r="A82" s="157">
        <v>81.0</v>
      </c>
      <c r="B82" s="693" t="s">
        <v>1754</v>
      </c>
      <c r="C82" s="157" t="s">
        <v>737</v>
      </c>
      <c r="D82" s="273" t="s">
        <v>737</v>
      </c>
      <c r="E82" s="354">
        <v>40737.0</v>
      </c>
      <c r="F82" s="157" t="s">
        <v>354</v>
      </c>
      <c r="G82" s="157" t="s">
        <v>354</v>
      </c>
      <c r="H82" s="157" t="s">
        <v>354</v>
      </c>
      <c r="I82" s="157" t="s">
        <v>354</v>
      </c>
      <c r="J82" s="157" t="s">
        <v>354</v>
      </c>
      <c r="K82" s="157" t="s">
        <v>354</v>
      </c>
      <c r="L82" s="157"/>
      <c r="M82" s="157" t="s">
        <v>354</v>
      </c>
      <c r="N82" s="157" t="s">
        <v>354</v>
      </c>
      <c r="O82" s="157" t="s">
        <v>354</v>
      </c>
      <c r="P82" s="157">
        <v>0.0</v>
      </c>
      <c r="Q82" s="157">
        <v>0.0</v>
      </c>
      <c r="R82" s="551" t="s">
        <v>354</v>
      </c>
      <c r="S82" s="551" t="s">
        <v>354</v>
      </c>
      <c r="T82" s="551" t="s">
        <v>354</v>
      </c>
      <c r="U82" s="157">
        <v>0.0</v>
      </c>
      <c r="V82" s="157">
        <v>0.0</v>
      </c>
      <c r="W82" s="551" t="s">
        <v>354</v>
      </c>
      <c r="X82" s="551" t="s">
        <v>354</v>
      </c>
      <c r="Y82" s="674" t="s">
        <v>356</v>
      </c>
      <c r="Z82" s="674" t="s">
        <v>354</v>
      </c>
      <c r="AA82" s="675" t="s">
        <v>356</v>
      </c>
      <c r="AB82" s="675" t="s">
        <v>354</v>
      </c>
      <c r="AC82" s="139" t="s">
        <v>356</v>
      </c>
      <c r="AD82" s="139" t="s">
        <v>354</v>
      </c>
      <c r="AE82" s="46">
        <f t="shared" si="1"/>
        <v>0</v>
      </c>
      <c r="AF82" s="265"/>
      <c r="AG82" s="265"/>
      <c r="AH82" s="265"/>
      <c r="AI82" s="265"/>
      <c r="AJ82" s="80">
        <v>0.0</v>
      </c>
      <c r="AK82" s="80">
        <v>0.0</v>
      </c>
      <c r="AL82" s="80">
        <v>0.0</v>
      </c>
      <c r="AM82" s="224">
        <v>0.0</v>
      </c>
      <c r="AN82" s="80">
        <v>0.0</v>
      </c>
      <c r="AO82" s="224">
        <v>0.0</v>
      </c>
      <c r="AP82" s="80">
        <v>0.0</v>
      </c>
      <c r="AQ82" s="80">
        <v>0.0</v>
      </c>
      <c r="AR82" s="235">
        <f t="shared" si="2"/>
        <v>0</v>
      </c>
      <c r="AS82" s="235">
        <f t="shared" si="3"/>
        <v>0</v>
      </c>
    </row>
    <row r="83">
      <c r="A83" s="235" t="s">
        <v>356</v>
      </c>
      <c r="B83" s="235" t="s">
        <v>354</v>
      </c>
      <c r="C83" s="235" t="s">
        <v>354</v>
      </c>
      <c r="D83" s="235" t="s">
        <v>354</v>
      </c>
      <c r="E83" s="235" t="s">
        <v>354</v>
      </c>
      <c r="F83" s="157" t="s">
        <v>354</v>
      </c>
      <c r="G83" s="157" t="s">
        <v>354</v>
      </c>
      <c r="H83" s="157" t="s">
        <v>354</v>
      </c>
      <c r="I83" s="157" t="s">
        <v>354</v>
      </c>
      <c r="J83" s="157" t="s">
        <v>354</v>
      </c>
      <c r="K83" s="157" t="s">
        <v>354</v>
      </c>
      <c r="L83" s="157"/>
      <c r="M83" s="157" t="s">
        <v>354</v>
      </c>
      <c r="N83" s="157" t="s">
        <v>354</v>
      </c>
      <c r="O83" s="157" t="s">
        <v>354</v>
      </c>
      <c r="P83" s="157">
        <v>0.0</v>
      </c>
      <c r="Q83" s="157">
        <v>0.0</v>
      </c>
      <c r="R83" s="551" t="s">
        <v>354</v>
      </c>
      <c r="S83" s="551" t="s">
        <v>354</v>
      </c>
      <c r="T83" s="551" t="s">
        <v>354</v>
      </c>
      <c r="U83" s="157">
        <v>0.0</v>
      </c>
      <c r="V83" s="157">
        <v>0.0</v>
      </c>
      <c r="W83" s="551" t="s">
        <v>354</v>
      </c>
      <c r="X83" s="551" t="s">
        <v>354</v>
      </c>
      <c r="Y83" s="674" t="s">
        <v>356</v>
      </c>
      <c r="Z83" s="674" t="s">
        <v>354</v>
      </c>
      <c r="AA83" s="675" t="s">
        <v>356</v>
      </c>
      <c r="AB83" s="675" t="s">
        <v>354</v>
      </c>
      <c r="AC83" s="139" t="s">
        <v>356</v>
      </c>
      <c r="AD83" s="139" t="s">
        <v>354</v>
      </c>
      <c r="AE83" s="46">
        <f t="shared" si="1"/>
        <v>0</v>
      </c>
      <c r="AF83" s="265"/>
      <c r="AG83" s="265"/>
      <c r="AH83" s="265"/>
      <c r="AI83" s="235" t="s">
        <v>1507</v>
      </c>
      <c r="AJ83" s="80">
        <f t="shared" ref="AJ83:AQ83" si="4">sum(AJ2:AJ82)</f>
        <v>4</v>
      </c>
      <c r="AK83" s="80">
        <f t="shared" si="4"/>
        <v>0</v>
      </c>
      <c r="AL83" s="80">
        <f t="shared" si="4"/>
        <v>2</v>
      </c>
      <c r="AM83" s="80">
        <f t="shared" si="4"/>
        <v>4</v>
      </c>
      <c r="AN83" s="80">
        <f t="shared" si="4"/>
        <v>2</v>
      </c>
      <c r="AO83" s="80">
        <f t="shared" si="4"/>
        <v>14</v>
      </c>
      <c r="AP83" s="80">
        <f t="shared" si="4"/>
        <v>1</v>
      </c>
      <c r="AQ83" s="80">
        <f t="shared" si="4"/>
        <v>0</v>
      </c>
      <c r="AR83" s="235">
        <f t="shared" si="2"/>
        <v>27</v>
      </c>
      <c r="AS83" s="235"/>
    </row>
    <row r="84">
      <c r="A84" s="235" t="s">
        <v>365</v>
      </c>
      <c r="B84" s="235" t="s">
        <v>354</v>
      </c>
      <c r="C84" s="235" t="s">
        <v>354</v>
      </c>
      <c r="D84" s="235" t="s">
        <v>354</v>
      </c>
      <c r="E84" s="235" t="s">
        <v>354</v>
      </c>
      <c r="F84" s="157" t="s">
        <v>354</v>
      </c>
      <c r="G84" s="157" t="s">
        <v>354</v>
      </c>
      <c r="H84" s="157" t="s">
        <v>354</v>
      </c>
      <c r="I84" s="157" t="s">
        <v>354</v>
      </c>
      <c r="J84" s="157" t="s">
        <v>354</v>
      </c>
      <c r="K84" s="157" t="s">
        <v>354</v>
      </c>
      <c r="L84" s="157"/>
      <c r="M84" s="157" t="s">
        <v>354</v>
      </c>
      <c r="N84" s="157" t="s">
        <v>354</v>
      </c>
      <c r="O84" s="157" t="s">
        <v>354</v>
      </c>
      <c r="P84" s="154">
        <f>average(16.301606575315,12.8164827058437)</f>
        <v>14.55904464</v>
      </c>
      <c r="Q84" s="154">
        <v>25.5468116310995</v>
      </c>
      <c r="R84" s="551" t="s">
        <v>354</v>
      </c>
      <c r="S84" s="551" t="s">
        <v>354</v>
      </c>
      <c r="T84" s="551" t="s">
        <v>354</v>
      </c>
      <c r="U84" s="154">
        <v>16.6113582398955</v>
      </c>
      <c r="V84" s="140">
        <v>34.06</v>
      </c>
      <c r="W84" s="221" t="s">
        <v>365</v>
      </c>
      <c r="X84" s="551" t="s">
        <v>1399</v>
      </c>
      <c r="Y84" s="681" t="s">
        <v>365</v>
      </c>
      <c r="Z84" s="674" t="s">
        <v>1400</v>
      </c>
      <c r="AA84" s="677" t="s">
        <v>365</v>
      </c>
      <c r="AB84" s="675" t="s">
        <v>1400</v>
      </c>
      <c r="AC84" s="144" t="s">
        <v>365</v>
      </c>
      <c r="AD84" s="139" t="s">
        <v>1400</v>
      </c>
      <c r="AE84" s="46">
        <f t="shared" si="1"/>
        <v>4</v>
      </c>
      <c r="AF84" s="265"/>
      <c r="AG84" s="265"/>
      <c r="AH84" s="265"/>
      <c r="AI84" s="235" t="s">
        <v>1406</v>
      </c>
      <c r="AJ84" s="381">
        <f t="shared" ref="AJ84:AQ84" si="5">AJ83/$AR$83</f>
        <v>0.1481481481</v>
      </c>
      <c r="AK84" s="381">
        <f t="shared" si="5"/>
        <v>0</v>
      </c>
      <c r="AL84" s="381">
        <f t="shared" si="5"/>
        <v>0.07407407407</v>
      </c>
      <c r="AM84" s="381">
        <f t="shared" si="5"/>
        <v>0.1481481481</v>
      </c>
      <c r="AN84" s="381">
        <f t="shared" si="5"/>
        <v>0.07407407407</v>
      </c>
      <c r="AO84" s="381">
        <f t="shared" si="5"/>
        <v>0.5185185185</v>
      </c>
      <c r="AP84" s="381">
        <f t="shared" si="5"/>
        <v>0.03703703704</v>
      </c>
      <c r="AQ84" s="381">
        <f t="shared" si="5"/>
        <v>0</v>
      </c>
      <c r="AR84" s="492">
        <f t="shared" si="2"/>
        <v>1</v>
      </c>
      <c r="AS84" s="492"/>
    </row>
    <row r="85">
      <c r="AE85" s="265"/>
      <c r="AF85" s="265"/>
      <c r="AG85" s="265"/>
      <c r="AH85" s="265"/>
      <c r="AI85" s="265"/>
      <c r="AJ85" s="265"/>
      <c r="AK85" s="265"/>
      <c r="AL85" s="265"/>
      <c r="AM85" s="265"/>
      <c r="AN85" s="265"/>
      <c r="AO85" s="265"/>
      <c r="AP85" s="265"/>
      <c r="AQ85" s="265"/>
      <c r="AR85" s="265"/>
      <c r="AS85" s="265"/>
    </row>
    <row r="86">
      <c r="U86" s="46">
        <f>COUNTIF(U24:U83,"&gt;0")</f>
        <v>0</v>
      </c>
      <c r="Y86" s="46">
        <f>COUNTIF(Y2:Y82,"POS")</f>
        <v>8</v>
      </c>
      <c r="Z86" s="46"/>
      <c r="AA86" s="46">
        <f>COUNTIF(AA2:AA82,"POS")</f>
        <v>6</v>
      </c>
      <c r="AB86" s="46"/>
      <c r="AC86" s="46">
        <f> COUNTIF(AC2:AC82,"POS")</f>
        <v>13</v>
      </c>
      <c r="AD86" s="46"/>
      <c r="AE86" s="372">
        <f>COUNTIF($AE$2:$AE$82,"&gt;0")-2</f>
        <v>18</v>
      </c>
      <c r="AF86" s="372">
        <f>COUNTIF($AE$2:$AE$82,"&gt;1")</f>
        <v>12</v>
      </c>
      <c r="AG86" s="372">
        <f>COUNTIF($AE$2:$AE$82,"&gt;2")</f>
        <v>5</v>
      </c>
      <c r="AH86" s="372">
        <f>COUNTIF($AE$2:$AE$82,"&gt;3")</f>
        <v>0</v>
      </c>
      <c r="AI86" s="340">
        <f>countif(AS2:AS82,"&gt;1")</f>
        <v>2</v>
      </c>
      <c r="AJ86" s="63">
        <v>2.0</v>
      </c>
      <c r="AK86" s="63">
        <v>0.0</v>
      </c>
      <c r="AL86" s="63">
        <v>1.0</v>
      </c>
      <c r="AM86" s="63">
        <v>2.0</v>
      </c>
      <c r="AN86" s="63">
        <v>2.0</v>
      </c>
      <c r="AO86" s="63">
        <v>8.0</v>
      </c>
      <c r="AP86" s="63">
        <v>1.0</v>
      </c>
      <c r="AQ86" s="63">
        <v>0.0</v>
      </c>
      <c r="AR86" s="340"/>
      <c r="AS86" s="340"/>
    </row>
    <row r="87">
      <c r="U87" s="46">
        <f>COUNT($A$2:$A$82)</f>
        <v>81</v>
      </c>
      <c r="Y87" s="46">
        <f>COUNT($A$2:$A$82)</f>
        <v>81</v>
      </c>
      <c r="Z87" s="46"/>
      <c r="AA87" s="46">
        <f>COUNT($A$2:$A$82)</f>
        <v>81</v>
      </c>
      <c r="AB87" s="46"/>
      <c r="AC87" s="46">
        <f>COUNT($A$2:$A$82)</f>
        <v>81</v>
      </c>
      <c r="AD87" s="46"/>
      <c r="AE87" s="372">
        <f t="shared" ref="AE87:AI87" si="6">COUNT($A$2:$A$82)</f>
        <v>81</v>
      </c>
      <c r="AF87" s="372">
        <f t="shared" si="6"/>
        <v>81</v>
      </c>
      <c r="AG87" s="372">
        <f t="shared" si="6"/>
        <v>81</v>
      </c>
      <c r="AH87" s="372">
        <f t="shared" si="6"/>
        <v>81</v>
      </c>
      <c r="AI87" s="372">
        <f t="shared" si="6"/>
        <v>81</v>
      </c>
      <c r="AJ87" s="372"/>
      <c r="AK87" s="372"/>
      <c r="AL87" s="372"/>
      <c r="AM87" s="372"/>
      <c r="AN87" s="372"/>
      <c r="AO87" s="372"/>
      <c r="AP87" s="372"/>
      <c r="AQ87" s="372"/>
      <c r="AR87" s="372"/>
      <c r="AS87" s="372"/>
    </row>
    <row r="88">
      <c r="U88" s="374">
        <f>U86/U87</f>
        <v>0</v>
      </c>
      <c r="Y88" s="374">
        <f>Y86/Y87</f>
        <v>0.0987654321</v>
      </c>
      <c r="Z88" s="46"/>
      <c r="AA88" s="374">
        <f>AA86/AA87</f>
        <v>0.07407407407</v>
      </c>
      <c r="AB88" s="46"/>
      <c r="AC88" s="374">
        <f>AC86/AC87</f>
        <v>0.1604938272</v>
      </c>
      <c r="AD88" s="46"/>
      <c r="AE88" s="703">
        <f t="shared" ref="AE88:AI88" si="7">AE86/AE87</f>
        <v>0.2222222222</v>
      </c>
      <c r="AF88" s="703">
        <f t="shared" si="7"/>
        <v>0.1481481481</v>
      </c>
      <c r="AG88" s="704">
        <f t="shared" si="7"/>
        <v>0.06172839506</v>
      </c>
      <c r="AH88" s="704">
        <f t="shared" si="7"/>
        <v>0</v>
      </c>
      <c r="AI88" s="705">
        <f t="shared" si="7"/>
        <v>0.02469135802</v>
      </c>
      <c r="AJ88" s="682"/>
      <c r="AK88" s="682"/>
      <c r="AL88" s="682"/>
      <c r="AM88" s="682"/>
      <c r="AN88" s="682"/>
      <c r="AO88" s="682"/>
      <c r="AP88" s="682"/>
      <c r="AQ88" s="682"/>
      <c r="AR88" s="682"/>
      <c r="AS88" s="682"/>
    </row>
    <row r="89">
      <c r="Y89" s="46"/>
      <c r="Z89" s="46"/>
      <c r="AA89" s="46"/>
      <c r="AB89" s="46"/>
      <c r="AC89" s="46"/>
      <c r="AD89" s="46"/>
      <c r="AE89" s="372" t="s">
        <v>1401</v>
      </c>
      <c r="AF89" s="372" t="s">
        <v>1402</v>
      </c>
      <c r="AG89" s="372" t="s">
        <v>1403</v>
      </c>
      <c r="AH89" s="378" t="s">
        <v>1404</v>
      </c>
      <c r="AI89" s="378" t="s">
        <v>1376</v>
      </c>
      <c r="AJ89" s="378"/>
      <c r="AK89" s="378"/>
      <c r="AL89" s="378"/>
      <c r="AM89" s="378"/>
      <c r="AN89" s="378"/>
      <c r="AO89" s="378"/>
      <c r="AP89" s="378"/>
      <c r="AQ89" s="378"/>
      <c r="AR89" s="378"/>
      <c r="AS89" s="378"/>
    </row>
    <row r="90">
      <c r="AJ90" s="265"/>
      <c r="AK90" s="265"/>
      <c r="AL90" s="265"/>
      <c r="AM90" s="265"/>
      <c r="AN90" s="265"/>
      <c r="AO90" s="265"/>
      <c r="AP90" s="265"/>
      <c r="AQ90" s="265"/>
      <c r="AR90" s="265"/>
      <c r="AS90" s="265"/>
    </row>
    <row r="91">
      <c r="I91" s="331" t="s">
        <v>1497</v>
      </c>
      <c r="J91" s="345" t="s">
        <v>389</v>
      </c>
      <c r="K91" s="346" t="s">
        <v>420</v>
      </c>
      <c r="L91" s="347" t="s">
        <v>358</v>
      </c>
      <c r="M91" s="348" t="s">
        <v>363</v>
      </c>
      <c r="N91" s="349" t="s">
        <v>413</v>
      </c>
      <c r="O91" s="350" t="s">
        <v>357</v>
      </c>
      <c r="P91" s="351" t="s">
        <v>380</v>
      </c>
      <c r="Q91" s="352" t="s">
        <v>387</v>
      </c>
      <c r="R91" s="642" t="s">
        <v>1427</v>
      </c>
      <c r="S91" s="643" t="s">
        <v>1190</v>
      </c>
      <c r="T91" s="644" t="s">
        <v>1214</v>
      </c>
      <c r="U91" s="645" t="s">
        <v>1120</v>
      </c>
      <c r="V91" s="646" t="s">
        <v>1188</v>
      </c>
      <c r="W91" s="647" t="s">
        <v>1428</v>
      </c>
      <c r="X91" s="648" t="s">
        <v>1429</v>
      </c>
      <c r="Y91" s="649" t="s">
        <v>1178</v>
      </c>
      <c r="Z91" s="650" t="s">
        <v>1145</v>
      </c>
      <c r="AA91" s="651" t="s">
        <v>1301</v>
      </c>
      <c r="AB91" s="652" t="s">
        <v>1130</v>
      </c>
      <c r="AC91" s="653" t="s">
        <v>1314</v>
      </c>
      <c r="AD91" s="654" t="s">
        <v>1431</v>
      </c>
      <c r="AE91" s="655" t="s">
        <v>1095</v>
      </c>
      <c r="AF91" s="656" t="s">
        <v>1103</v>
      </c>
      <c r="AG91" s="657" t="s">
        <v>1090</v>
      </c>
      <c r="AH91" s="658" t="s">
        <v>1296</v>
      </c>
      <c r="AI91" s="659" t="s">
        <v>1270</v>
      </c>
      <c r="AJ91" s="660" t="s">
        <v>1115</v>
      </c>
      <c r="AK91" s="661" t="s">
        <v>1089</v>
      </c>
      <c r="AL91" s="662" t="s">
        <v>1182</v>
      </c>
      <c r="AM91" s="663" t="s">
        <v>1298</v>
      </c>
      <c r="AN91" s="664" t="s">
        <v>1163</v>
      </c>
      <c r="AO91" s="665" t="s">
        <v>1223</v>
      </c>
      <c r="AP91" s="666" t="s">
        <v>1441</v>
      </c>
      <c r="AQ91" s="667" t="s">
        <v>1129</v>
      </c>
      <c r="AR91" s="668" t="s">
        <v>1447</v>
      </c>
      <c r="AS91" s="669" t="s">
        <v>1454</v>
      </c>
    </row>
    <row r="92">
      <c r="I92" s="468">
        <f>correl(J92:Q92,AJ83:AQ83)</f>
        <v>0.9947562186</v>
      </c>
      <c r="J92" s="80">
        <f t="shared" ref="J92:Q92" si="8">countif(AJ2:AJ82,"&gt;0")</f>
        <v>3</v>
      </c>
      <c r="K92" s="80">
        <f t="shared" si="8"/>
        <v>0</v>
      </c>
      <c r="L92" s="80">
        <f t="shared" si="8"/>
        <v>2</v>
      </c>
      <c r="M92" s="80">
        <f t="shared" si="8"/>
        <v>3</v>
      </c>
      <c r="N92" s="80">
        <f t="shared" si="8"/>
        <v>2</v>
      </c>
      <c r="O92" s="80">
        <f t="shared" si="8"/>
        <v>9</v>
      </c>
      <c r="P92" s="80">
        <f t="shared" si="8"/>
        <v>1</v>
      </c>
      <c r="Q92" s="80">
        <f t="shared" si="8"/>
        <v>0</v>
      </c>
      <c r="R92" s="80">
        <f t="shared" ref="R92:X92" si="9">countifs($AJ$2:$AJ$82,"&gt;0",AK2:AK82,"&gt;0")</f>
        <v>0</v>
      </c>
      <c r="S92" s="80">
        <f t="shared" si="9"/>
        <v>0</v>
      </c>
      <c r="T92" s="80">
        <f t="shared" si="9"/>
        <v>0</v>
      </c>
      <c r="U92" s="80">
        <f t="shared" si="9"/>
        <v>0</v>
      </c>
      <c r="V92" s="670">
        <f t="shared" si="9"/>
        <v>1</v>
      </c>
      <c r="W92" s="80">
        <f t="shared" si="9"/>
        <v>0</v>
      </c>
      <c r="X92" s="80">
        <f t="shared" si="9"/>
        <v>0</v>
      </c>
      <c r="Y92" s="80">
        <f t="shared" ref="Y92:AD92" si="10">countifs($AK$2:$AK$82,"&gt;0",AL2:AL82,"&gt;0")</f>
        <v>0</v>
      </c>
      <c r="Z92" s="80">
        <f t="shared" si="10"/>
        <v>0</v>
      </c>
      <c r="AA92" s="80">
        <f t="shared" si="10"/>
        <v>0</v>
      </c>
      <c r="AB92" s="80">
        <f t="shared" si="10"/>
        <v>0</v>
      </c>
      <c r="AC92" s="80">
        <f t="shared" si="10"/>
        <v>0</v>
      </c>
      <c r="AD92" s="80">
        <f t="shared" si="10"/>
        <v>0</v>
      </c>
      <c r="AE92" s="670">
        <f t="shared" ref="AE92:AI92" si="11">countifs($AL$2:$AL$82,"&gt;0",AM2:AM82,"&gt;0")</f>
        <v>1</v>
      </c>
      <c r="AF92" s="80">
        <f t="shared" si="11"/>
        <v>0</v>
      </c>
      <c r="AG92" s="80">
        <f t="shared" si="11"/>
        <v>0</v>
      </c>
      <c r="AH92" s="80">
        <f t="shared" si="11"/>
        <v>0</v>
      </c>
      <c r="AI92" s="80">
        <f t="shared" si="11"/>
        <v>0</v>
      </c>
      <c r="AJ92" s="80">
        <f t="shared" ref="AJ92:AM92" si="12">countifs($AM$2:$AM$82,"&gt;0",AN2:AN82,"&gt;0")</f>
        <v>0</v>
      </c>
      <c r="AK92" s="80">
        <f t="shared" si="12"/>
        <v>0</v>
      </c>
      <c r="AL92" s="80">
        <f t="shared" si="12"/>
        <v>0</v>
      </c>
      <c r="AM92" s="80">
        <f t="shared" si="12"/>
        <v>0</v>
      </c>
      <c r="AN92" s="80">
        <f t="shared" ref="AN92:AP92" si="13">countifs($AN$2:$AN$82,"&gt;0",AO2:AO82,"&gt;0")</f>
        <v>0</v>
      </c>
      <c r="AO92" s="80">
        <f t="shared" si="13"/>
        <v>0</v>
      </c>
      <c r="AP92" s="80">
        <f t="shared" si="13"/>
        <v>0</v>
      </c>
      <c r="AQ92" s="80">
        <f t="shared" ref="AQ92:AR92" si="14">countifs($AO$2:$AO$82,"&gt;0",AP2:AP82,"&gt;0")</f>
        <v>0</v>
      </c>
      <c r="AR92" s="80">
        <f t="shared" si="14"/>
        <v>0</v>
      </c>
      <c r="AS92" s="80">
        <f>countifs($AP$2:$AP$82,"&gt;0",AQ2:AQ82,"&gt;0")</f>
        <v>0</v>
      </c>
    </row>
    <row r="93">
      <c r="J93" s="76">
        <f t="shared" ref="J93:Q93" si="15">J92/sum($J$92:$Q$92)</f>
        <v>0.15</v>
      </c>
      <c r="K93" s="76">
        <f t="shared" si="15"/>
        <v>0</v>
      </c>
      <c r="L93" s="76">
        <f t="shared" si="15"/>
        <v>0.1</v>
      </c>
      <c r="M93" s="76">
        <f t="shared" si="15"/>
        <v>0.15</v>
      </c>
      <c r="N93" s="76">
        <f t="shared" si="15"/>
        <v>0.1</v>
      </c>
      <c r="O93" s="76">
        <f t="shared" si="15"/>
        <v>0.45</v>
      </c>
      <c r="P93" s="76">
        <f t="shared" si="15"/>
        <v>0.05</v>
      </c>
      <c r="Q93" s="76">
        <f t="shared" si="15"/>
        <v>0</v>
      </c>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7.29" defaultRowHeight="15.0"/>
  <cols>
    <col customWidth="1" min="1" max="1" width="8.43"/>
    <col customWidth="1" min="2" max="2" width="12.14"/>
    <col customWidth="1" min="3" max="3" width="21.29"/>
    <col customWidth="1" min="4" max="4" width="17.43"/>
    <col customWidth="1" min="5" max="5" width="16.86"/>
    <col customWidth="1" min="6" max="6" width="9.86"/>
    <col customWidth="1" min="7" max="7" width="7.0"/>
    <col customWidth="1" min="8" max="8" width="18.14"/>
    <col customWidth="1" min="9" max="9" width="8.0"/>
    <col customWidth="1" min="10" max="10" width="13.0"/>
    <col customWidth="1" min="11" max="11" width="4.86"/>
    <col customWidth="1" min="12" max="12" width="6.43"/>
    <col customWidth="1" min="13" max="13" width="8.29"/>
    <col customWidth="1" min="14" max="14" width="6.71"/>
    <col customWidth="1" min="15" max="15" width="28.0"/>
    <col customWidth="1" min="16" max="16" width="19.43"/>
    <col customWidth="1" min="17" max="17" width="16.0"/>
    <col customWidth="1" min="18" max="18" width="22.71"/>
    <col customWidth="1" min="19" max="19" width="25.86"/>
    <col customWidth="1" min="20" max="20" width="25.71"/>
    <col customWidth="1" min="21" max="21" width="14.14"/>
    <col customWidth="1" min="22" max="22" width="16.0"/>
    <col customWidth="1" min="23" max="23" width="23.43"/>
    <col customWidth="1" min="24" max="24" width="18.43"/>
    <col customWidth="1" min="25" max="25" width="14.57"/>
    <col customWidth="1" min="26" max="26" width="9.71"/>
    <col customWidth="1" min="27" max="27" width="14.86"/>
    <col customWidth="1" min="28" max="28" width="9.86"/>
    <col customWidth="1" min="29" max="29" width="12.0"/>
    <col customWidth="1" min="30" max="30" width="9.71"/>
    <col customWidth="1" min="31" max="31" width="8.71"/>
    <col customWidth="1" min="32" max="34" width="9.43"/>
    <col customWidth="1" min="35" max="36" width="8.71"/>
    <col customWidth="1" min="37" max="37" width="6.14"/>
    <col customWidth="1" min="38" max="38" width="6.57"/>
    <col customWidth="1" min="39" max="40" width="8.71"/>
    <col customWidth="1" min="41" max="41" width="6.57"/>
    <col customWidth="1" min="42" max="43" width="8.71"/>
    <col customWidth="1" min="44" max="45" width="9.14"/>
    <col customWidth="1" min="46" max="46" width="11.29"/>
  </cols>
  <sheetData>
    <row r="1">
      <c r="A1" s="310" t="s">
        <v>1355</v>
      </c>
      <c r="B1" s="310" t="s">
        <v>1356</v>
      </c>
      <c r="C1" s="309" t="s">
        <v>1246</v>
      </c>
      <c r="D1" s="310" t="s">
        <v>331</v>
      </c>
      <c r="E1" s="338" t="s">
        <v>1357</v>
      </c>
      <c r="F1" s="310" t="s">
        <v>1</v>
      </c>
      <c r="G1" s="310" t="s">
        <v>4</v>
      </c>
      <c r="H1" s="310" t="s">
        <v>1358</v>
      </c>
      <c r="I1" s="310" t="s">
        <v>1359</v>
      </c>
      <c r="J1" s="310" t="s">
        <v>336</v>
      </c>
      <c r="K1" s="310" t="s">
        <v>337</v>
      </c>
      <c r="L1" s="311" t="s">
        <v>338</v>
      </c>
      <c r="M1" s="311" t="s">
        <v>332</v>
      </c>
      <c r="N1" s="311" t="s">
        <v>1360</v>
      </c>
      <c r="O1" s="310" t="s">
        <v>339</v>
      </c>
      <c r="P1" s="340" t="s">
        <v>1361</v>
      </c>
      <c r="Q1" s="340" t="s">
        <v>1362</v>
      </c>
      <c r="R1" s="339" t="s">
        <v>1363</v>
      </c>
      <c r="S1" s="339" t="s">
        <v>1627</v>
      </c>
      <c r="T1" s="339" t="s">
        <v>1628</v>
      </c>
      <c r="U1" s="340" t="s">
        <v>1364</v>
      </c>
      <c r="V1" s="340" t="s">
        <v>1668</v>
      </c>
      <c r="W1" s="340" t="s">
        <v>1366</v>
      </c>
      <c r="X1" s="340" t="s">
        <v>1367</v>
      </c>
      <c r="Y1" s="671" t="s">
        <v>1368</v>
      </c>
      <c r="Z1" s="671" t="s">
        <v>1369</v>
      </c>
      <c r="AA1" s="672" t="s">
        <v>1370</v>
      </c>
      <c r="AB1" s="672" t="s">
        <v>1371</v>
      </c>
      <c r="AC1" s="343" t="s">
        <v>1372</v>
      </c>
      <c r="AD1" s="344" t="s">
        <v>1373</v>
      </c>
      <c r="AE1" s="313" t="s">
        <v>1374</v>
      </c>
      <c r="AF1" s="706"/>
      <c r="AG1" s="706"/>
      <c r="AH1" s="706"/>
      <c r="AI1" s="706"/>
      <c r="AJ1" s="706"/>
      <c r="AK1" s="345" t="s">
        <v>389</v>
      </c>
      <c r="AL1" s="346" t="s">
        <v>420</v>
      </c>
      <c r="AM1" s="347" t="s">
        <v>358</v>
      </c>
      <c r="AN1" s="348" t="s">
        <v>363</v>
      </c>
      <c r="AO1" s="349" t="s">
        <v>413</v>
      </c>
      <c r="AP1" s="350" t="s">
        <v>357</v>
      </c>
      <c r="AQ1" s="351" t="s">
        <v>380</v>
      </c>
      <c r="AR1" s="352" t="s">
        <v>387</v>
      </c>
      <c r="AS1" s="353" t="s">
        <v>1375</v>
      </c>
      <c r="AT1" s="353" t="s">
        <v>1376</v>
      </c>
    </row>
    <row r="2">
      <c r="A2" s="273">
        <v>1.0</v>
      </c>
      <c r="B2" s="683" t="s">
        <v>171</v>
      </c>
      <c r="C2" s="702" t="s">
        <v>171</v>
      </c>
      <c r="D2" s="692" t="s">
        <v>658</v>
      </c>
      <c r="E2" s="354">
        <v>40925.0</v>
      </c>
      <c r="F2" s="157" t="s">
        <v>354</v>
      </c>
      <c r="G2" s="157" t="s">
        <v>354</v>
      </c>
      <c r="H2" s="157" t="s">
        <v>354</v>
      </c>
      <c r="I2" s="157" t="s">
        <v>354</v>
      </c>
      <c r="J2" s="157" t="s">
        <v>354</v>
      </c>
      <c r="K2" s="158">
        <v>4.0</v>
      </c>
      <c r="L2" s="158" t="s">
        <v>663</v>
      </c>
      <c r="M2" s="157" t="s">
        <v>354</v>
      </c>
      <c r="N2" s="157" t="s">
        <v>354</v>
      </c>
      <c r="O2" s="158" t="s">
        <v>664</v>
      </c>
      <c r="P2" s="157">
        <v>0.0</v>
      </c>
      <c r="Q2" s="157">
        <v>0.0</v>
      </c>
      <c r="R2" s="551" t="s">
        <v>354</v>
      </c>
      <c r="S2" s="551" t="s">
        <v>354</v>
      </c>
      <c r="T2" s="551" t="s">
        <v>354</v>
      </c>
      <c r="U2" s="157">
        <v>0.0</v>
      </c>
      <c r="V2" s="157">
        <v>0.0</v>
      </c>
      <c r="W2" s="157" t="s">
        <v>354</v>
      </c>
      <c r="X2" s="157" t="s">
        <v>354</v>
      </c>
      <c r="Y2" s="694" t="s">
        <v>361</v>
      </c>
      <c r="Z2" s="694" t="s">
        <v>361</v>
      </c>
      <c r="AA2" s="675" t="s">
        <v>356</v>
      </c>
      <c r="AB2" s="675" t="s">
        <v>354</v>
      </c>
      <c r="AC2" s="144" t="s">
        <v>365</v>
      </c>
      <c r="AD2" s="162" t="s">
        <v>363</v>
      </c>
      <c r="AE2" s="367">
        <f t="shared" ref="AE2:AE91" si="1">sum(COUNTIF(Y2:AD2,"POS"),countif(P2,"&gt;0"))</f>
        <v>1</v>
      </c>
      <c r="AF2" s="157"/>
      <c r="AG2" s="157"/>
      <c r="AH2" s="157"/>
      <c r="AI2" s="157"/>
      <c r="AJ2" s="157"/>
      <c r="AK2" s="157">
        <v>0.0</v>
      </c>
      <c r="AL2" s="157">
        <v>0.0</v>
      </c>
      <c r="AM2" s="157">
        <v>0.0</v>
      </c>
      <c r="AN2" s="157">
        <v>1.0</v>
      </c>
      <c r="AO2" s="157">
        <v>0.0</v>
      </c>
      <c r="AP2" s="157">
        <v>0.0</v>
      </c>
      <c r="AQ2" s="157">
        <v>0.0</v>
      </c>
      <c r="AR2" s="157">
        <v>0.0</v>
      </c>
      <c r="AS2" s="385">
        <f t="shared" ref="AS2:AS91" si="2">sum(AK2:AR2)</f>
        <v>1</v>
      </c>
      <c r="AT2" s="385">
        <f t="shared" ref="AT2:AT89" si="3">countif(AK2:AR2,"&gt;0")</f>
        <v>1</v>
      </c>
    </row>
    <row r="3">
      <c r="A3" s="273">
        <v>2.0</v>
      </c>
      <c r="B3" s="693" t="s">
        <v>1755</v>
      </c>
      <c r="C3" s="78" t="s">
        <v>1423</v>
      </c>
      <c r="D3" s="692" t="s">
        <v>1423</v>
      </c>
      <c r="E3" s="354">
        <v>40925.0</v>
      </c>
      <c r="F3" s="157" t="s">
        <v>354</v>
      </c>
      <c r="G3" s="157" t="s">
        <v>354</v>
      </c>
      <c r="H3" s="157" t="s">
        <v>354</v>
      </c>
      <c r="I3" s="157" t="s">
        <v>354</v>
      </c>
      <c r="J3" s="157" t="s">
        <v>354</v>
      </c>
      <c r="K3" s="158">
        <v>1.0</v>
      </c>
      <c r="L3" s="158" t="s">
        <v>841</v>
      </c>
      <c r="M3" s="157" t="s">
        <v>354</v>
      </c>
      <c r="N3" s="157" t="s">
        <v>354</v>
      </c>
      <c r="O3" s="158" t="s">
        <v>455</v>
      </c>
      <c r="P3" s="157">
        <v>0.0</v>
      </c>
      <c r="Q3" s="157">
        <v>0.0</v>
      </c>
      <c r="R3" s="551" t="s">
        <v>354</v>
      </c>
      <c r="S3" s="551" t="s">
        <v>354</v>
      </c>
      <c r="T3" s="551" t="s">
        <v>354</v>
      </c>
      <c r="U3" s="157">
        <v>0.0</v>
      </c>
      <c r="V3" s="157">
        <v>0.0</v>
      </c>
      <c r="W3" s="157" t="s">
        <v>354</v>
      </c>
      <c r="X3" s="157" t="s">
        <v>354</v>
      </c>
      <c r="Y3" s="681" t="s">
        <v>365</v>
      </c>
      <c r="Z3" s="315" t="s">
        <v>420</v>
      </c>
      <c r="AA3" s="677" t="s">
        <v>365</v>
      </c>
      <c r="AB3" s="315" t="s">
        <v>420</v>
      </c>
      <c r="AC3" s="144" t="s">
        <v>365</v>
      </c>
      <c r="AD3" s="315" t="s">
        <v>420</v>
      </c>
      <c r="AE3" s="357">
        <f t="shared" si="1"/>
        <v>3</v>
      </c>
      <c r="AF3" s="157"/>
      <c r="AG3" s="157"/>
      <c r="AH3" s="157"/>
      <c r="AI3" s="157"/>
      <c r="AJ3" s="157"/>
      <c r="AK3" s="157">
        <v>0.0</v>
      </c>
      <c r="AL3" s="157">
        <v>3.0</v>
      </c>
      <c r="AM3" s="157">
        <v>0.0</v>
      </c>
      <c r="AN3" s="157">
        <v>0.0</v>
      </c>
      <c r="AO3" s="157">
        <v>0.0</v>
      </c>
      <c r="AP3" s="157">
        <v>0.0</v>
      </c>
      <c r="AQ3" s="157">
        <v>0.0</v>
      </c>
      <c r="AR3" s="157">
        <v>0.0</v>
      </c>
      <c r="AS3" s="388">
        <f t="shared" si="2"/>
        <v>3</v>
      </c>
      <c r="AT3" s="388">
        <f t="shared" si="3"/>
        <v>1</v>
      </c>
    </row>
    <row r="4">
      <c r="A4" s="273">
        <v>3.0</v>
      </c>
      <c r="B4" s="683" t="s">
        <v>244</v>
      </c>
      <c r="C4" s="684" t="s">
        <v>244</v>
      </c>
      <c r="D4" s="692" t="s">
        <v>856</v>
      </c>
      <c r="E4" s="354">
        <v>40925.0</v>
      </c>
      <c r="F4" s="157" t="s">
        <v>354</v>
      </c>
      <c r="G4" s="157" t="s">
        <v>354</v>
      </c>
      <c r="H4" s="157" t="s">
        <v>354</v>
      </c>
      <c r="I4" s="157" t="s">
        <v>354</v>
      </c>
      <c r="J4" s="157" t="s">
        <v>354</v>
      </c>
      <c r="K4" s="158">
        <v>3.0</v>
      </c>
      <c r="L4" s="158" t="s">
        <v>862</v>
      </c>
      <c r="M4" s="157" t="s">
        <v>354</v>
      </c>
      <c r="N4" s="157" t="s">
        <v>354</v>
      </c>
      <c r="O4" s="158" t="s">
        <v>600</v>
      </c>
      <c r="P4" s="157">
        <v>0.0</v>
      </c>
      <c r="Q4" s="157">
        <v>0.0</v>
      </c>
      <c r="R4" s="551" t="s">
        <v>354</v>
      </c>
      <c r="S4" s="551" t="s">
        <v>354</v>
      </c>
      <c r="T4" s="551" t="s">
        <v>354</v>
      </c>
      <c r="U4" s="157">
        <v>0.0</v>
      </c>
      <c r="V4" s="157">
        <v>0.0</v>
      </c>
      <c r="W4" s="157" t="s">
        <v>354</v>
      </c>
      <c r="X4" s="157" t="s">
        <v>354</v>
      </c>
      <c r="Y4" s="707" t="s">
        <v>356</v>
      </c>
      <c r="Z4" s="707" t="s">
        <v>354</v>
      </c>
      <c r="AA4" s="708" t="s">
        <v>356</v>
      </c>
      <c r="AB4" s="708" t="s">
        <v>354</v>
      </c>
      <c r="AC4" s="139" t="s">
        <v>356</v>
      </c>
      <c r="AD4" s="139" t="s">
        <v>354</v>
      </c>
      <c r="AE4" s="46">
        <f t="shared" si="1"/>
        <v>0</v>
      </c>
      <c r="AF4" s="157"/>
      <c r="AG4" s="157"/>
      <c r="AH4" s="157"/>
      <c r="AI4" s="157"/>
      <c r="AJ4" s="157"/>
      <c r="AK4" s="157">
        <v>0.0</v>
      </c>
      <c r="AL4" s="157">
        <v>0.0</v>
      </c>
      <c r="AM4" s="157">
        <v>0.0</v>
      </c>
      <c r="AN4" s="157">
        <v>0.0</v>
      </c>
      <c r="AO4" s="157">
        <v>0.0</v>
      </c>
      <c r="AP4" s="157">
        <v>0.0</v>
      </c>
      <c r="AQ4" s="157">
        <v>0.0</v>
      </c>
      <c r="AR4" s="157">
        <v>0.0</v>
      </c>
      <c r="AS4" s="265">
        <f t="shared" si="2"/>
        <v>0</v>
      </c>
      <c r="AT4" s="265">
        <f t="shared" si="3"/>
        <v>0</v>
      </c>
    </row>
    <row r="5">
      <c r="A5" s="273">
        <v>4.0</v>
      </c>
      <c r="B5" s="686" t="s">
        <v>1756</v>
      </c>
      <c r="C5" s="271" t="s">
        <v>101</v>
      </c>
      <c r="D5" s="687" t="s">
        <v>518</v>
      </c>
      <c r="E5" s="354">
        <v>40925.0</v>
      </c>
      <c r="F5" s="157" t="s">
        <v>354</v>
      </c>
      <c r="G5" s="157" t="s">
        <v>354</v>
      </c>
      <c r="H5" s="157" t="s">
        <v>354</v>
      </c>
      <c r="I5" s="157" t="s">
        <v>354</v>
      </c>
      <c r="J5" s="157" t="s">
        <v>354</v>
      </c>
      <c r="K5" s="184">
        <v>0.0</v>
      </c>
      <c r="L5" s="184" t="s">
        <v>354</v>
      </c>
      <c r="M5" s="157" t="s">
        <v>354</v>
      </c>
      <c r="N5" s="157" t="s">
        <v>354</v>
      </c>
      <c r="O5" s="184" t="s">
        <v>371</v>
      </c>
      <c r="P5" s="157">
        <v>0.0</v>
      </c>
      <c r="Q5" s="157">
        <v>0.0</v>
      </c>
      <c r="R5" s="551" t="s">
        <v>354</v>
      </c>
      <c r="S5" s="551" t="s">
        <v>354</v>
      </c>
      <c r="T5" s="551" t="s">
        <v>354</v>
      </c>
      <c r="U5" s="157">
        <v>0.0</v>
      </c>
      <c r="V5" s="157">
        <v>0.0</v>
      </c>
      <c r="W5" s="157" t="s">
        <v>354</v>
      </c>
      <c r="X5" s="157" t="s">
        <v>354</v>
      </c>
      <c r="Y5" s="681" t="s">
        <v>365</v>
      </c>
      <c r="Z5" s="315" t="s">
        <v>420</v>
      </c>
      <c r="AA5" s="708" t="s">
        <v>356</v>
      </c>
      <c r="AB5" s="708" t="s">
        <v>354</v>
      </c>
      <c r="AC5" s="144" t="s">
        <v>365</v>
      </c>
      <c r="AD5" s="40" t="s">
        <v>357</v>
      </c>
      <c r="AE5" s="357">
        <f t="shared" si="1"/>
        <v>2</v>
      </c>
      <c r="AF5" s="157"/>
      <c r="AG5" s="157"/>
      <c r="AH5" s="157"/>
      <c r="AI5" s="157"/>
      <c r="AJ5" s="157"/>
      <c r="AK5" s="157">
        <v>0.0</v>
      </c>
      <c r="AL5" s="157">
        <v>1.0</v>
      </c>
      <c r="AM5" s="157">
        <v>0.0</v>
      </c>
      <c r="AN5" s="157">
        <v>0.0</v>
      </c>
      <c r="AO5" s="157">
        <v>0.0</v>
      </c>
      <c r="AP5" s="157">
        <v>1.0</v>
      </c>
      <c r="AQ5" s="157">
        <v>0.0</v>
      </c>
      <c r="AR5" s="157">
        <v>0.0</v>
      </c>
      <c r="AS5" s="388">
        <f t="shared" si="2"/>
        <v>2</v>
      </c>
      <c r="AT5" s="388">
        <f t="shared" si="3"/>
        <v>2</v>
      </c>
    </row>
    <row r="6">
      <c r="A6" s="273">
        <v>5.0</v>
      </c>
      <c r="B6" s="683" t="s">
        <v>109</v>
      </c>
      <c r="C6" s="684" t="s">
        <v>109</v>
      </c>
      <c r="D6" s="685" t="s">
        <v>536</v>
      </c>
      <c r="E6" s="354">
        <v>40925.0</v>
      </c>
      <c r="F6" s="157" t="s">
        <v>354</v>
      </c>
      <c r="G6" s="157" t="s">
        <v>354</v>
      </c>
      <c r="H6" s="157" t="s">
        <v>354</v>
      </c>
      <c r="I6" s="157" t="s">
        <v>354</v>
      </c>
      <c r="J6" s="157" t="s">
        <v>354</v>
      </c>
      <c r="K6" s="158">
        <v>1.0</v>
      </c>
      <c r="L6" s="158" t="s">
        <v>538</v>
      </c>
      <c r="M6" s="157" t="s">
        <v>354</v>
      </c>
      <c r="N6" s="157" t="s">
        <v>354</v>
      </c>
      <c r="O6" s="158" t="s">
        <v>455</v>
      </c>
      <c r="P6" s="157">
        <v>0.0</v>
      </c>
      <c r="Q6" s="157">
        <v>0.0</v>
      </c>
      <c r="R6" s="551" t="s">
        <v>354</v>
      </c>
      <c r="S6" s="551" t="s">
        <v>354</v>
      </c>
      <c r="T6" s="551" t="s">
        <v>354</v>
      </c>
      <c r="U6" s="157">
        <v>0.0</v>
      </c>
      <c r="V6" s="157">
        <v>0.0</v>
      </c>
      <c r="W6" s="157" t="s">
        <v>354</v>
      </c>
      <c r="X6" s="157" t="s">
        <v>354</v>
      </c>
      <c r="Y6" s="694" t="s">
        <v>361</v>
      </c>
      <c r="Z6" s="694" t="s">
        <v>361</v>
      </c>
      <c r="AA6" s="677" t="s">
        <v>365</v>
      </c>
      <c r="AB6" s="90" t="s">
        <v>413</v>
      </c>
      <c r="AC6" s="139" t="s">
        <v>356</v>
      </c>
      <c r="AD6" s="139" t="s">
        <v>354</v>
      </c>
      <c r="AE6" s="367">
        <f t="shared" si="1"/>
        <v>1</v>
      </c>
      <c r="AF6" s="157"/>
      <c r="AG6" s="157"/>
      <c r="AH6" s="157"/>
      <c r="AI6" s="157"/>
      <c r="AJ6" s="157"/>
      <c r="AK6" s="157">
        <v>0.0</v>
      </c>
      <c r="AL6" s="157">
        <v>0.0</v>
      </c>
      <c r="AM6" s="157">
        <v>0.0</v>
      </c>
      <c r="AN6" s="157">
        <v>0.0</v>
      </c>
      <c r="AO6" s="157">
        <v>1.0</v>
      </c>
      <c r="AP6" s="157">
        <v>0.0</v>
      </c>
      <c r="AQ6" s="157">
        <v>0.0</v>
      </c>
      <c r="AR6" s="157">
        <v>0.0</v>
      </c>
      <c r="AS6" s="385">
        <f t="shared" si="2"/>
        <v>1</v>
      </c>
      <c r="AT6" s="385">
        <f t="shared" si="3"/>
        <v>1</v>
      </c>
    </row>
    <row r="7">
      <c r="A7" s="273">
        <v>6.0</v>
      </c>
      <c r="B7" s="695" t="s">
        <v>1757</v>
      </c>
      <c r="C7" s="61" t="s">
        <v>799</v>
      </c>
      <c r="D7" s="697" t="s">
        <v>797</v>
      </c>
      <c r="E7" s="354">
        <v>40925.0</v>
      </c>
      <c r="F7" s="157" t="s">
        <v>354</v>
      </c>
      <c r="G7" s="157" t="s">
        <v>354</v>
      </c>
      <c r="H7" s="157" t="s">
        <v>354</v>
      </c>
      <c r="I7" s="157" t="s">
        <v>354</v>
      </c>
      <c r="J7" s="157" t="s">
        <v>354</v>
      </c>
      <c r="K7" s="179">
        <v>1.0</v>
      </c>
      <c r="L7" s="179" t="s">
        <v>354</v>
      </c>
      <c r="M7" s="157" t="s">
        <v>354</v>
      </c>
      <c r="N7" s="157" t="s">
        <v>354</v>
      </c>
      <c r="O7" s="179" t="s">
        <v>485</v>
      </c>
      <c r="P7" s="157">
        <v>0.0</v>
      </c>
      <c r="Q7" s="157">
        <v>0.0</v>
      </c>
      <c r="R7" s="551" t="s">
        <v>354</v>
      </c>
      <c r="S7" s="551" t="s">
        <v>354</v>
      </c>
      <c r="T7" s="551" t="s">
        <v>354</v>
      </c>
      <c r="U7" s="157">
        <v>0.0</v>
      </c>
      <c r="V7" s="157">
        <v>0.0</v>
      </c>
      <c r="W7" s="157" t="s">
        <v>354</v>
      </c>
      <c r="X7" s="157" t="s">
        <v>354</v>
      </c>
      <c r="Y7" s="707" t="s">
        <v>356</v>
      </c>
      <c r="Z7" s="707" t="s">
        <v>354</v>
      </c>
      <c r="AA7" s="708" t="s">
        <v>356</v>
      </c>
      <c r="AB7" s="708" t="s">
        <v>354</v>
      </c>
      <c r="AC7" s="139" t="s">
        <v>356</v>
      </c>
      <c r="AD7" s="139" t="s">
        <v>354</v>
      </c>
      <c r="AE7" s="46">
        <f t="shared" si="1"/>
        <v>0</v>
      </c>
      <c r="AF7" s="157"/>
      <c r="AG7" s="157"/>
      <c r="AH7" s="157"/>
      <c r="AI7" s="157"/>
      <c r="AJ7" s="157"/>
      <c r="AK7" s="157">
        <v>0.0</v>
      </c>
      <c r="AL7" s="157">
        <v>0.0</v>
      </c>
      <c r="AM7" s="157">
        <v>0.0</v>
      </c>
      <c r="AN7" s="157">
        <v>0.0</v>
      </c>
      <c r="AO7" s="157">
        <v>0.0</v>
      </c>
      <c r="AP7" s="157">
        <v>0.0</v>
      </c>
      <c r="AQ7" s="157">
        <v>0.0</v>
      </c>
      <c r="AR7" s="157">
        <v>0.0</v>
      </c>
      <c r="AS7" s="265">
        <f t="shared" si="2"/>
        <v>0</v>
      </c>
      <c r="AT7" s="265">
        <f t="shared" si="3"/>
        <v>0</v>
      </c>
    </row>
    <row r="8">
      <c r="A8" s="273">
        <v>7.0</v>
      </c>
      <c r="B8" s="693" t="s">
        <v>974</v>
      </c>
      <c r="C8" s="184" t="s">
        <v>974</v>
      </c>
      <c r="D8" s="691" t="s">
        <v>974</v>
      </c>
      <c r="E8" s="354">
        <v>40925.0</v>
      </c>
      <c r="F8" s="157" t="s">
        <v>354</v>
      </c>
      <c r="G8" s="157" t="s">
        <v>354</v>
      </c>
      <c r="H8" s="157" t="s">
        <v>354</v>
      </c>
      <c r="I8" s="157" t="s">
        <v>354</v>
      </c>
      <c r="J8" s="157" t="s">
        <v>354</v>
      </c>
      <c r="K8" s="184">
        <v>0.0</v>
      </c>
      <c r="L8" s="184" t="s">
        <v>354</v>
      </c>
      <c r="M8" s="157" t="s">
        <v>354</v>
      </c>
      <c r="N8" s="157" t="s">
        <v>354</v>
      </c>
      <c r="O8" s="184" t="s">
        <v>371</v>
      </c>
      <c r="P8" s="157">
        <v>0.0</v>
      </c>
      <c r="Q8" s="157">
        <v>0.0</v>
      </c>
      <c r="R8" s="551" t="s">
        <v>354</v>
      </c>
      <c r="S8" s="551" t="s">
        <v>354</v>
      </c>
      <c r="T8" s="551" t="s">
        <v>354</v>
      </c>
      <c r="U8" s="157">
        <v>0.0</v>
      </c>
      <c r="V8" s="157">
        <v>0.0</v>
      </c>
      <c r="W8" s="157" t="s">
        <v>354</v>
      </c>
      <c r="X8" s="157" t="s">
        <v>354</v>
      </c>
      <c r="Y8" s="694" t="s">
        <v>361</v>
      </c>
      <c r="Z8" s="694" t="s">
        <v>361</v>
      </c>
      <c r="AA8" s="708" t="s">
        <v>356</v>
      </c>
      <c r="AB8" s="708" t="s">
        <v>354</v>
      </c>
      <c r="AC8" s="139" t="s">
        <v>356</v>
      </c>
      <c r="AD8" s="139" t="s">
        <v>354</v>
      </c>
      <c r="AE8" s="46">
        <f t="shared" si="1"/>
        <v>0</v>
      </c>
      <c r="AF8" s="157"/>
      <c r="AG8" s="157"/>
      <c r="AH8" s="157"/>
      <c r="AI8" s="157"/>
      <c r="AJ8" s="157"/>
      <c r="AK8" s="157">
        <v>0.0</v>
      </c>
      <c r="AL8" s="157">
        <v>0.0</v>
      </c>
      <c r="AM8" s="157">
        <v>0.0</v>
      </c>
      <c r="AN8" s="157">
        <v>0.0</v>
      </c>
      <c r="AO8" s="157">
        <v>0.0</v>
      </c>
      <c r="AP8" s="157">
        <v>0.0</v>
      </c>
      <c r="AQ8" s="157">
        <v>0.0</v>
      </c>
      <c r="AR8" s="157">
        <v>0.0</v>
      </c>
      <c r="AS8" s="265">
        <f t="shared" si="2"/>
        <v>0</v>
      </c>
      <c r="AT8" s="265">
        <f t="shared" si="3"/>
        <v>0</v>
      </c>
    </row>
    <row r="9">
      <c r="A9" s="273">
        <v>8.0</v>
      </c>
      <c r="B9" s="683" t="s">
        <v>268</v>
      </c>
      <c r="C9" s="702" t="s">
        <v>268</v>
      </c>
      <c r="D9" s="692" t="s">
        <v>1626</v>
      </c>
      <c r="E9" s="354">
        <v>40925.0</v>
      </c>
      <c r="F9" s="157" t="s">
        <v>354</v>
      </c>
      <c r="G9" s="157" t="s">
        <v>354</v>
      </c>
      <c r="H9" s="157" t="s">
        <v>354</v>
      </c>
      <c r="I9" s="157" t="s">
        <v>354</v>
      </c>
      <c r="J9" s="157" t="s">
        <v>354</v>
      </c>
      <c r="K9" s="158">
        <v>2.0</v>
      </c>
      <c r="L9" s="158" t="s">
        <v>922</v>
      </c>
      <c r="M9" s="157" t="s">
        <v>354</v>
      </c>
      <c r="N9" s="157" t="s">
        <v>354</v>
      </c>
      <c r="O9" s="158" t="s">
        <v>398</v>
      </c>
      <c r="P9" s="157">
        <v>0.0</v>
      </c>
      <c r="Q9" s="157">
        <v>0.0</v>
      </c>
      <c r="R9" s="551" t="s">
        <v>354</v>
      </c>
      <c r="S9" s="551" t="s">
        <v>354</v>
      </c>
      <c r="T9" s="551" t="s">
        <v>354</v>
      </c>
      <c r="U9" s="157">
        <v>0.0</v>
      </c>
      <c r="V9" s="157">
        <v>0.0</v>
      </c>
      <c r="W9" s="157" t="s">
        <v>354</v>
      </c>
      <c r="X9" s="157" t="s">
        <v>354</v>
      </c>
      <c r="Y9" s="694" t="s">
        <v>407</v>
      </c>
      <c r="Z9" s="694" t="s">
        <v>407</v>
      </c>
      <c r="AA9" s="708" t="s">
        <v>356</v>
      </c>
      <c r="AB9" s="708" t="s">
        <v>354</v>
      </c>
      <c r="AC9" s="139" t="s">
        <v>356</v>
      </c>
      <c r="AD9" s="139" t="s">
        <v>354</v>
      </c>
      <c r="AE9" s="46">
        <f t="shared" si="1"/>
        <v>0</v>
      </c>
      <c r="AF9" s="157"/>
      <c r="AG9" s="157"/>
      <c r="AH9" s="157"/>
      <c r="AI9" s="157"/>
      <c r="AJ9" s="157"/>
      <c r="AK9" s="157">
        <v>0.0</v>
      </c>
      <c r="AL9" s="157">
        <v>0.0</v>
      </c>
      <c r="AM9" s="157">
        <v>0.0</v>
      </c>
      <c r="AN9" s="157">
        <v>0.0</v>
      </c>
      <c r="AO9" s="157">
        <v>0.0</v>
      </c>
      <c r="AP9" s="157">
        <v>0.0</v>
      </c>
      <c r="AQ9" s="157">
        <v>0.0</v>
      </c>
      <c r="AR9" s="157">
        <v>0.0</v>
      </c>
      <c r="AS9" s="265">
        <f t="shared" si="2"/>
        <v>0</v>
      </c>
      <c r="AT9" s="265">
        <f t="shared" si="3"/>
        <v>0</v>
      </c>
    </row>
    <row r="10">
      <c r="A10" s="273">
        <v>9.0</v>
      </c>
      <c r="B10" s="683" t="s">
        <v>593</v>
      </c>
      <c r="C10" s="78" t="s">
        <v>587</v>
      </c>
      <c r="D10" s="692" t="s">
        <v>588</v>
      </c>
      <c r="E10" s="354">
        <v>40925.0</v>
      </c>
      <c r="F10" s="157" t="s">
        <v>354</v>
      </c>
      <c r="G10" s="157" t="s">
        <v>354</v>
      </c>
      <c r="H10" s="157" t="s">
        <v>354</v>
      </c>
      <c r="I10" s="157" t="s">
        <v>354</v>
      </c>
      <c r="J10" s="157" t="s">
        <v>354</v>
      </c>
      <c r="K10" s="158">
        <v>1.0</v>
      </c>
      <c r="L10" s="158" t="s">
        <v>399</v>
      </c>
      <c r="M10" s="157" t="s">
        <v>354</v>
      </c>
      <c r="N10" s="157" t="s">
        <v>354</v>
      </c>
      <c r="O10" s="158" t="s">
        <v>455</v>
      </c>
      <c r="P10" s="157">
        <v>0.0</v>
      </c>
      <c r="Q10" s="157">
        <v>0.0</v>
      </c>
      <c r="R10" s="551" t="s">
        <v>354</v>
      </c>
      <c r="S10" s="551" t="s">
        <v>354</v>
      </c>
      <c r="T10" s="551" t="s">
        <v>354</v>
      </c>
      <c r="U10" s="157">
        <v>0.0</v>
      </c>
      <c r="V10" s="157">
        <v>0.0</v>
      </c>
      <c r="W10" s="157" t="s">
        <v>354</v>
      </c>
      <c r="X10" s="157" t="s">
        <v>354</v>
      </c>
      <c r="Y10" s="707" t="s">
        <v>356</v>
      </c>
      <c r="Z10" s="707" t="s">
        <v>354</v>
      </c>
      <c r="AA10" s="708" t="s">
        <v>356</v>
      </c>
      <c r="AB10" s="708" t="s">
        <v>354</v>
      </c>
      <c r="AC10" s="139" t="s">
        <v>356</v>
      </c>
      <c r="AD10" s="139" t="s">
        <v>354</v>
      </c>
      <c r="AE10" s="46">
        <f t="shared" si="1"/>
        <v>0</v>
      </c>
      <c r="AF10" s="157"/>
      <c r="AG10" s="157"/>
      <c r="AH10" s="157"/>
      <c r="AI10" s="157"/>
      <c r="AJ10" s="157"/>
      <c r="AK10" s="157">
        <v>0.0</v>
      </c>
      <c r="AL10" s="157">
        <v>0.0</v>
      </c>
      <c r="AM10" s="157">
        <v>0.0</v>
      </c>
      <c r="AN10" s="157">
        <v>0.0</v>
      </c>
      <c r="AO10" s="157">
        <v>0.0</v>
      </c>
      <c r="AP10" s="157">
        <v>0.0</v>
      </c>
      <c r="AQ10" s="157">
        <v>0.0</v>
      </c>
      <c r="AR10" s="157">
        <v>0.0</v>
      </c>
      <c r="AS10" s="265">
        <f t="shared" si="2"/>
        <v>0</v>
      </c>
      <c r="AT10" s="265">
        <f t="shared" si="3"/>
        <v>0</v>
      </c>
    </row>
    <row r="11">
      <c r="A11" s="273">
        <v>10.0</v>
      </c>
      <c r="B11" s="695" t="s">
        <v>1758</v>
      </c>
      <c r="C11" s="61" t="s">
        <v>437</v>
      </c>
      <c r="D11" s="697" t="s">
        <v>438</v>
      </c>
      <c r="E11" s="354">
        <v>40925.0</v>
      </c>
      <c r="F11" s="157" t="s">
        <v>354</v>
      </c>
      <c r="G11" s="157" t="s">
        <v>354</v>
      </c>
      <c r="H11" s="157" t="s">
        <v>354</v>
      </c>
      <c r="I11" s="157" t="s">
        <v>354</v>
      </c>
      <c r="J11" s="157" t="s">
        <v>354</v>
      </c>
      <c r="K11" s="179">
        <v>2.0</v>
      </c>
      <c r="L11" s="179" t="s">
        <v>447</v>
      </c>
      <c r="M11" s="157" t="s">
        <v>354</v>
      </c>
      <c r="N11" s="157" t="s">
        <v>354</v>
      </c>
      <c r="O11" s="179" t="s">
        <v>446</v>
      </c>
      <c r="P11" s="157">
        <v>0.0</v>
      </c>
      <c r="Q11" s="157">
        <v>0.0</v>
      </c>
      <c r="R11" s="551" t="s">
        <v>354</v>
      </c>
      <c r="S11" s="551" t="s">
        <v>354</v>
      </c>
      <c r="T11" s="551" t="s">
        <v>354</v>
      </c>
      <c r="U11" s="157">
        <v>0.0</v>
      </c>
      <c r="V11" s="157">
        <v>0.0</v>
      </c>
      <c r="W11" s="157" t="s">
        <v>354</v>
      </c>
      <c r="X11" s="157" t="s">
        <v>354</v>
      </c>
      <c r="Y11" s="707" t="s">
        <v>356</v>
      </c>
      <c r="Z11" s="707" t="s">
        <v>354</v>
      </c>
      <c r="AA11" s="708" t="s">
        <v>356</v>
      </c>
      <c r="AB11" s="708" t="s">
        <v>354</v>
      </c>
      <c r="AC11" s="139" t="s">
        <v>356</v>
      </c>
      <c r="AD11" s="139" t="s">
        <v>354</v>
      </c>
      <c r="AE11" s="46">
        <f t="shared" si="1"/>
        <v>0</v>
      </c>
      <c r="AF11" s="157"/>
      <c r="AG11" s="157"/>
      <c r="AH11" s="157"/>
      <c r="AI11" s="157"/>
      <c r="AJ11" s="157"/>
      <c r="AK11" s="157">
        <v>0.0</v>
      </c>
      <c r="AL11" s="157">
        <v>0.0</v>
      </c>
      <c r="AM11" s="157">
        <v>0.0</v>
      </c>
      <c r="AN11" s="157">
        <v>0.0</v>
      </c>
      <c r="AO11" s="157">
        <v>0.0</v>
      </c>
      <c r="AP11" s="157">
        <v>0.0</v>
      </c>
      <c r="AQ11" s="157">
        <v>0.0</v>
      </c>
      <c r="AR11" s="157">
        <v>0.0</v>
      </c>
      <c r="AS11" s="265">
        <f t="shared" si="2"/>
        <v>0</v>
      </c>
      <c r="AT11" s="265">
        <f t="shared" si="3"/>
        <v>0</v>
      </c>
    </row>
    <row r="12">
      <c r="A12" s="273">
        <v>11.0</v>
      </c>
      <c r="B12" s="683" t="s">
        <v>152</v>
      </c>
      <c r="C12" s="702" t="s">
        <v>152</v>
      </c>
      <c r="D12" s="692" t="s">
        <v>629</v>
      </c>
      <c r="E12" s="354">
        <v>40925.0</v>
      </c>
      <c r="F12" s="157" t="s">
        <v>354</v>
      </c>
      <c r="G12" s="157" t="s">
        <v>354</v>
      </c>
      <c r="H12" s="157" t="s">
        <v>354</v>
      </c>
      <c r="I12" s="157" t="s">
        <v>354</v>
      </c>
      <c r="J12" s="157" t="s">
        <v>354</v>
      </c>
      <c r="K12" s="158">
        <v>3.0</v>
      </c>
      <c r="L12" s="158" t="s">
        <v>635</v>
      </c>
      <c r="M12" s="157" t="s">
        <v>354</v>
      </c>
      <c r="N12" s="157" t="s">
        <v>354</v>
      </c>
      <c r="O12" s="158" t="s">
        <v>600</v>
      </c>
      <c r="P12" s="157">
        <v>0.0</v>
      </c>
      <c r="Q12" s="157">
        <v>0.0</v>
      </c>
      <c r="R12" s="551" t="s">
        <v>354</v>
      </c>
      <c r="S12" s="551" t="s">
        <v>354</v>
      </c>
      <c r="T12" s="551" t="s">
        <v>354</v>
      </c>
      <c r="U12" s="157">
        <v>0.0</v>
      </c>
      <c r="V12" s="157">
        <v>0.0</v>
      </c>
      <c r="W12" s="157" t="s">
        <v>354</v>
      </c>
      <c r="X12" s="157" t="s">
        <v>354</v>
      </c>
      <c r="Y12" s="707" t="s">
        <v>356</v>
      </c>
      <c r="Z12" s="707" t="s">
        <v>354</v>
      </c>
      <c r="AA12" s="708" t="s">
        <v>356</v>
      </c>
      <c r="AB12" s="708" t="s">
        <v>354</v>
      </c>
      <c r="AC12" s="139" t="s">
        <v>356</v>
      </c>
      <c r="AD12" s="139" t="s">
        <v>354</v>
      </c>
      <c r="AE12" s="46">
        <f t="shared" si="1"/>
        <v>0</v>
      </c>
      <c r="AF12" s="157"/>
      <c r="AG12" s="157"/>
      <c r="AH12" s="157"/>
      <c r="AI12" s="157"/>
      <c r="AJ12" s="157"/>
      <c r="AK12" s="157">
        <v>0.0</v>
      </c>
      <c r="AL12" s="157">
        <v>0.0</v>
      </c>
      <c r="AM12" s="157">
        <v>0.0</v>
      </c>
      <c r="AN12" s="157">
        <v>0.0</v>
      </c>
      <c r="AO12" s="157">
        <v>0.0</v>
      </c>
      <c r="AP12" s="157">
        <v>0.0</v>
      </c>
      <c r="AQ12" s="157">
        <v>0.0</v>
      </c>
      <c r="AR12" s="157">
        <v>0.0</v>
      </c>
      <c r="AS12" s="265">
        <f t="shared" si="2"/>
        <v>0</v>
      </c>
      <c r="AT12" s="265">
        <f t="shared" si="3"/>
        <v>0</v>
      </c>
    </row>
    <row r="13">
      <c r="A13" s="273">
        <v>12.0</v>
      </c>
      <c r="B13" s="693" t="s">
        <v>505</v>
      </c>
      <c r="C13" s="184" t="s">
        <v>505</v>
      </c>
      <c r="D13" s="691" t="s">
        <v>505</v>
      </c>
      <c r="E13" s="354">
        <v>40925.0</v>
      </c>
      <c r="F13" s="157" t="s">
        <v>354</v>
      </c>
      <c r="G13" s="157" t="s">
        <v>354</v>
      </c>
      <c r="H13" s="157" t="s">
        <v>354</v>
      </c>
      <c r="I13" s="157" t="s">
        <v>354</v>
      </c>
      <c r="J13" s="157" t="s">
        <v>354</v>
      </c>
      <c r="K13" s="184">
        <v>0.0</v>
      </c>
      <c r="L13" s="184" t="s">
        <v>354</v>
      </c>
      <c r="M13" s="157" t="s">
        <v>354</v>
      </c>
      <c r="N13" s="157" t="s">
        <v>354</v>
      </c>
      <c r="O13" s="184" t="s">
        <v>371</v>
      </c>
      <c r="P13" s="157">
        <v>0.0</v>
      </c>
      <c r="Q13" s="157">
        <v>0.0</v>
      </c>
      <c r="R13" s="551" t="s">
        <v>354</v>
      </c>
      <c r="S13" s="551" t="s">
        <v>354</v>
      </c>
      <c r="T13" s="551" t="s">
        <v>354</v>
      </c>
      <c r="U13" s="157">
        <v>0.0</v>
      </c>
      <c r="V13" s="157">
        <v>0.0</v>
      </c>
      <c r="W13" s="157" t="s">
        <v>354</v>
      </c>
      <c r="X13" s="157" t="s">
        <v>354</v>
      </c>
      <c r="Y13" s="707" t="s">
        <v>356</v>
      </c>
      <c r="Z13" s="707" t="s">
        <v>354</v>
      </c>
      <c r="AA13" s="708" t="s">
        <v>356</v>
      </c>
      <c r="AB13" s="708" t="s">
        <v>354</v>
      </c>
      <c r="AC13" s="139" t="s">
        <v>356</v>
      </c>
      <c r="AD13" s="139" t="s">
        <v>354</v>
      </c>
      <c r="AE13" s="46">
        <f t="shared" si="1"/>
        <v>0</v>
      </c>
      <c r="AF13" s="157"/>
      <c r="AG13" s="157"/>
      <c r="AH13" s="157"/>
      <c r="AI13" s="157"/>
      <c r="AJ13" s="157"/>
      <c r="AK13" s="157">
        <v>0.0</v>
      </c>
      <c r="AL13" s="157">
        <v>0.0</v>
      </c>
      <c r="AM13" s="157">
        <v>0.0</v>
      </c>
      <c r="AN13" s="157">
        <v>0.0</v>
      </c>
      <c r="AO13" s="157">
        <v>0.0</v>
      </c>
      <c r="AP13" s="157">
        <v>0.0</v>
      </c>
      <c r="AQ13" s="157">
        <v>0.0</v>
      </c>
      <c r="AR13" s="157">
        <v>0.0</v>
      </c>
      <c r="AS13" s="265">
        <f t="shared" si="2"/>
        <v>0</v>
      </c>
      <c r="AT13" s="265">
        <f t="shared" si="3"/>
        <v>0</v>
      </c>
    </row>
    <row r="14">
      <c r="A14" s="273">
        <v>13.0</v>
      </c>
      <c r="B14" s="686" t="s">
        <v>1759</v>
      </c>
      <c r="C14" s="271" t="s">
        <v>36</v>
      </c>
      <c r="D14" s="687" t="s">
        <v>411</v>
      </c>
      <c r="E14" s="354">
        <v>40925.0</v>
      </c>
      <c r="F14" s="157" t="s">
        <v>354</v>
      </c>
      <c r="G14" s="157" t="s">
        <v>354</v>
      </c>
      <c r="H14" s="157" t="s">
        <v>354</v>
      </c>
      <c r="I14" s="157" t="s">
        <v>354</v>
      </c>
      <c r="J14" s="157" t="s">
        <v>354</v>
      </c>
      <c r="K14" s="184">
        <v>0.0</v>
      </c>
      <c r="L14" s="184" t="s">
        <v>354</v>
      </c>
      <c r="M14" s="157" t="s">
        <v>354</v>
      </c>
      <c r="N14" s="157" t="s">
        <v>354</v>
      </c>
      <c r="O14" s="184" t="s">
        <v>371</v>
      </c>
      <c r="P14" s="157">
        <v>0.0</v>
      </c>
      <c r="Q14" s="157">
        <v>0.0</v>
      </c>
      <c r="R14" s="551" t="s">
        <v>354</v>
      </c>
      <c r="S14" s="551" t="s">
        <v>354</v>
      </c>
      <c r="T14" s="551" t="s">
        <v>354</v>
      </c>
      <c r="U14" s="157">
        <v>0.0</v>
      </c>
      <c r="V14" s="157">
        <v>0.0</v>
      </c>
      <c r="W14" s="157" t="s">
        <v>354</v>
      </c>
      <c r="X14" s="157" t="s">
        <v>354</v>
      </c>
      <c r="Y14" s="707" t="s">
        <v>356</v>
      </c>
      <c r="Z14" s="707" t="s">
        <v>354</v>
      </c>
      <c r="AA14" s="708" t="s">
        <v>356</v>
      </c>
      <c r="AB14" s="708" t="s">
        <v>354</v>
      </c>
      <c r="AC14" s="139" t="s">
        <v>356</v>
      </c>
      <c r="AD14" s="139" t="s">
        <v>354</v>
      </c>
      <c r="AE14" s="46">
        <f t="shared" si="1"/>
        <v>0</v>
      </c>
      <c r="AF14" s="157"/>
      <c r="AG14" s="157"/>
      <c r="AH14" s="157"/>
      <c r="AI14" s="157"/>
      <c r="AJ14" s="157"/>
      <c r="AK14" s="157">
        <v>0.0</v>
      </c>
      <c r="AL14" s="157">
        <v>0.0</v>
      </c>
      <c r="AM14" s="157">
        <v>0.0</v>
      </c>
      <c r="AN14" s="157">
        <v>0.0</v>
      </c>
      <c r="AO14" s="157">
        <v>0.0</v>
      </c>
      <c r="AP14" s="157">
        <v>0.0</v>
      </c>
      <c r="AQ14" s="157">
        <v>0.0</v>
      </c>
      <c r="AR14" s="157">
        <v>0.0</v>
      </c>
      <c r="AS14" s="265">
        <f t="shared" si="2"/>
        <v>0</v>
      </c>
      <c r="AT14" s="265">
        <f t="shared" si="3"/>
        <v>0</v>
      </c>
    </row>
    <row r="15">
      <c r="A15" s="273">
        <v>14.0</v>
      </c>
      <c r="B15" s="683" t="s">
        <v>671</v>
      </c>
      <c r="C15" s="78" t="s">
        <v>666</v>
      </c>
      <c r="D15" s="692" t="s">
        <v>667</v>
      </c>
      <c r="E15" s="354">
        <v>40925.0</v>
      </c>
      <c r="F15" s="157" t="s">
        <v>354</v>
      </c>
      <c r="G15" s="157" t="s">
        <v>354</v>
      </c>
      <c r="H15" s="157" t="s">
        <v>354</v>
      </c>
      <c r="I15" s="157" t="s">
        <v>354</v>
      </c>
      <c r="J15" s="157" t="s">
        <v>354</v>
      </c>
      <c r="K15" s="158">
        <v>3.0</v>
      </c>
      <c r="L15" s="158" t="s">
        <v>670</v>
      </c>
      <c r="M15" s="157" t="s">
        <v>354</v>
      </c>
      <c r="N15" s="157" t="s">
        <v>354</v>
      </c>
      <c r="O15" s="158" t="s">
        <v>600</v>
      </c>
      <c r="P15" s="157">
        <v>0.0</v>
      </c>
      <c r="Q15" s="157">
        <v>0.0</v>
      </c>
      <c r="R15" s="551" t="s">
        <v>354</v>
      </c>
      <c r="S15" s="551" t="s">
        <v>354</v>
      </c>
      <c r="T15" s="551" t="s">
        <v>354</v>
      </c>
      <c r="U15" s="157">
        <v>0.0</v>
      </c>
      <c r="V15" s="157">
        <v>0.0</v>
      </c>
      <c r="W15" s="157" t="s">
        <v>354</v>
      </c>
      <c r="X15" s="157" t="s">
        <v>354</v>
      </c>
      <c r="Y15" s="681" t="s">
        <v>365</v>
      </c>
      <c r="Z15" s="90" t="s">
        <v>413</v>
      </c>
      <c r="AA15" s="708" t="s">
        <v>356</v>
      </c>
      <c r="AB15" s="708" t="s">
        <v>354</v>
      </c>
      <c r="AC15" s="139" t="s">
        <v>356</v>
      </c>
      <c r="AD15" s="139" t="s">
        <v>354</v>
      </c>
      <c r="AE15" s="367">
        <f t="shared" si="1"/>
        <v>1</v>
      </c>
      <c r="AF15" s="157"/>
      <c r="AG15" s="157"/>
      <c r="AH15" s="157"/>
      <c r="AI15" s="157"/>
      <c r="AJ15" s="157"/>
      <c r="AK15" s="157">
        <v>0.0</v>
      </c>
      <c r="AL15" s="157">
        <v>0.0</v>
      </c>
      <c r="AM15" s="157">
        <v>0.0</v>
      </c>
      <c r="AN15" s="157">
        <v>0.0</v>
      </c>
      <c r="AO15" s="157">
        <v>1.0</v>
      </c>
      <c r="AP15" s="157">
        <v>0.0</v>
      </c>
      <c r="AQ15" s="157">
        <v>0.0</v>
      </c>
      <c r="AR15" s="157">
        <v>0.0</v>
      </c>
      <c r="AS15" s="385">
        <f t="shared" si="2"/>
        <v>1</v>
      </c>
      <c r="AT15" s="385">
        <f t="shared" si="3"/>
        <v>1</v>
      </c>
    </row>
    <row r="16">
      <c r="A16" s="273">
        <v>15.0</v>
      </c>
      <c r="B16" s="683" t="s">
        <v>24</v>
      </c>
      <c r="C16" s="702" t="s">
        <v>24</v>
      </c>
      <c r="D16" s="692" t="s">
        <v>391</v>
      </c>
      <c r="E16" s="354">
        <v>40925.0</v>
      </c>
      <c r="F16" s="157" t="s">
        <v>354</v>
      </c>
      <c r="G16" s="157" t="s">
        <v>354</v>
      </c>
      <c r="H16" s="157" t="s">
        <v>354</v>
      </c>
      <c r="I16" s="157" t="s">
        <v>354</v>
      </c>
      <c r="J16" s="157" t="s">
        <v>354</v>
      </c>
      <c r="K16" s="158">
        <v>2.0</v>
      </c>
      <c r="L16" s="158" t="s">
        <v>1730</v>
      </c>
      <c r="M16" s="157" t="s">
        <v>354</v>
      </c>
      <c r="N16" s="157" t="s">
        <v>354</v>
      </c>
      <c r="O16" s="158" t="s">
        <v>398</v>
      </c>
      <c r="P16" s="157">
        <v>0.0</v>
      </c>
      <c r="Q16" s="157">
        <v>0.0</v>
      </c>
      <c r="R16" s="551" t="s">
        <v>354</v>
      </c>
      <c r="S16" s="551" t="s">
        <v>354</v>
      </c>
      <c r="T16" s="551" t="s">
        <v>354</v>
      </c>
      <c r="U16" s="157">
        <v>0.0</v>
      </c>
      <c r="V16" s="157">
        <v>0.0</v>
      </c>
      <c r="W16" s="157" t="s">
        <v>354</v>
      </c>
      <c r="X16" s="157" t="s">
        <v>354</v>
      </c>
      <c r="Y16" s="694" t="s">
        <v>361</v>
      </c>
      <c r="Z16" s="694" t="s">
        <v>361</v>
      </c>
      <c r="AA16" s="708" t="s">
        <v>356</v>
      </c>
      <c r="AB16" s="708" t="s">
        <v>354</v>
      </c>
      <c r="AC16" s="144" t="s">
        <v>365</v>
      </c>
      <c r="AD16" s="40" t="s">
        <v>357</v>
      </c>
      <c r="AE16" s="367">
        <f t="shared" si="1"/>
        <v>1</v>
      </c>
      <c r="AF16" s="157"/>
      <c r="AG16" s="157"/>
      <c r="AH16" s="157"/>
      <c r="AI16" s="157"/>
      <c r="AJ16" s="157"/>
      <c r="AK16" s="157">
        <v>0.0</v>
      </c>
      <c r="AL16" s="157">
        <v>0.0</v>
      </c>
      <c r="AM16" s="157">
        <v>0.0</v>
      </c>
      <c r="AN16" s="157">
        <v>0.0</v>
      </c>
      <c r="AO16" s="157">
        <v>0.0</v>
      </c>
      <c r="AP16" s="157">
        <v>1.0</v>
      </c>
      <c r="AQ16" s="157">
        <v>0.0</v>
      </c>
      <c r="AR16" s="157">
        <v>0.0</v>
      </c>
      <c r="AS16" s="385">
        <f t="shared" si="2"/>
        <v>1</v>
      </c>
      <c r="AT16" s="385">
        <f t="shared" si="3"/>
        <v>1</v>
      </c>
    </row>
    <row r="17">
      <c r="A17" s="273">
        <v>16.0</v>
      </c>
      <c r="B17" s="683" t="s">
        <v>1760</v>
      </c>
      <c r="C17" s="78" t="s">
        <v>675</v>
      </c>
      <c r="D17" s="692" t="s">
        <v>676</v>
      </c>
      <c r="E17" s="354">
        <v>40925.0</v>
      </c>
      <c r="F17" s="157" t="s">
        <v>354</v>
      </c>
      <c r="G17" s="157" t="s">
        <v>354</v>
      </c>
      <c r="H17" s="157" t="s">
        <v>354</v>
      </c>
      <c r="I17" s="157" t="s">
        <v>354</v>
      </c>
      <c r="J17" s="157" t="s">
        <v>354</v>
      </c>
      <c r="K17" s="158">
        <v>1.0</v>
      </c>
      <c r="L17" s="158" t="s">
        <v>681</v>
      </c>
      <c r="M17" s="157" t="s">
        <v>354</v>
      </c>
      <c r="N17" s="157" t="s">
        <v>354</v>
      </c>
      <c r="O17" s="158" t="s">
        <v>455</v>
      </c>
      <c r="P17" s="157">
        <v>0.0</v>
      </c>
      <c r="Q17" s="157">
        <v>0.0</v>
      </c>
      <c r="R17" s="551" t="s">
        <v>354</v>
      </c>
      <c r="S17" s="551" t="s">
        <v>354</v>
      </c>
      <c r="T17" s="551" t="s">
        <v>354</v>
      </c>
      <c r="U17" s="157">
        <v>0.0</v>
      </c>
      <c r="V17" s="157">
        <v>0.0</v>
      </c>
      <c r="W17" s="157" t="s">
        <v>354</v>
      </c>
      <c r="X17" s="157" t="s">
        <v>354</v>
      </c>
      <c r="Y17" s="694" t="s">
        <v>407</v>
      </c>
      <c r="Z17" s="694" t="s">
        <v>407</v>
      </c>
      <c r="AA17" s="708" t="s">
        <v>356</v>
      </c>
      <c r="AB17" s="708" t="s">
        <v>354</v>
      </c>
      <c r="AC17" s="139" t="s">
        <v>356</v>
      </c>
      <c r="AD17" s="139" t="s">
        <v>354</v>
      </c>
      <c r="AE17" s="46">
        <f t="shared" si="1"/>
        <v>0</v>
      </c>
      <c r="AF17" s="157"/>
      <c r="AG17" s="157"/>
      <c r="AH17" s="157"/>
      <c r="AI17" s="157"/>
      <c r="AJ17" s="157"/>
      <c r="AK17" s="157">
        <v>0.0</v>
      </c>
      <c r="AL17" s="157">
        <v>0.0</v>
      </c>
      <c r="AM17" s="157">
        <v>0.0</v>
      </c>
      <c r="AN17" s="157">
        <v>0.0</v>
      </c>
      <c r="AO17" s="157">
        <v>0.0</v>
      </c>
      <c r="AP17" s="157">
        <v>0.0</v>
      </c>
      <c r="AQ17" s="157">
        <v>0.0</v>
      </c>
      <c r="AR17" s="157">
        <v>0.0</v>
      </c>
      <c r="AS17" s="265">
        <f t="shared" si="2"/>
        <v>0</v>
      </c>
      <c r="AT17" s="265">
        <f t="shared" si="3"/>
        <v>0</v>
      </c>
    </row>
    <row r="18">
      <c r="A18" s="273">
        <v>17.0</v>
      </c>
      <c r="B18" s="683" t="s">
        <v>274</v>
      </c>
      <c r="C18" s="702" t="s">
        <v>271</v>
      </c>
      <c r="D18" s="692" t="s">
        <v>924</v>
      </c>
      <c r="E18" s="354">
        <v>40925.0</v>
      </c>
      <c r="F18" s="157" t="s">
        <v>354</v>
      </c>
      <c r="G18" s="157" t="s">
        <v>354</v>
      </c>
      <c r="H18" s="157" t="s">
        <v>354</v>
      </c>
      <c r="I18" s="157" t="s">
        <v>354</v>
      </c>
      <c r="J18" s="157" t="s">
        <v>354</v>
      </c>
      <c r="K18" s="158">
        <v>1.0</v>
      </c>
      <c r="L18" s="158" t="s">
        <v>929</v>
      </c>
      <c r="M18" s="157" t="s">
        <v>354</v>
      </c>
      <c r="N18" s="157" t="s">
        <v>354</v>
      </c>
      <c r="O18" s="158" t="s">
        <v>455</v>
      </c>
      <c r="P18" s="157">
        <v>0.0</v>
      </c>
      <c r="Q18" s="157">
        <v>0.0</v>
      </c>
      <c r="R18" s="551" t="s">
        <v>354</v>
      </c>
      <c r="S18" s="551" t="s">
        <v>354</v>
      </c>
      <c r="T18" s="551" t="s">
        <v>354</v>
      </c>
      <c r="U18" s="157">
        <v>0.0</v>
      </c>
      <c r="V18" s="157">
        <v>0.0</v>
      </c>
      <c r="W18" s="157" t="s">
        <v>354</v>
      </c>
      <c r="X18" s="157" t="s">
        <v>354</v>
      </c>
      <c r="Y18" s="681" t="s">
        <v>365</v>
      </c>
      <c r="Z18" s="315" t="s">
        <v>420</v>
      </c>
      <c r="AA18" s="708" t="s">
        <v>356</v>
      </c>
      <c r="AB18" s="708" t="s">
        <v>354</v>
      </c>
      <c r="AC18" s="139" t="s">
        <v>356</v>
      </c>
      <c r="AD18" s="139" t="s">
        <v>354</v>
      </c>
      <c r="AE18" s="367">
        <f t="shared" si="1"/>
        <v>1</v>
      </c>
      <c r="AF18" s="157"/>
      <c r="AG18" s="157"/>
      <c r="AH18" s="157"/>
      <c r="AI18" s="157"/>
      <c r="AJ18" s="157"/>
      <c r="AK18" s="157">
        <v>0.0</v>
      </c>
      <c r="AL18" s="157">
        <v>1.0</v>
      </c>
      <c r="AM18" s="157">
        <v>0.0</v>
      </c>
      <c r="AN18" s="157">
        <v>0.0</v>
      </c>
      <c r="AO18" s="157">
        <v>0.0</v>
      </c>
      <c r="AP18" s="157">
        <v>0.0</v>
      </c>
      <c r="AQ18" s="157">
        <v>0.0</v>
      </c>
      <c r="AR18" s="157">
        <v>0.0</v>
      </c>
      <c r="AS18" s="385">
        <f t="shared" si="2"/>
        <v>1</v>
      </c>
      <c r="AT18" s="385">
        <f t="shared" si="3"/>
        <v>1</v>
      </c>
    </row>
    <row r="19">
      <c r="A19" s="273">
        <v>18.0</v>
      </c>
      <c r="B19" s="683" t="s">
        <v>117</v>
      </c>
      <c r="C19" s="702" t="s">
        <v>117</v>
      </c>
      <c r="D19" s="692" t="s">
        <v>546</v>
      </c>
      <c r="E19" s="354">
        <v>40925.0</v>
      </c>
      <c r="F19" s="157" t="s">
        <v>354</v>
      </c>
      <c r="G19" s="157" t="s">
        <v>354</v>
      </c>
      <c r="H19" s="157" t="s">
        <v>354</v>
      </c>
      <c r="I19" s="157" t="s">
        <v>354</v>
      </c>
      <c r="J19" s="157" t="s">
        <v>354</v>
      </c>
      <c r="K19" s="158">
        <v>2.0</v>
      </c>
      <c r="L19" s="158" t="s">
        <v>549</v>
      </c>
      <c r="M19" s="157" t="s">
        <v>354</v>
      </c>
      <c r="N19" s="157" t="s">
        <v>354</v>
      </c>
      <c r="O19" s="158" t="s">
        <v>398</v>
      </c>
      <c r="P19" s="157">
        <v>0.0</v>
      </c>
      <c r="Q19" s="157">
        <v>0.0</v>
      </c>
      <c r="R19" s="551" t="s">
        <v>354</v>
      </c>
      <c r="S19" s="551" t="s">
        <v>354</v>
      </c>
      <c r="T19" s="551" t="s">
        <v>354</v>
      </c>
      <c r="U19" s="157">
        <v>0.0</v>
      </c>
      <c r="V19" s="157">
        <v>0.0</v>
      </c>
      <c r="W19" s="157" t="s">
        <v>354</v>
      </c>
      <c r="X19" s="157" t="s">
        <v>354</v>
      </c>
      <c r="Y19" s="707" t="s">
        <v>356</v>
      </c>
      <c r="Z19" s="707" t="s">
        <v>354</v>
      </c>
      <c r="AA19" s="708" t="s">
        <v>356</v>
      </c>
      <c r="AB19" s="708" t="s">
        <v>354</v>
      </c>
      <c r="AC19" s="139" t="s">
        <v>356</v>
      </c>
      <c r="AD19" s="139" t="s">
        <v>354</v>
      </c>
      <c r="AE19" s="46">
        <f t="shared" si="1"/>
        <v>0</v>
      </c>
      <c r="AF19" s="265"/>
      <c r="AG19" s="157"/>
      <c r="AH19" s="265"/>
      <c r="AI19" s="265"/>
      <c r="AJ19" s="265"/>
      <c r="AK19" s="157">
        <v>0.0</v>
      </c>
      <c r="AL19" s="157">
        <v>0.0</v>
      </c>
      <c r="AM19" s="157">
        <v>0.0</v>
      </c>
      <c r="AN19" s="157">
        <v>0.0</v>
      </c>
      <c r="AO19" s="157">
        <v>0.0</v>
      </c>
      <c r="AP19" s="157">
        <v>0.0</v>
      </c>
      <c r="AQ19" s="157">
        <v>0.0</v>
      </c>
      <c r="AR19" s="157">
        <v>0.0</v>
      </c>
      <c r="AS19" s="265">
        <f t="shared" si="2"/>
        <v>0</v>
      </c>
      <c r="AT19" s="265">
        <f t="shared" si="3"/>
        <v>0</v>
      </c>
    </row>
    <row r="20">
      <c r="A20" s="273">
        <v>19.0</v>
      </c>
      <c r="B20" s="683" t="s">
        <v>1036</v>
      </c>
      <c r="C20" s="78" t="s">
        <v>1036</v>
      </c>
      <c r="D20" s="692" t="s">
        <v>1033</v>
      </c>
      <c r="E20" s="354">
        <v>40925.0</v>
      </c>
      <c r="F20" s="157" t="s">
        <v>354</v>
      </c>
      <c r="G20" s="157" t="s">
        <v>354</v>
      </c>
      <c r="H20" s="157" t="s">
        <v>354</v>
      </c>
      <c r="I20" s="157" t="s">
        <v>354</v>
      </c>
      <c r="J20" s="157" t="s">
        <v>354</v>
      </c>
      <c r="K20" s="158">
        <v>1.0</v>
      </c>
      <c r="L20" s="158" t="s">
        <v>1035</v>
      </c>
      <c r="M20" s="157" t="s">
        <v>354</v>
      </c>
      <c r="N20" s="157" t="s">
        <v>354</v>
      </c>
      <c r="O20" s="158" t="s">
        <v>455</v>
      </c>
      <c r="P20" s="157">
        <v>0.0</v>
      </c>
      <c r="Q20" s="157">
        <v>0.0</v>
      </c>
      <c r="R20" s="551" t="s">
        <v>354</v>
      </c>
      <c r="S20" s="551" t="s">
        <v>354</v>
      </c>
      <c r="T20" s="551" t="s">
        <v>354</v>
      </c>
      <c r="U20" s="157">
        <v>0.0</v>
      </c>
      <c r="V20" s="157">
        <v>0.0</v>
      </c>
      <c r="W20" s="157" t="s">
        <v>354</v>
      </c>
      <c r="X20" s="157" t="s">
        <v>354</v>
      </c>
      <c r="Y20" s="681" t="s">
        <v>365</v>
      </c>
      <c r="Z20" s="181" t="s">
        <v>389</v>
      </c>
      <c r="AA20" s="708" t="s">
        <v>356</v>
      </c>
      <c r="AB20" s="708" t="s">
        <v>354</v>
      </c>
      <c r="AC20" s="139" t="s">
        <v>356</v>
      </c>
      <c r="AD20" s="139" t="s">
        <v>354</v>
      </c>
      <c r="AE20" s="367">
        <f t="shared" si="1"/>
        <v>1</v>
      </c>
      <c r="AF20" s="265"/>
      <c r="AG20" s="157"/>
      <c r="AH20" s="265"/>
      <c r="AI20" s="265"/>
      <c r="AJ20" s="265"/>
      <c r="AK20" s="157">
        <v>1.0</v>
      </c>
      <c r="AL20" s="157">
        <v>0.0</v>
      </c>
      <c r="AM20" s="157">
        <v>0.0</v>
      </c>
      <c r="AN20" s="157">
        <v>0.0</v>
      </c>
      <c r="AO20" s="157">
        <v>0.0</v>
      </c>
      <c r="AP20" s="157">
        <v>0.0</v>
      </c>
      <c r="AQ20" s="157">
        <v>0.0</v>
      </c>
      <c r="AR20" s="157">
        <v>0.0</v>
      </c>
      <c r="AS20" s="385">
        <f t="shared" si="2"/>
        <v>1</v>
      </c>
      <c r="AT20" s="385">
        <f t="shared" si="3"/>
        <v>1</v>
      </c>
    </row>
    <row r="21">
      <c r="A21" s="273">
        <v>20.0</v>
      </c>
      <c r="B21" s="683" t="s">
        <v>698</v>
      </c>
      <c r="C21" s="78" t="s">
        <v>694</v>
      </c>
      <c r="D21" s="692" t="s">
        <v>695</v>
      </c>
      <c r="E21" s="354">
        <v>40925.0</v>
      </c>
      <c r="F21" s="157" t="s">
        <v>354</v>
      </c>
      <c r="G21" s="157" t="s">
        <v>354</v>
      </c>
      <c r="H21" s="157" t="s">
        <v>354</v>
      </c>
      <c r="I21" s="157" t="s">
        <v>354</v>
      </c>
      <c r="J21" s="157" t="s">
        <v>354</v>
      </c>
      <c r="K21" s="158">
        <v>2.0</v>
      </c>
      <c r="L21" s="158" t="s">
        <v>697</v>
      </c>
      <c r="M21" s="157" t="s">
        <v>354</v>
      </c>
      <c r="N21" s="157" t="s">
        <v>354</v>
      </c>
      <c r="O21" s="158" t="s">
        <v>398</v>
      </c>
      <c r="P21" s="157">
        <v>0.0</v>
      </c>
      <c r="Q21" s="157">
        <v>0.0</v>
      </c>
      <c r="R21" s="551" t="s">
        <v>354</v>
      </c>
      <c r="S21" s="551" t="s">
        <v>354</v>
      </c>
      <c r="T21" s="551" t="s">
        <v>354</v>
      </c>
      <c r="U21" s="157">
        <v>0.0</v>
      </c>
      <c r="V21" s="157">
        <v>0.0</v>
      </c>
      <c r="W21" s="157" t="s">
        <v>354</v>
      </c>
      <c r="X21" s="157" t="s">
        <v>354</v>
      </c>
      <c r="Y21" s="694" t="s">
        <v>361</v>
      </c>
      <c r="Z21" s="694" t="s">
        <v>361</v>
      </c>
      <c r="AA21" s="708" t="s">
        <v>356</v>
      </c>
      <c r="AB21" s="708" t="s">
        <v>354</v>
      </c>
      <c r="AC21" s="139" t="s">
        <v>356</v>
      </c>
      <c r="AD21" s="139" t="s">
        <v>354</v>
      </c>
      <c r="AE21" s="46">
        <f t="shared" si="1"/>
        <v>0</v>
      </c>
      <c r="AF21" s="265"/>
      <c r="AG21" s="157"/>
      <c r="AH21" s="265"/>
      <c r="AI21" s="265"/>
      <c r="AJ21" s="265"/>
      <c r="AK21" s="157">
        <v>0.0</v>
      </c>
      <c r="AL21" s="157">
        <v>0.0</v>
      </c>
      <c r="AM21" s="157">
        <v>0.0</v>
      </c>
      <c r="AN21" s="157">
        <v>0.0</v>
      </c>
      <c r="AO21" s="157">
        <v>0.0</v>
      </c>
      <c r="AP21" s="157">
        <v>0.0</v>
      </c>
      <c r="AQ21" s="157">
        <v>0.0</v>
      </c>
      <c r="AR21" s="157">
        <v>0.0</v>
      </c>
      <c r="AS21" s="265">
        <f t="shared" si="2"/>
        <v>0</v>
      </c>
      <c r="AT21" s="265">
        <f t="shared" si="3"/>
        <v>0</v>
      </c>
    </row>
    <row r="22">
      <c r="A22" s="273">
        <v>21.0</v>
      </c>
      <c r="B22" s="683" t="s">
        <v>225</v>
      </c>
      <c r="C22" s="702" t="s">
        <v>225</v>
      </c>
      <c r="D22" s="698" t="s">
        <v>789</v>
      </c>
      <c r="E22" s="354">
        <v>40925.0</v>
      </c>
      <c r="F22" s="157" t="s">
        <v>354</v>
      </c>
      <c r="G22" s="157" t="s">
        <v>354</v>
      </c>
      <c r="H22" s="157" t="s">
        <v>354</v>
      </c>
      <c r="I22" s="157" t="s">
        <v>354</v>
      </c>
      <c r="J22" s="157" t="s">
        <v>354</v>
      </c>
      <c r="K22" s="158">
        <v>3.0</v>
      </c>
      <c r="L22" s="158" t="s">
        <v>794</v>
      </c>
      <c r="M22" s="157" t="s">
        <v>354</v>
      </c>
      <c r="N22" s="157" t="s">
        <v>354</v>
      </c>
      <c r="O22" s="158" t="s">
        <v>600</v>
      </c>
      <c r="P22" s="157">
        <v>0.0</v>
      </c>
      <c r="Q22" s="157">
        <v>0.0</v>
      </c>
      <c r="R22" s="551" t="s">
        <v>354</v>
      </c>
      <c r="S22" s="551" t="s">
        <v>354</v>
      </c>
      <c r="T22" s="551" t="s">
        <v>354</v>
      </c>
      <c r="U22" s="157">
        <v>0.0</v>
      </c>
      <c r="V22" s="157">
        <v>0.0</v>
      </c>
      <c r="W22" s="157" t="s">
        <v>354</v>
      </c>
      <c r="X22" s="157" t="s">
        <v>354</v>
      </c>
      <c r="Y22" s="694" t="s">
        <v>361</v>
      </c>
      <c r="Z22" s="694" t="s">
        <v>361</v>
      </c>
      <c r="AA22" s="708" t="s">
        <v>356</v>
      </c>
      <c r="AB22" s="708" t="s">
        <v>354</v>
      </c>
      <c r="AC22" s="144" t="s">
        <v>365</v>
      </c>
      <c r="AD22" s="143" t="s">
        <v>358</v>
      </c>
      <c r="AE22" s="367">
        <f t="shared" si="1"/>
        <v>1</v>
      </c>
      <c r="AF22" s="265"/>
      <c r="AG22" s="157"/>
      <c r="AH22" s="265"/>
      <c r="AI22" s="265"/>
      <c r="AJ22" s="265"/>
      <c r="AK22" s="157">
        <v>0.0</v>
      </c>
      <c r="AL22" s="157">
        <v>0.0</v>
      </c>
      <c r="AM22" s="157">
        <v>1.0</v>
      </c>
      <c r="AN22" s="157">
        <v>0.0</v>
      </c>
      <c r="AO22" s="157">
        <v>0.0</v>
      </c>
      <c r="AP22" s="157">
        <v>0.0</v>
      </c>
      <c r="AQ22" s="157">
        <v>0.0</v>
      </c>
      <c r="AR22" s="157">
        <v>0.0</v>
      </c>
      <c r="AS22" s="385">
        <f t="shared" si="2"/>
        <v>1</v>
      </c>
      <c r="AT22" s="385">
        <f t="shared" si="3"/>
        <v>1</v>
      </c>
    </row>
    <row r="23">
      <c r="A23" s="273">
        <v>22.0</v>
      </c>
      <c r="B23" s="683" t="s">
        <v>66</v>
      </c>
      <c r="C23" s="702" t="s">
        <v>66</v>
      </c>
      <c r="D23" s="692" t="s">
        <v>451</v>
      </c>
      <c r="E23" s="354">
        <v>40925.0</v>
      </c>
      <c r="F23" s="157" t="s">
        <v>354</v>
      </c>
      <c r="G23" s="157" t="s">
        <v>354</v>
      </c>
      <c r="H23" s="157" t="s">
        <v>354</v>
      </c>
      <c r="I23" s="157" t="s">
        <v>354</v>
      </c>
      <c r="J23" s="157" t="s">
        <v>354</v>
      </c>
      <c r="K23" s="158">
        <v>1.0</v>
      </c>
      <c r="L23" s="158" t="s">
        <v>456</v>
      </c>
      <c r="M23" s="157" t="s">
        <v>354</v>
      </c>
      <c r="N23" s="157" t="s">
        <v>354</v>
      </c>
      <c r="O23" s="158" t="s">
        <v>455</v>
      </c>
      <c r="P23" s="157">
        <v>0.0</v>
      </c>
      <c r="Q23" s="157">
        <v>0.0</v>
      </c>
      <c r="R23" s="551" t="s">
        <v>354</v>
      </c>
      <c r="S23" s="551" t="s">
        <v>354</v>
      </c>
      <c r="T23" s="551" t="s">
        <v>354</v>
      </c>
      <c r="U23" s="157">
        <v>0.0</v>
      </c>
      <c r="V23" s="157">
        <v>0.0</v>
      </c>
      <c r="W23" s="157" t="s">
        <v>354</v>
      </c>
      <c r="X23" s="157" t="s">
        <v>354</v>
      </c>
      <c r="Y23" s="694" t="s">
        <v>361</v>
      </c>
      <c r="Z23" s="694" t="s">
        <v>361</v>
      </c>
      <c r="AA23" s="708" t="s">
        <v>356</v>
      </c>
      <c r="AB23" s="708" t="s">
        <v>354</v>
      </c>
      <c r="AC23" s="139" t="s">
        <v>356</v>
      </c>
      <c r="AD23" s="139" t="s">
        <v>354</v>
      </c>
      <c r="AE23" s="46">
        <f t="shared" si="1"/>
        <v>0</v>
      </c>
      <c r="AF23" s="265"/>
      <c r="AG23" s="157"/>
      <c r="AH23" s="265"/>
      <c r="AI23" s="265"/>
      <c r="AJ23" s="265"/>
      <c r="AK23" s="157">
        <v>0.0</v>
      </c>
      <c r="AL23" s="157">
        <v>0.0</v>
      </c>
      <c r="AM23" s="157">
        <v>0.0</v>
      </c>
      <c r="AN23" s="157">
        <v>0.0</v>
      </c>
      <c r="AO23" s="157">
        <v>0.0</v>
      </c>
      <c r="AP23" s="157">
        <v>0.0</v>
      </c>
      <c r="AQ23" s="157">
        <v>0.0</v>
      </c>
      <c r="AR23" s="157">
        <v>0.0</v>
      </c>
      <c r="AS23" s="265">
        <f t="shared" si="2"/>
        <v>0</v>
      </c>
      <c r="AT23" s="265">
        <f t="shared" si="3"/>
        <v>0</v>
      </c>
    </row>
    <row r="24">
      <c r="A24" s="273">
        <v>23.0</v>
      </c>
      <c r="B24" s="683" t="s">
        <v>867</v>
      </c>
      <c r="C24" s="78" t="s">
        <v>863</v>
      </c>
      <c r="D24" s="692" t="s">
        <v>864</v>
      </c>
      <c r="E24" s="354">
        <v>40925.0</v>
      </c>
      <c r="F24" s="157" t="s">
        <v>354</v>
      </c>
      <c r="G24" s="157" t="s">
        <v>354</v>
      </c>
      <c r="H24" s="157" t="s">
        <v>354</v>
      </c>
      <c r="I24" s="157" t="s">
        <v>354</v>
      </c>
      <c r="J24" s="157" t="s">
        <v>354</v>
      </c>
      <c r="K24" s="158">
        <v>3.0</v>
      </c>
      <c r="L24" s="158" t="s">
        <v>868</v>
      </c>
      <c r="M24" s="157" t="s">
        <v>354</v>
      </c>
      <c r="N24" s="157" t="s">
        <v>354</v>
      </c>
      <c r="O24" s="158" t="s">
        <v>600</v>
      </c>
      <c r="P24" s="157">
        <v>0.0</v>
      </c>
      <c r="Q24" s="157">
        <v>0.0</v>
      </c>
      <c r="R24" s="551" t="s">
        <v>354</v>
      </c>
      <c r="S24" s="551" t="s">
        <v>354</v>
      </c>
      <c r="T24" s="551" t="s">
        <v>354</v>
      </c>
      <c r="U24" s="157">
        <v>0.0</v>
      </c>
      <c r="V24" s="157">
        <v>0.0</v>
      </c>
      <c r="W24" s="157" t="s">
        <v>354</v>
      </c>
      <c r="X24" s="157" t="s">
        <v>354</v>
      </c>
      <c r="Y24" s="681" t="s">
        <v>365</v>
      </c>
      <c r="Z24" s="181" t="s">
        <v>389</v>
      </c>
      <c r="AA24" s="677" t="s">
        <v>365</v>
      </c>
      <c r="AB24" s="90" t="s">
        <v>413</v>
      </c>
      <c r="AC24" s="144" t="s">
        <v>365</v>
      </c>
      <c r="AD24" s="181" t="s">
        <v>389</v>
      </c>
      <c r="AE24" s="357">
        <f t="shared" si="1"/>
        <v>3</v>
      </c>
      <c r="AF24" s="265"/>
      <c r="AG24" s="157"/>
      <c r="AH24" s="265"/>
      <c r="AI24" s="265"/>
      <c r="AJ24" s="265"/>
      <c r="AK24" s="157">
        <v>2.0</v>
      </c>
      <c r="AL24" s="157">
        <v>0.0</v>
      </c>
      <c r="AM24" s="157">
        <v>0.0</v>
      </c>
      <c r="AN24" s="157">
        <v>0.0</v>
      </c>
      <c r="AO24" s="157">
        <v>1.0</v>
      </c>
      <c r="AP24" s="157">
        <v>0.0</v>
      </c>
      <c r="AQ24" s="157">
        <v>0.0</v>
      </c>
      <c r="AR24" s="157">
        <v>0.0</v>
      </c>
      <c r="AS24" s="388">
        <f t="shared" si="2"/>
        <v>3</v>
      </c>
      <c r="AT24" s="388">
        <f t="shared" si="3"/>
        <v>2</v>
      </c>
    </row>
    <row r="25">
      <c r="A25" s="273">
        <v>24.0</v>
      </c>
      <c r="B25" s="693" t="s">
        <v>607</v>
      </c>
      <c r="C25" s="184" t="s">
        <v>607</v>
      </c>
      <c r="D25" s="691" t="s">
        <v>607</v>
      </c>
      <c r="E25" s="354">
        <v>40925.0</v>
      </c>
      <c r="F25" s="157" t="s">
        <v>354</v>
      </c>
      <c r="G25" s="157" t="s">
        <v>354</v>
      </c>
      <c r="H25" s="157" t="s">
        <v>354</v>
      </c>
      <c r="I25" s="157" t="s">
        <v>354</v>
      </c>
      <c r="J25" s="157" t="s">
        <v>354</v>
      </c>
      <c r="K25" s="184">
        <v>0.0</v>
      </c>
      <c r="L25" s="184" t="s">
        <v>354</v>
      </c>
      <c r="M25" s="157" t="s">
        <v>354</v>
      </c>
      <c r="N25" s="157" t="s">
        <v>354</v>
      </c>
      <c r="O25" s="184" t="s">
        <v>371</v>
      </c>
      <c r="P25" s="157">
        <v>0.0</v>
      </c>
      <c r="Q25" s="157">
        <v>0.0</v>
      </c>
      <c r="R25" s="551" t="s">
        <v>354</v>
      </c>
      <c r="S25" s="551" t="s">
        <v>354</v>
      </c>
      <c r="T25" s="551" t="s">
        <v>354</v>
      </c>
      <c r="U25" s="157">
        <v>0.0</v>
      </c>
      <c r="V25" s="157">
        <v>0.0</v>
      </c>
      <c r="W25" s="157" t="s">
        <v>354</v>
      </c>
      <c r="X25" s="157" t="s">
        <v>354</v>
      </c>
      <c r="Y25" s="694" t="s">
        <v>361</v>
      </c>
      <c r="Z25" s="694" t="s">
        <v>361</v>
      </c>
      <c r="AA25" s="708" t="s">
        <v>356</v>
      </c>
      <c r="AB25" s="708" t="s">
        <v>354</v>
      </c>
      <c r="AC25" s="139" t="s">
        <v>356</v>
      </c>
      <c r="AD25" s="139" t="s">
        <v>354</v>
      </c>
      <c r="AE25" s="46">
        <f t="shared" si="1"/>
        <v>0</v>
      </c>
      <c r="AF25" s="265"/>
      <c r="AG25" s="157"/>
      <c r="AH25" s="265"/>
      <c r="AI25" s="265"/>
      <c r="AJ25" s="265"/>
      <c r="AK25" s="157">
        <v>0.0</v>
      </c>
      <c r="AL25" s="157">
        <v>0.0</v>
      </c>
      <c r="AM25" s="157">
        <v>0.0</v>
      </c>
      <c r="AN25" s="157">
        <v>0.0</v>
      </c>
      <c r="AO25" s="157">
        <v>0.0</v>
      </c>
      <c r="AP25" s="157">
        <v>0.0</v>
      </c>
      <c r="AQ25" s="157">
        <v>0.0</v>
      </c>
      <c r="AR25" s="157">
        <v>0.0</v>
      </c>
      <c r="AS25" s="265">
        <f t="shared" si="2"/>
        <v>0</v>
      </c>
      <c r="AT25" s="265">
        <f t="shared" si="3"/>
        <v>0</v>
      </c>
    </row>
    <row r="26">
      <c r="A26" s="273">
        <v>25.0</v>
      </c>
      <c r="B26" s="683" t="s">
        <v>238</v>
      </c>
      <c r="C26" s="702" t="s">
        <v>238</v>
      </c>
      <c r="D26" s="692" t="s">
        <v>844</v>
      </c>
      <c r="E26" s="354">
        <v>40925.0</v>
      </c>
      <c r="F26" s="157" t="s">
        <v>354</v>
      </c>
      <c r="G26" s="157" t="s">
        <v>354</v>
      </c>
      <c r="H26" s="157" t="s">
        <v>354</v>
      </c>
      <c r="I26" s="157" t="s">
        <v>354</v>
      </c>
      <c r="J26" s="157" t="s">
        <v>354</v>
      </c>
      <c r="K26" s="158">
        <v>3.0</v>
      </c>
      <c r="L26" s="158" t="s">
        <v>850</v>
      </c>
      <c r="M26" s="157" t="s">
        <v>354</v>
      </c>
      <c r="N26" s="157" t="s">
        <v>354</v>
      </c>
      <c r="O26" s="158" t="s">
        <v>600</v>
      </c>
      <c r="P26" s="157">
        <v>0.0</v>
      </c>
      <c r="Q26" s="157">
        <v>0.0</v>
      </c>
      <c r="R26" s="551" t="s">
        <v>354</v>
      </c>
      <c r="S26" s="551" t="s">
        <v>354</v>
      </c>
      <c r="T26" s="551" t="s">
        <v>354</v>
      </c>
      <c r="U26" s="157">
        <v>0.0</v>
      </c>
      <c r="V26" s="157">
        <v>0.0</v>
      </c>
      <c r="W26" s="157" t="s">
        <v>354</v>
      </c>
      <c r="X26" s="157" t="s">
        <v>354</v>
      </c>
      <c r="Y26" s="707" t="s">
        <v>356</v>
      </c>
      <c r="Z26" s="707" t="s">
        <v>354</v>
      </c>
      <c r="AA26" s="708" t="s">
        <v>356</v>
      </c>
      <c r="AB26" s="708" t="s">
        <v>354</v>
      </c>
      <c r="AC26" s="139" t="s">
        <v>356</v>
      </c>
      <c r="AD26" s="139" t="s">
        <v>354</v>
      </c>
      <c r="AE26" s="46">
        <f t="shared" si="1"/>
        <v>0</v>
      </c>
      <c r="AF26" s="265"/>
      <c r="AG26" s="157"/>
      <c r="AH26" s="265"/>
      <c r="AI26" s="265"/>
      <c r="AJ26" s="265"/>
      <c r="AK26" s="157">
        <v>0.0</v>
      </c>
      <c r="AL26" s="157">
        <v>0.0</v>
      </c>
      <c r="AM26" s="157">
        <v>0.0</v>
      </c>
      <c r="AN26" s="157">
        <v>0.0</v>
      </c>
      <c r="AO26" s="157">
        <v>0.0</v>
      </c>
      <c r="AP26" s="157">
        <v>0.0</v>
      </c>
      <c r="AQ26" s="157">
        <v>0.0</v>
      </c>
      <c r="AR26" s="157">
        <v>0.0</v>
      </c>
      <c r="AS26" s="265">
        <f t="shared" si="2"/>
        <v>0</v>
      </c>
      <c r="AT26" s="265">
        <f t="shared" si="3"/>
        <v>0</v>
      </c>
    </row>
    <row r="27">
      <c r="A27" s="273">
        <v>26.0</v>
      </c>
      <c r="B27" s="683" t="s">
        <v>213</v>
      </c>
      <c r="C27" s="702" t="s">
        <v>213</v>
      </c>
      <c r="D27" s="692" t="s">
        <v>753</v>
      </c>
      <c r="E27" s="354">
        <v>40925.0</v>
      </c>
      <c r="F27" s="157" t="s">
        <v>354</v>
      </c>
      <c r="G27" s="157" t="s">
        <v>354</v>
      </c>
      <c r="H27" s="157" t="s">
        <v>354</v>
      </c>
      <c r="I27" s="157" t="s">
        <v>354</v>
      </c>
      <c r="J27" s="157" t="s">
        <v>354</v>
      </c>
      <c r="K27" s="158">
        <v>2.0</v>
      </c>
      <c r="L27" s="158" t="s">
        <v>759</v>
      </c>
      <c r="M27" s="157" t="s">
        <v>354</v>
      </c>
      <c r="N27" s="157" t="s">
        <v>354</v>
      </c>
      <c r="O27" s="158" t="s">
        <v>398</v>
      </c>
      <c r="P27" s="157">
        <v>0.0</v>
      </c>
      <c r="Q27" s="157">
        <v>0.0</v>
      </c>
      <c r="R27" s="551" t="s">
        <v>354</v>
      </c>
      <c r="S27" s="551" t="s">
        <v>354</v>
      </c>
      <c r="T27" s="551" t="s">
        <v>354</v>
      </c>
      <c r="U27" s="157">
        <v>0.0</v>
      </c>
      <c r="V27" s="157">
        <v>0.0</v>
      </c>
      <c r="W27" s="157" t="s">
        <v>354</v>
      </c>
      <c r="X27" s="157" t="s">
        <v>354</v>
      </c>
      <c r="Y27" s="707" t="s">
        <v>356</v>
      </c>
      <c r="Z27" s="707" t="s">
        <v>354</v>
      </c>
      <c r="AA27" s="708" t="s">
        <v>356</v>
      </c>
      <c r="AB27" s="708" t="s">
        <v>354</v>
      </c>
      <c r="AC27" s="139" t="s">
        <v>356</v>
      </c>
      <c r="AD27" s="139" t="s">
        <v>354</v>
      </c>
      <c r="AE27" s="46">
        <f t="shared" si="1"/>
        <v>0</v>
      </c>
      <c r="AF27" s="265"/>
      <c r="AG27" s="157"/>
      <c r="AH27" s="265"/>
      <c r="AI27" s="265"/>
      <c r="AJ27" s="265"/>
      <c r="AK27" s="157">
        <v>0.0</v>
      </c>
      <c r="AL27" s="157">
        <v>0.0</v>
      </c>
      <c r="AM27" s="157">
        <v>0.0</v>
      </c>
      <c r="AN27" s="157">
        <v>0.0</v>
      </c>
      <c r="AO27" s="157">
        <v>0.0</v>
      </c>
      <c r="AP27" s="157">
        <v>0.0</v>
      </c>
      <c r="AQ27" s="157">
        <v>0.0</v>
      </c>
      <c r="AR27" s="157">
        <v>0.0</v>
      </c>
      <c r="AS27" s="265">
        <f t="shared" si="2"/>
        <v>0</v>
      </c>
      <c r="AT27" s="265">
        <f t="shared" si="3"/>
        <v>0</v>
      </c>
    </row>
    <row r="28">
      <c r="A28" s="273">
        <v>27.0</v>
      </c>
      <c r="B28" s="686" t="s">
        <v>259</v>
      </c>
      <c r="C28" s="690" t="s">
        <v>259</v>
      </c>
      <c r="D28" s="687" t="s">
        <v>977</v>
      </c>
      <c r="E28" s="354">
        <v>40925.0</v>
      </c>
      <c r="F28" s="157" t="s">
        <v>354</v>
      </c>
      <c r="G28" s="157" t="s">
        <v>354</v>
      </c>
      <c r="H28" s="157" t="s">
        <v>354</v>
      </c>
      <c r="I28" s="157" t="s">
        <v>354</v>
      </c>
      <c r="J28" s="157" t="s">
        <v>354</v>
      </c>
      <c r="K28" s="184">
        <v>0.0</v>
      </c>
      <c r="L28" s="184" t="s">
        <v>354</v>
      </c>
      <c r="M28" s="157" t="s">
        <v>354</v>
      </c>
      <c r="N28" s="157" t="s">
        <v>354</v>
      </c>
      <c r="O28" s="184" t="s">
        <v>371</v>
      </c>
      <c r="P28" s="157">
        <v>0.0</v>
      </c>
      <c r="Q28" s="157">
        <v>0.0</v>
      </c>
      <c r="R28" s="551" t="s">
        <v>354</v>
      </c>
      <c r="S28" s="551" t="s">
        <v>354</v>
      </c>
      <c r="T28" s="551" t="s">
        <v>354</v>
      </c>
      <c r="U28" s="157">
        <v>0.0</v>
      </c>
      <c r="V28" s="157">
        <v>0.0</v>
      </c>
      <c r="W28" s="157" t="s">
        <v>354</v>
      </c>
      <c r="X28" s="157" t="s">
        <v>354</v>
      </c>
      <c r="Y28" s="707" t="s">
        <v>356</v>
      </c>
      <c r="Z28" s="707" t="s">
        <v>354</v>
      </c>
      <c r="AA28" s="708" t="s">
        <v>356</v>
      </c>
      <c r="AB28" s="708" t="s">
        <v>354</v>
      </c>
      <c r="AC28" s="387" t="s">
        <v>361</v>
      </c>
      <c r="AD28" s="387" t="s">
        <v>361</v>
      </c>
      <c r="AE28" s="46">
        <f t="shared" si="1"/>
        <v>0</v>
      </c>
      <c r="AF28" s="265"/>
      <c r="AG28" s="157"/>
      <c r="AH28" s="265"/>
      <c r="AI28" s="265"/>
      <c r="AJ28" s="265"/>
      <c r="AK28" s="157">
        <v>0.0</v>
      </c>
      <c r="AL28" s="157">
        <v>0.0</v>
      </c>
      <c r="AM28" s="157">
        <v>0.0</v>
      </c>
      <c r="AN28" s="157">
        <v>0.0</v>
      </c>
      <c r="AO28" s="157">
        <v>0.0</v>
      </c>
      <c r="AP28" s="157">
        <v>0.0</v>
      </c>
      <c r="AQ28" s="157">
        <v>0.0</v>
      </c>
      <c r="AR28" s="157">
        <v>0.0</v>
      </c>
      <c r="AS28" s="265">
        <f t="shared" si="2"/>
        <v>0</v>
      </c>
      <c r="AT28" s="265">
        <f t="shared" si="3"/>
        <v>0</v>
      </c>
    </row>
    <row r="29">
      <c r="A29" s="273">
        <v>28.0</v>
      </c>
      <c r="B29" s="693" t="s">
        <v>516</v>
      </c>
      <c r="C29" s="158" t="s">
        <v>516</v>
      </c>
      <c r="D29" s="688" t="s">
        <v>516</v>
      </c>
      <c r="E29" s="354">
        <v>40925.0</v>
      </c>
      <c r="F29" s="157" t="s">
        <v>354</v>
      </c>
      <c r="G29" s="157" t="s">
        <v>354</v>
      </c>
      <c r="H29" s="157" t="s">
        <v>354</v>
      </c>
      <c r="I29" s="157" t="s">
        <v>354</v>
      </c>
      <c r="J29" s="157" t="s">
        <v>354</v>
      </c>
      <c r="K29" s="158">
        <v>2.0</v>
      </c>
      <c r="L29" s="158" t="s">
        <v>1276</v>
      </c>
      <c r="M29" s="157" t="s">
        <v>354</v>
      </c>
      <c r="N29" s="157" t="s">
        <v>354</v>
      </c>
      <c r="O29" s="158" t="s">
        <v>398</v>
      </c>
      <c r="P29" s="157">
        <v>0.0</v>
      </c>
      <c r="Q29" s="157">
        <v>0.0</v>
      </c>
      <c r="R29" s="551" t="s">
        <v>354</v>
      </c>
      <c r="S29" s="551" t="s">
        <v>354</v>
      </c>
      <c r="T29" s="551" t="s">
        <v>354</v>
      </c>
      <c r="U29" s="157">
        <v>0.0</v>
      </c>
      <c r="V29" s="157">
        <v>0.0</v>
      </c>
      <c r="W29" s="157" t="s">
        <v>354</v>
      </c>
      <c r="X29" s="157" t="s">
        <v>354</v>
      </c>
      <c r="Y29" s="694" t="s">
        <v>361</v>
      </c>
      <c r="Z29" s="694" t="s">
        <v>361</v>
      </c>
      <c r="AA29" s="708" t="s">
        <v>356</v>
      </c>
      <c r="AB29" s="708" t="s">
        <v>354</v>
      </c>
      <c r="AC29" s="139" t="s">
        <v>356</v>
      </c>
      <c r="AD29" s="139" t="s">
        <v>354</v>
      </c>
      <c r="AE29" s="46">
        <f t="shared" si="1"/>
        <v>0</v>
      </c>
      <c r="AF29" s="265"/>
      <c r="AG29" s="157"/>
      <c r="AH29" s="265"/>
      <c r="AI29" s="265"/>
      <c r="AJ29" s="265"/>
      <c r="AK29" s="157">
        <v>0.0</v>
      </c>
      <c r="AL29" s="157">
        <v>0.0</v>
      </c>
      <c r="AM29" s="157">
        <v>0.0</v>
      </c>
      <c r="AN29" s="157">
        <v>0.0</v>
      </c>
      <c r="AO29" s="157">
        <v>0.0</v>
      </c>
      <c r="AP29" s="157">
        <v>0.0</v>
      </c>
      <c r="AQ29" s="157">
        <v>0.0</v>
      </c>
      <c r="AR29" s="157">
        <v>0.0</v>
      </c>
      <c r="AS29" s="265">
        <f t="shared" si="2"/>
        <v>0</v>
      </c>
      <c r="AT29" s="265">
        <f t="shared" si="3"/>
        <v>0</v>
      </c>
    </row>
    <row r="30">
      <c r="A30" s="273">
        <v>29.0</v>
      </c>
      <c r="B30" s="686" t="s">
        <v>1761</v>
      </c>
      <c r="C30" s="41" t="s">
        <v>1762</v>
      </c>
      <c r="D30" s="687" t="s">
        <v>1762</v>
      </c>
      <c r="E30" s="354">
        <v>40925.0</v>
      </c>
      <c r="F30" s="157" t="s">
        <v>354</v>
      </c>
      <c r="G30" s="157" t="s">
        <v>354</v>
      </c>
      <c r="H30" s="157" t="s">
        <v>354</v>
      </c>
      <c r="I30" s="157" t="s">
        <v>354</v>
      </c>
      <c r="J30" s="157" t="s">
        <v>354</v>
      </c>
      <c r="K30" s="184">
        <v>0.0</v>
      </c>
      <c r="L30" s="184" t="s">
        <v>354</v>
      </c>
      <c r="M30" s="157" t="s">
        <v>354</v>
      </c>
      <c r="N30" s="157" t="s">
        <v>354</v>
      </c>
      <c r="O30" s="184" t="s">
        <v>371</v>
      </c>
      <c r="P30" s="157">
        <v>0.0</v>
      </c>
      <c r="Q30" s="157">
        <v>0.0</v>
      </c>
      <c r="R30" s="551" t="s">
        <v>354</v>
      </c>
      <c r="S30" s="551" t="s">
        <v>354</v>
      </c>
      <c r="T30" s="551" t="s">
        <v>354</v>
      </c>
      <c r="U30" s="157">
        <v>0.0</v>
      </c>
      <c r="V30" s="157">
        <v>0.0</v>
      </c>
      <c r="W30" s="157" t="s">
        <v>354</v>
      </c>
      <c r="X30" s="157" t="s">
        <v>354</v>
      </c>
      <c r="Y30" s="707" t="s">
        <v>356</v>
      </c>
      <c r="Z30" s="707" t="s">
        <v>354</v>
      </c>
      <c r="AA30" s="708" t="s">
        <v>356</v>
      </c>
      <c r="AB30" s="708" t="s">
        <v>354</v>
      </c>
      <c r="AC30" s="139" t="s">
        <v>356</v>
      </c>
      <c r="AD30" s="139" t="s">
        <v>354</v>
      </c>
      <c r="AE30" s="46">
        <f t="shared" si="1"/>
        <v>0</v>
      </c>
      <c r="AF30" s="265"/>
      <c r="AG30" s="157"/>
      <c r="AH30" s="265"/>
      <c r="AI30" s="265"/>
      <c r="AJ30" s="265"/>
      <c r="AK30" s="157">
        <v>0.0</v>
      </c>
      <c r="AL30" s="157">
        <v>0.0</v>
      </c>
      <c r="AM30" s="157">
        <v>0.0</v>
      </c>
      <c r="AN30" s="157">
        <v>0.0</v>
      </c>
      <c r="AO30" s="157">
        <v>0.0</v>
      </c>
      <c r="AP30" s="157">
        <v>0.0</v>
      </c>
      <c r="AQ30" s="157">
        <v>0.0</v>
      </c>
      <c r="AR30" s="157">
        <v>0.0</v>
      </c>
      <c r="AS30" s="265">
        <f t="shared" si="2"/>
        <v>0</v>
      </c>
      <c r="AT30" s="265">
        <f t="shared" si="3"/>
        <v>0</v>
      </c>
    </row>
    <row r="31">
      <c r="A31" s="273">
        <v>30.0</v>
      </c>
      <c r="B31" s="683" t="s">
        <v>250</v>
      </c>
      <c r="C31" s="323" t="s">
        <v>250</v>
      </c>
      <c r="D31" s="709" t="s">
        <v>874</v>
      </c>
      <c r="E31" s="354">
        <v>40925.0</v>
      </c>
      <c r="F31" s="157" t="s">
        <v>354</v>
      </c>
      <c r="G31" s="157" t="s">
        <v>354</v>
      </c>
      <c r="H31" s="157" t="s">
        <v>354</v>
      </c>
      <c r="I31" s="157" t="s">
        <v>354</v>
      </c>
      <c r="J31" s="157" t="s">
        <v>354</v>
      </c>
      <c r="K31" s="158">
        <v>1.0</v>
      </c>
      <c r="L31" s="158" t="s">
        <v>878</v>
      </c>
      <c r="M31" s="157" t="s">
        <v>354</v>
      </c>
      <c r="N31" s="157" t="s">
        <v>354</v>
      </c>
      <c r="O31" s="158" t="s">
        <v>455</v>
      </c>
      <c r="P31" s="157">
        <v>0.0</v>
      </c>
      <c r="Q31" s="157">
        <v>0.0</v>
      </c>
      <c r="R31" s="551" t="s">
        <v>354</v>
      </c>
      <c r="S31" s="551" t="s">
        <v>354</v>
      </c>
      <c r="T31" s="551" t="s">
        <v>354</v>
      </c>
      <c r="U31" s="157">
        <v>0.0</v>
      </c>
      <c r="V31" s="157">
        <v>0.0</v>
      </c>
      <c r="W31" s="157" t="s">
        <v>354</v>
      </c>
      <c r="X31" s="157" t="s">
        <v>354</v>
      </c>
      <c r="Y31" s="707" t="s">
        <v>356</v>
      </c>
      <c r="Z31" s="707" t="s">
        <v>354</v>
      </c>
      <c r="AA31" s="708" t="s">
        <v>356</v>
      </c>
      <c r="AB31" s="708" t="s">
        <v>354</v>
      </c>
      <c r="AC31" s="139" t="s">
        <v>356</v>
      </c>
      <c r="AD31" s="139" t="s">
        <v>354</v>
      </c>
      <c r="AE31" s="46">
        <f t="shared" si="1"/>
        <v>0</v>
      </c>
      <c r="AF31" s="265"/>
      <c r="AG31" s="157"/>
      <c r="AH31" s="265"/>
      <c r="AI31" s="265"/>
      <c r="AJ31" s="265"/>
      <c r="AK31" s="157">
        <v>0.0</v>
      </c>
      <c r="AL31" s="157">
        <v>0.0</v>
      </c>
      <c r="AM31" s="157">
        <v>0.0</v>
      </c>
      <c r="AN31" s="157">
        <v>0.0</v>
      </c>
      <c r="AO31" s="157">
        <v>0.0</v>
      </c>
      <c r="AP31" s="157">
        <v>0.0</v>
      </c>
      <c r="AQ31" s="157">
        <v>0.0</v>
      </c>
      <c r="AR31" s="157">
        <v>0.0</v>
      </c>
      <c r="AS31" s="265">
        <f t="shared" si="2"/>
        <v>0</v>
      </c>
      <c r="AT31" s="265">
        <f t="shared" si="3"/>
        <v>0</v>
      </c>
    </row>
    <row r="32">
      <c r="A32" s="273">
        <v>31.0</v>
      </c>
      <c r="B32" s="686" t="s">
        <v>951</v>
      </c>
      <c r="C32" s="41" t="s">
        <v>947</v>
      </c>
      <c r="D32" s="687" t="s">
        <v>1665</v>
      </c>
      <c r="E32" s="354">
        <v>40925.0</v>
      </c>
      <c r="F32" s="157" t="s">
        <v>354</v>
      </c>
      <c r="G32" s="157" t="s">
        <v>354</v>
      </c>
      <c r="H32" s="157" t="s">
        <v>354</v>
      </c>
      <c r="I32" s="157" t="s">
        <v>354</v>
      </c>
      <c r="J32" s="157" t="s">
        <v>354</v>
      </c>
      <c r="K32" s="184">
        <v>0.0</v>
      </c>
      <c r="L32" s="184" t="s">
        <v>354</v>
      </c>
      <c r="M32" s="157" t="s">
        <v>354</v>
      </c>
      <c r="N32" s="157" t="s">
        <v>354</v>
      </c>
      <c r="O32" s="184" t="s">
        <v>371</v>
      </c>
      <c r="P32" s="157">
        <v>0.0</v>
      </c>
      <c r="Q32" s="157">
        <v>0.0</v>
      </c>
      <c r="R32" s="551" t="s">
        <v>354</v>
      </c>
      <c r="S32" s="551" t="s">
        <v>354</v>
      </c>
      <c r="T32" s="551" t="s">
        <v>354</v>
      </c>
      <c r="U32" s="157">
        <v>0.0</v>
      </c>
      <c r="V32" s="157">
        <v>0.0</v>
      </c>
      <c r="W32" s="157" t="s">
        <v>354</v>
      </c>
      <c r="X32" s="157" t="s">
        <v>354</v>
      </c>
      <c r="Y32" s="681" t="s">
        <v>365</v>
      </c>
      <c r="Z32" s="90" t="s">
        <v>413</v>
      </c>
      <c r="AA32" s="677" t="s">
        <v>365</v>
      </c>
      <c r="AB32" s="315" t="s">
        <v>420</v>
      </c>
      <c r="AC32" s="144" t="s">
        <v>365</v>
      </c>
      <c r="AD32" s="90" t="s">
        <v>413</v>
      </c>
      <c r="AE32" s="357">
        <f t="shared" si="1"/>
        <v>3</v>
      </c>
      <c r="AF32" s="265"/>
      <c r="AG32" s="157"/>
      <c r="AH32" s="265"/>
      <c r="AI32" s="265"/>
      <c r="AJ32" s="265"/>
      <c r="AK32" s="157">
        <v>0.0</v>
      </c>
      <c r="AL32" s="157">
        <v>1.0</v>
      </c>
      <c r="AM32" s="157">
        <v>0.0</v>
      </c>
      <c r="AN32" s="157">
        <v>0.0</v>
      </c>
      <c r="AO32" s="157">
        <v>2.0</v>
      </c>
      <c r="AP32" s="157">
        <v>0.0</v>
      </c>
      <c r="AQ32" s="157">
        <v>0.0</v>
      </c>
      <c r="AR32" s="157">
        <v>0.0</v>
      </c>
      <c r="AS32" s="388">
        <f t="shared" si="2"/>
        <v>3</v>
      </c>
      <c r="AT32" s="388">
        <f t="shared" si="3"/>
        <v>2</v>
      </c>
    </row>
    <row r="33">
      <c r="A33" s="273">
        <v>32.0</v>
      </c>
      <c r="B33" s="683" t="s">
        <v>968</v>
      </c>
      <c r="C33" s="78" t="s">
        <v>968</v>
      </c>
      <c r="D33" s="692" t="s">
        <v>965</v>
      </c>
      <c r="E33" s="354">
        <v>40925.0</v>
      </c>
      <c r="F33" s="157" t="s">
        <v>354</v>
      </c>
      <c r="G33" s="157" t="s">
        <v>354</v>
      </c>
      <c r="H33" s="157" t="s">
        <v>354</v>
      </c>
      <c r="I33" s="157" t="s">
        <v>354</v>
      </c>
      <c r="J33" s="157" t="s">
        <v>354</v>
      </c>
      <c r="K33" s="158">
        <v>1.0</v>
      </c>
      <c r="L33" s="158" t="s">
        <v>967</v>
      </c>
      <c r="M33" s="157" t="s">
        <v>354</v>
      </c>
      <c r="N33" s="157" t="s">
        <v>354</v>
      </c>
      <c r="O33" s="158" t="s">
        <v>455</v>
      </c>
      <c r="P33" s="157">
        <v>0.0</v>
      </c>
      <c r="Q33" s="157">
        <v>0.0</v>
      </c>
      <c r="R33" s="551" t="s">
        <v>354</v>
      </c>
      <c r="S33" s="551" t="s">
        <v>354</v>
      </c>
      <c r="T33" s="551" t="s">
        <v>354</v>
      </c>
      <c r="U33" s="157">
        <v>0.0</v>
      </c>
      <c r="V33" s="157">
        <v>0.0</v>
      </c>
      <c r="W33" s="157" t="s">
        <v>354</v>
      </c>
      <c r="X33" s="157" t="s">
        <v>354</v>
      </c>
      <c r="Y33" s="694" t="s">
        <v>361</v>
      </c>
      <c r="Z33" s="694" t="s">
        <v>361</v>
      </c>
      <c r="AA33" s="708" t="s">
        <v>356</v>
      </c>
      <c r="AB33" s="708" t="s">
        <v>354</v>
      </c>
      <c r="AC33" s="139" t="s">
        <v>356</v>
      </c>
      <c r="AD33" s="139" t="s">
        <v>354</v>
      </c>
      <c r="AE33" s="46">
        <f t="shared" si="1"/>
        <v>0</v>
      </c>
      <c r="AF33" s="265"/>
      <c r="AG33" s="157"/>
      <c r="AH33" s="265"/>
      <c r="AI33" s="265"/>
      <c r="AJ33" s="265"/>
      <c r="AK33" s="157">
        <v>0.0</v>
      </c>
      <c r="AL33" s="157">
        <v>0.0</v>
      </c>
      <c r="AM33" s="157">
        <v>0.0</v>
      </c>
      <c r="AN33" s="157">
        <v>0.0</v>
      </c>
      <c r="AO33" s="157">
        <v>0.0</v>
      </c>
      <c r="AP33" s="157">
        <v>0.0</v>
      </c>
      <c r="AQ33" s="157">
        <v>0.0</v>
      </c>
      <c r="AR33" s="157">
        <v>0.0</v>
      </c>
      <c r="AS33" s="265">
        <f t="shared" si="2"/>
        <v>0</v>
      </c>
      <c r="AT33" s="265">
        <f t="shared" si="3"/>
        <v>0</v>
      </c>
    </row>
    <row r="34">
      <c r="A34" s="273">
        <v>33.0</v>
      </c>
      <c r="B34" s="695" t="s">
        <v>84</v>
      </c>
      <c r="C34" s="136" t="s">
        <v>84</v>
      </c>
      <c r="D34" s="697" t="s">
        <v>474</v>
      </c>
      <c r="E34" s="354">
        <v>40925.0</v>
      </c>
      <c r="F34" s="157" t="s">
        <v>354</v>
      </c>
      <c r="G34" s="157" t="s">
        <v>354</v>
      </c>
      <c r="H34" s="157" t="s">
        <v>354</v>
      </c>
      <c r="I34" s="157" t="s">
        <v>354</v>
      </c>
      <c r="J34" s="157" t="s">
        <v>354</v>
      </c>
      <c r="K34" s="179">
        <v>1.0</v>
      </c>
      <c r="L34" s="179" t="s">
        <v>354</v>
      </c>
      <c r="M34" s="157" t="s">
        <v>354</v>
      </c>
      <c r="N34" s="157" t="s">
        <v>354</v>
      </c>
      <c r="O34" s="179" t="s">
        <v>485</v>
      </c>
      <c r="P34" s="157">
        <v>0.0</v>
      </c>
      <c r="Q34" s="157">
        <v>0.0</v>
      </c>
      <c r="R34" s="551" t="s">
        <v>354</v>
      </c>
      <c r="S34" s="551" t="s">
        <v>354</v>
      </c>
      <c r="T34" s="551" t="s">
        <v>354</v>
      </c>
      <c r="U34" s="157">
        <v>0.0</v>
      </c>
      <c r="V34" s="157">
        <v>0.0</v>
      </c>
      <c r="W34" s="157" t="s">
        <v>354</v>
      </c>
      <c r="X34" s="157" t="s">
        <v>354</v>
      </c>
      <c r="Y34" s="707" t="s">
        <v>356</v>
      </c>
      <c r="Z34" s="707" t="s">
        <v>354</v>
      </c>
      <c r="AA34" s="708" t="s">
        <v>356</v>
      </c>
      <c r="AB34" s="708" t="s">
        <v>354</v>
      </c>
      <c r="AC34" s="139" t="s">
        <v>356</v>
      </c>
      <c r="AD34" s="139" t="s">
        <v>354</v>
      </c>
      <c r="AE34" s="46">
        <f t="shared" si="1"/>
        <v>0</v>
      </c>
      <c r="AF34" s="265"/>
      <c r="AG34" s="157"/>
      <c r="AH34" s="265"/>
      <c r="AI34" s="265"/>
      <c r="AJ34" s="265"/>
      <c r="AK34" s="157">
        <v>0.0</v>
      </c>
      <c r="AL34" s="157">
        <v>0.0</v>
      </c>
      <c r="AM34" s="157">
        <v>0.0</v>
      </c>
      <c r="AN34" s="157">
        <v>0.0</v>
      </c>
      <c r="AO34" s="157">
        <v>0.0</v>
      </c>
      <c r="AP34" s="157">
        <v>0.0</v>
      </c>
      <c r="AQ34" s="157">
        <v>0.0</v>
      </c>
      <c r="AR34" s="157">
        <v>0.0</v>
      </c>
      <c r="AS34" s="265">
        <f t="shared" si="2"/>
        <v>0</v>
      </c>
      <c r="AT34" s="265">
        <f t="shared" si="3"/>
        <v>0</v>
      </c>
    </row>
    <row r="35">
      <c r="A35" s="273">
        <v>34.0</v>
      </c>
      <c r="B35" s="683" t="s">
        <v>999</v>
      </c>
      <c r="C35" s="710" t="s">
        <v>999</v>
      </c>
      <c r="D35" s="692" t="s">
        <v>1763</v>
      </c>
      <c r="E35" s="354">
        <v>40925.0</v>
      </c>
      <c r="F35" s="157" t="s">
        <v>354</v>
      </c>
      <c r="G35" s="157" t="s">
        <v>354</v>
      </c>
      <c r="H35" s="157" t="s">
        <v>354</v>
      </c>
      <c r="I35" s="157" t="s">
        <v>354</v>
      </c>
      <c r="J35" s="157" t="s">
        <v>354</v>
      </c>
      <c r="K35" s="158">
        <v>1.0</v>
      </c>
      <c r="L35" s="158" t="s">
        <v>998</v>
      </c>
      <c r="M35" s="157" t="s">
        <v>354</v>
      </c>
      <c r="N35" s="157" t="s">
        <v>354</v>
      </c>
      <c r="O35" s="158" t="s">
        <v>455</v>
      </c>
      <c r="P35" s="157">
        <v>0.0</v>
      </c>
      <c r="Q35" s="157">
        <v>0.0</v>
      </c>
      <c r="R35" s="551" t="s">
        <v>354</v>
      </c>
      <c r="S35" s="551" t="s">
        <v>354</v>
      </c>
      <c r="T35" s="551" t="s">
        <v>354</v>
      </c>
      <c r="U35" s="157">
        <v>0.0</v>
      </c>
      <c r="V35" s="157">
        <v>0.0</v>
      </c>
      <c r="W35" s="157" t="s">
        <v>354</v>
      </c>
      <c r="X35" s="157" t="s">
        <v>354</v>
      </c>
      <c r="Y35" s="707" t="s">
        <v>356</v>
      </c>
      <c r="Z35" s="707" t="s">
        <v>354</v>
      </c>
      <c r="AA35" s="708" t="s">
        <v>356</v>
      </c>
      <c r="AB35" s="708" t="s">
        <v>354</v>
      </c>
      <c r="AC35" s="139" t="s">
        <v>356</v>
      </c>
      <c r="AD35" s="139" t="s">
        <v>354</v>
      </c>
      <c r="AE35" s="46">
        <f t="shared" si="1"/>
        <v>0</v>
      </c>
      <c r="AF35" s="265"/>
      <c r="AG35" s="157"/>
      <c r="AH35" s="265"/>
      <c r="AI35" s="265"/>
      <c r="AJ35" s="265"/>
      <c r="AK35" s="157">
        <v>0.0</v>
      </c>
      <c r="AL35" s="157">
        <v>0.0</v>
      </c>
      <c r="AM35" s="157">
        <v>0.0</v>
      </c>
      <c r="AN35" s="157">
        <v>0.0</v>
      </c>
      <c r="AO35" s="157">
        <v>0.0</v>
      </c>
      <c r="AP35" s="157">
        <v>0.0</v>
      </c>
      <c r="AQ35" s="157">
        <v>0.0</v>
      </c>
      <c r="AR35" s="157">
        <v>0.0</v>
      </c>
      <c r="AS35" s="265">
        <f t="shared" si="2"/>
        <v>0</v>
      </c>
      <c r="AT35" s="265">
        <f t="shared" si="3"/>
        <v>0</v>
      </c>
    </row>
    <row r="36">
      <c r="A36" s="273">
        <v>35.0</v>
      </c>
      <c r="B36" s="686" t="s">
        <v>168</v>
      </c>
      <c r="C36" s="271" t="s">
        <v>168</v>
      </c>
      <c r="D36" s="687" t="s">
        <v>656</v>
      </c>
      <c r="E36" s="354">
        <v>40925.0</v>
      </c>
      <c r="F36" s="157" t="s">
        <v>354</v>
      </c>
      <c r="G36" s="157" t="s">
        <v>354</v>
      </c>
      <c r="H36" s="157" t="s">
        <v>354</v>
      </c>
      <c r="I36" s="157" t="s">
        <v>354</v>
      </c>
      <c r="J36" s="157" t="s">
        <v>354</v>
      </c>
      <c r="K36" s="184">
        <v>0.0</v>
      </c>
      <c r="L36" s="184" t="s">
        <v>354</v>
      </c>
      <c r="M36" s="157" t="s">
        <v>354</v>
      </c>
      <c r="N36" s="157" t="s">
        <v>354</v>
      </c>
      <c r="O36" s="184" t="s">
        <v>371</v>
      </c>
      <c r="P36" s="157">
        <v>0.0</v>
      </c>
      <c r="Q36" s="157">
        <v>0.0</v>
      </c>
      <c r="R36" s="551" t="s">
        <v>354</v>
      </c>
      <c r="S36" s="551" t="s">
        <v>354</v>
      </c>
      <c r="T36" s="551" t="s">
        <v>354</v>
      </c>
      <c r="U36" s="157">
        <v>0.0</v>
      </c>
      <c r="V36" s="157">
        <v>0.0</v>
      </c>
      <c r="W36" s="157" t="s">
        <v>354</v>
      </c>
      <c r="X36" s="157" t="s">
        <v>354</v>
      </c>
      <c r="Y36" s="707" t="s">
        <v>356</v>
      </c>
      <c r="Z36" s="707" t="s">
        <v>354</v>
      </c>
      <c r="AA36" s="708" t="s">
        <v>356</v>
      </c>
      <c r="AB36" s="708" t="s">
        <v>354</v>
      </c>
      <c r="AC36" s="144" t="s">
        <v>365</v>
      </c>
      <c r="AD36" s="90" t="s">
        <v>413</v>
      </c>
      <c r="AE36" s="367">
        <f t="shared" si="1"/>
        <v>1</v>
      </c>
      <c r="AF36" s="265"/>
      <c r="AG36" s="157"/>
      <c r="AH36" s="265"/>
      <c r="AI36" s="265"/>
      <c r="AJ36" s="265"/>
      <c r="AK36" s="157">
        <v>0.0</v>
      </c>
      <c r="AL36" s="157">
        <v>0.0</v>
      </c>
      <c r="AM36" s="157">
        <v>0.0</v>
      </c>
      <c r="AN36" s="157">
        <v>0.0</v>
      </c>
      <c r="AO36" s="157">
        <v>1.0</v>
      </c>
      <c r="AP36" s="157">
        <v>0.0</v>
      </c>
      <c r="AQ36" s="157">
        <v>0.0</v>
      </c>
      <c r="AR36" s="157">
        <v>0.0</v>
      </c>
      <c r="AS36" s="385">
        <f t="shared" si="2"/>
        <v>1</v>
      </c>
      <c r="AT36" s="385">
        <f t="shared" si="3"/>
        <v>1</v>
      </c>
    </row>
    <row r="37">
      <c r="A37" s="273">
        <v>36.0</v>
      </c>
      <c r="B37" s="686" t="s">
        <v>1764</v>
      </c>
      <c r="C37" s="41">
        <v>1194.0</v>
      </c>
      <c r="D37" s="687" t="s">
        <v>1765</v>
      </c>
      <c r="E37" s="354">
        <v>40925.0</v>
      </c>
      <c r="F37" s="157" t="s">
        <v>354</v>
      </c>
      <c r="G37" s="157" t="s">
        <v>354</v>
      </c>
      <c r="H37" s="157" t="s">
        <v>354</v>
      </c>
      <c r="I37" s="157" t="s">
        <v>354</v>
      </c>
      <c r="J37" s="157" t="s">
        <v>354</v>
      </c>
      <c r="K37" s="184">
        <v>0.0</v>
      </c>
      <c r="L37" s="184" t="s">
        <v>354</v>
      </c>
      <c r="M37" s="157" t="s">
        <v>354</v>
      </c>
      <c r="N37" s="157" t="s">
        <v>354</v>
      </c>
      <c r="O37" s="184" t="s">
        <v>371</v>
      </c>
      <c r="P37" s="157">
        <v>0.0</v>
      </c>
      <c r="Q37" s="157">
        <v>0.0</v>
      </c>
      <c r="R37" s="551" t="s">
        <v>354</v>
      </c>
      <c r="S37" s="551" t="s">
        <v>354</v>
      </c>
      <c r="T37" s="551" t="s">
        <v>354</v>
      </c>
      <c r="U37" s="157">
        <v>0.0</v>
      </c>
      <c r="V37" s="157">
        <v>0.0</v>
      </c>
      <c r="W37" s="157" t="s">
        <v>354</v>
      </c>
      <c r="X37" s="157" t="s">
        <v>354</v>
      </c>
      <c r="Y37" s="707" t="s">
        <v>356</v>
      </c>
      <c r="Z37" s="707" t="s">
        <v>354</v>
      </c>
      <c r="AA37" s="708" t="s">
        <v>356</v>
      </c>
      <c r="AB37" s="708" t="s">
        <v>354</v>
      </c>
      <c r="AC37" s="139" t="s">
        <v>356</v>
      </c>
      <c r="AD37" s="139" t="s">
        <v>354</v>
      </c>
      <c r="AE37" s="46">
        <f t="shared" si="1"/>
        <v>0</v>
      </c>
      <c r="AF37" s="265"/>
      <c r="AG37" s="157"/>
      <c r="AH37" s="265"/>
      <c r="AI37" s="265"/>
      <c r="AJ37" s="265"/>
      <c r="AK37" s="157">
        <v>0.0</v>
      </c>
      <c r="AL37" s="157">
        <v>0.0</v>
      </c>
      <c r="AM37" s="157">
        <v>0.0</v>
      </c>
      <c r="AN37" s="157">
        <v>0.0</v>
      </c>
      <c r="AO37" s="157">
        <v>0.0</v>
      </c>
      <c r="AP37" s="157">
        <v>0.0</v>
      </c>
      <c r="AQ37" s="157">
        <v>0.0</v>
      </c>
      <c r="AR37" s="157">
        <v>0.0</v>
      </c>
      <c r="AS37" s="265">
        <f t="shared" si="2"/>
        <v>0</v>
      </c>
      <c r="AT37" s="265">
        <f t="shared" si="3"/>
        <v>0</v>
      </c>
    </row>
    <row r="38">
      <c r="A38" s="273">
        <v>37.0</v>
      </c>
      <c r="B38" s="686" t="s">
        <v>1766</v>
      </c>
      <c r="C38" s="41" t="s">
        <v>899</v>
      </c>
      <c r="D38" s="687" t="s">
        <v>900</v>
      </c>
      <c r="E38" s="354">
        <v>40925.0</v>
      </c>
      <c r="F38" s="157" t="s">
        <v>354</v>
      </c>
      <c r="G38" s="157" t="s">
        <v>354</v>
      </c>
      <c r="H38" s="157" t="s">
        <v>354</v>
      </c>
      <c r="I38" s="157" t="s">
        <v>354</v>
      </c>
      <c r="J38" s="157" t="s">
        <v>354</v>
      </c>
      <c r="K38" s="184">
        <v>0.0</v>
      </c>
      <c r="L38" s="184" t="s">
        <v>354</v>
      </c>
      <c r="M38" s="157" t="s">
        <v>354</v>
      </c>
      <c r="N38" s="157" t="s">
        <v>354</v>
      </c>
      <c r="O38" s="184" t="s">
        <v>371</v>
      </c>
      <c r="P38" s="157">
        <v>0.0</v>
      </c>
      <c r="Q38" s="157">
        <v>0.0</v>
      </c>
      <c r="R38" s="551" t="s">
        <v>354</v>
      </c>
      <c r="S38" s="551" t="s">
        <v>354</v>
      </c>
      <c r="T38" s="551" t="s">
        <v>354</v>
      </c>
      <c r="U38" s="157">
        <v>0.0</v>
      </c>
      <c r="V38" s="157">
        <v>0.0</v>
      </c>
      <c r="W38" s="157" t="s">
        <v>354</v>
      </c>
      <c r="X38" s="157" t="s">
        <v>354</v>
      </c>
      <c r="Y38" s="707" t="s">
        <v>356</v>
      </c>
      <c r="Z38" s="707" t="s">
        <v>354</v>
      </c>
      <c r="AA38" s="708" t="s">
        <v>356</v>
      </c>
      <c r="AB38" s="708" t="s">
        <v>354</v>
      </c>
      <c r="AC38" s="139" t="s">
        <v>356</v>
      </c>
      <c r="AD38" s="139" t="s">
        <v>354</v>
      </c>
      <c r="AE38" s="46">
        <f t="shared" si="1"/>
        <v>0</v>
      </c>
      <c r="AF38" s="265"/>
      <c r="AG38" s="157"/>
      <c r="AH38" s="265"/>
      <c r="AI38" s="265"/>
      <c r="AJ38" s="265"/>
      <c r="AK38" s="157">
        <v>0.0</v>
      </c>
      <c r="AL38" s="157">
        <v>0.0</v>
      </c>
      <c r="AM38" s="157">
        <v>0.0</v>
      </c>
      <c r="AN38" s="157">
        <v>0.0</v>
      </c>
      <c r="AO38" s="157">
        <v>0.0</v>
      </c>
      <c r="AP38" s="157">
        <v>0.0</v>
      </c>
      <c r="AQ38" s="157">
        <v>0.0</v>
      </c>
      <c r="AR38" s="157">
        <v>0.0</v>
      </c>
      <c r="AS38" s="265">
        <f t="shared" si="2"/>
        <v>0</v>
      </c>
      <c r="AT38" s="265">
        <f t="shared" si="3"/>
        <v>0</v>
      </c>
    </row>
    <row r="39">
      <c r="A39" s="273">
        <v>38.0</v>
      </c>
      <c r="B39" s="686" t="s">
        <v>898</v>
      </c>
      <c r="C39" s="690" t="s">
        <v>898</v>
      </c>
      <c r="D39" s="711" t="s">
        <v>896</v>
      </c>
      <c r="E39" s="354">
        <v>40925.0</v>
      </c>
      <c r="F39" s="157" t="s">
        <v>354</v>
      </c>
      <c r="G39" s="157" t="s">
        <v>354</v>
      </c>
      <c r="H39" s="157" t="s">
        <v>354</v>
      </c>
      <c r="I39" s="157" t="s">
        <v>354</v>
      </c>
      <c r="J39" s="157" t="s">
        <v>354</v>
      </c>
      <c r="K39" s="184">
        <v>0.0</v>
      </c>
      <c r="L39" s="184" t="s">
        <v>354</v>
      </c>
      <c r="M39" s="157" t="s">
        <v>354</v>
      </c>
      <c r="N39" s="157" t="s">
        <v>354</v>
      </c>
      <c r="O39" s="184" t="s">
        <v>371</v>
      </c>
      <c r="P39" s="140">
        <v>35.99</v>
      </c>
      <c r="Q39" s="157">
        <v>0.0</v>
      </c>
      <c r="R39" s="551" t="s">
        <v>354</v>
      </c>
      <c r="S39" s="551" t="s">
        <v>354</v>
      </c>
      <c r="T39" s="551" t="s">
        <v>354</v>
      </c>
      <c r="U39" s="157">
        <v>0.0</v>
      </c>
      <c r="V39" s="157">
        <v>0.0</v>
      </c>
      <c r="W39" s="157" t="s">
        <v>354</v>
      </c>
      <c r="X39" s="157" t="s">
        <v>354</v>
      </c>
      <c r="Y39" s="681" t="s">
        <v>365</v>
      </c>
      <c r="Z39" s="181" t="s">
        <v>389</v>
      </c>
      <c r="AA39" s="677" t="s">
        <v>365</v>
      </c>
      <c r="AB39" s="181" t="s">
        <v>389</v>
      </c>
      <c r="AC39" s="144" t="s">
        <v>365</v>
      </c>
      <c r="AD39" s="162" t="s">
        <v>363</v>
      </c>
      <c r="AE39" s="357">
        <f t="shared" si="1"/>
        <v>4</v>
      </c>
      <c r="AF39" s="265"/>
      <c r="AG39" s="157"/>
      <c r="AH39" s="265"/>
      <c r="AI39" s="265"/>
      <c r="AJ39" s="265"/>
      <c r="AK39" s="157">
        <v>2.0</v>
      </c>
      <c r="AL39" s="157">
        <v>0.0</v>
      </c>
      <c r="AM39" s="157">
        <v>0.0</v>
      </c>
      <c r="AN39" s="157">
        <v>1.0</v>
      </c>
      <c r="AO39" s="157">
        <v>0.0</v>
      </c>
      <c r="AP39" s="157">
        <v>0.0</v>
      </c>
      <c r="AQ39" s="157">
        <v>0.0</v>
      </c>
      <c r="AR39" s="157">
        <v>0.0</v>
      </c>
      <c r="AS39" s="388">
        <f t="shared" si="2"/>
        <v>3</v>
      </c>
      <c r="AT39" s="388">
        <f t="shared" si="3"/>
        <v>2</v>
      </c>
    </row>
    <row r="40">
      <c r="A40" s="273">
        <v>39.0</v>
      </c>
      <c r="B40" s="686" t="s">
        <v>1767</v>
      </c>
      <c r="C40" s="41" t="s">
        <v>959</v>
      </c>
      <c r="D40" s="687" t="s">
        <v>960</v>
      </c>
      <c r="E40" s="354">
        <v>40925.0</v>
      </c>
      <c r="F40" s="157" t="s">
        <v>354</v>
      </c>
      <c r="G40" s="157" t="s">
        <v>354</v>
      </c>
      <c r="H40" s="157" t="s">
        <v>354</v>
      </c>
      <c r="I40" s="157" t="s">
        <v>354</v>
      </c>
      <c r="J40" s="157" t="s">
        <v>354</v>
      </c>
      <c r="K40" s="184">
        <v>0.0</v>
      </c>
      <c r="L40" s="184" t="s">
        <v>354</v>
      </c>
      <c r="M40" s="157" t="s">
        <v>354</v>
      </c>
      <c r="N40" s="157" t="s">
        <v>354</v>
      </c>
      <c r="O40" s="184" t="s">
        <v>371</v>
      </c>
      <c r="P40" s="157">
        <v>0.0</v>
      </c>
      <c r="Q40" s="157">
        <v>0.0</v>
      </c>
      <c r="R40" s="551" t="s">
        <v>354</v>
      </c>
      <c r="S40" s="551" t="s">
        <v>354</v>
      </c>
      <c r="T40" s="551" t="s">
        <v>354</v>
      </c>
      <c r="U40" s="157">
        <v>0.0</v>
      </c>
      <c r="V40" s="157">
        <v>0.0</v>
      </c>
      <c r="W40" s="157" t="s">
        <v>354</v>
      </c>
      <c r="X40" s="157" t="s">
        <v>354</v>
      </c>
      <c r="Y40" s="707" t="s">
        <v>356</v>
      </c>
      <c r="Z40" s="707" t="s">
        <v>354</v>
      </c>
      <c r="AA40" s="708" t="s">
        <v>356</v>
      </c>
      <c r="AB40" s="708" t="s">
        <v>354</v>
      </c>
      <c r="AC40" s="139" t="s">
        <v>356</v>
      </c>
      <c r="AD40" s="139" t="s">
        <v>354</v>
      </c>
      <c r="AE40" s="46">
        <f t="shared" si="1"/>
        <v>0</v>
      </c>
      <c r="AF40" s="265"/>
      <c r="AG40" s="157"/>
      <c r="AH40" s="265"/>
      <c r="AI40" s="265"/>
      <c r="AJ40" s="265"/>
      <c r="AK40" s="157">
        <v>0.0</v>
      </c>
      <c r="AL40" s="157">
        <v>0.0</v>
      </c>
      <c r="AM40" s="157">
        <v>0.0</v>
      </c>
      <c r="AN40" s="157">
        <v>0.0</v>
      </c>
      <c r="AO40" s="157">
        <v>0.0</v>
      </c>
      <c r="AP40" s="157">
        <v>0.0</v>
      </c>
      <c r="AQ40" s="157">
        <v>0.0</v>
      </c>
      <c r="AR40" s="157">
        <v>0.0</v>
      </c>
      <c r="AS40" s="265">
        <f t="shared" si="2"/>
        <v>0</v>
      </c>
      <c r="AT40" s="265">
        <f t="shared" si="3"/>
        <v>0</v>
      </c>
    </row>
    <row r="41">
      <c r="A41" s="273">
        <v>40.0</v>
      </c>
      <c r="B41" s="683" t="s">
        <v>1768</v>
      </c>
      <c r="C41" s="702" t="s">
        <v>161</v>
      </c>
      <c r="D41" s="692" t="s">
        <v>645</v>
      </c>
      <c r="E41" s="354">
        <v>40925.0</v>
      </c>
      <c r="F41" s="157" t="s">
        <v>354</v>
      </c>
      <c r="G41" s="157" t="s">
        <v>354</v>
      </c>
      <c r="H41" s="157" t="s">
        <v>354</v>
      </c>
      <c r="I41" s="157" t="s">
        <v>354</v>
      </c>
      <c r="J41" s="157" t="s">
        <v>354</v>
      </c>
      <c r="K41" s="158">
        <v>3.0</v>
      </c>
      <c r="L41" s="158" t="s">
        <v>647</v>
      </c>
      <c r="M41" s="157" t="s">
        <v>354</v>
      </c>
      <c r="N41" s="157" t="s">
        <v>354</v>
      </c>
      <c r="O41" s="158" t="s">
        <v>600</v>
      </c>
      <c r="P41" s="157">
        <v>0.0</v>
      </c>
      <c r="Q41" s="157">
        <v>0.0</v>
      </c>
      <c r="R41" s="551" t="s">
        <v>354</v>
      </c>
      <c r="S41" s="551" t="s">
        <v>354</v>
      </c>
      <c r="T41" s="551" t="s">
        <v>354</v>
      </c>
      <c r="U41" s="157">
        <v>0.0</v>
      </c>
      <c r="V41" s="157">
        <v>0.0</v>
      </c>
      <c r="W41" s="157" t="s">
        <v>354</v>
      </c>
      <c r="X41" s="157" t="s">
        <v>354</v>
      </c>
      <c r="Y41" s="681" t="s">
        <v>365</v>
      </c>
      <c r="Z41" s="90" t="s">
        <v>413</v>
      </c>
      <c r="AA41" s="677" t="s">
        <v>365</v>
      </c>
      <c r="AB41" s="90" t="s">
        <v>413</v>
      </c>
      <c r="AC41" s="144" t="s">
        <v>365</v>
      </c>
      <c r="AD41" s="90" t="s">
        <v>413</v>
      </c>
      <c r="AE41" s="357">
        <f t="shared" si="1"/>
        <v>3</v>
      </c>
      <c r="AF41" s="265"/>
      <c r="AG41" s="157"/>
      <c r="AH41" s="265"/>
      <c r="AI41" s="265"/>
      <c r="AJ41" s="265"/>
      <c r="AK41" s="157">
        <v>0.0</v>
      </c>
      <c r="AL41" s="157">
        <v>0.0</v>
      </c>
      <c r="AM41" s="157">
        <v>0.0</v>
      </c>
      <c r="AN41" s="157">
        <v>0.0</v>
      </c>
      <c r="AO41" s="157">
        <v>3.0</v>
      </c>
      <c r="AP41" s="157">
        <v>0.0</v>
      </c>
      <c r="AQ41" s="157">
        <v>0.0</v>
      </c>
      <c r="AR41" s="157">
        <v>0.0</v>
      </c>
      <c r="AS41" s="388">
        <f t="shared" si="2"/>
        <v>3</v>
      </c>
      <c r="AT41" s="388">
        <f t="shared" si="3"/>
        <v>1</v>
      </c>
    </row>
    <row r="42">
      <c r="A42" s="273">
        <v>41.0</v>
      </c>
      <c r="B42" s="686" t="s">
        <v>1769</v>
      </c>
      <c r="C42" s="271" t="s">
        <v>29</v>
      </c>
      <c r="D42" s="687" t="s">
        <v>401</v>
      </c>
      <c r="E42" s="354">
        <v>40925.0</v>
      </c>
      <c r="F42" s="157" t="s">
        <v>354</v>
      </c>
      <c r="G42" s="157" t="s">
        <v>354</v>
      </c>
      <c r="H42" s="157" t="s">
        <v>354</v>
      </c>
      <c r="I42" s="157" t="s">
        <v>354</v>
      </c>
      <c r="J42" s="157" t="s">
        <v>354</v>
      </c>
      <c r="K42" s="184">
        <v>0.0</v>
      </c>
      <c r="L42" s="184" t="s">
        <v>354</v>
      </c>
      <c r="M42" s="157" t="s">
        <v>354</v>
      </c>
      <c r="N42" s="157" t="s">
        <v>354</v>
      </c>
      <c r="O42" s="184" t="s">
        <v>371</v>
      </c>
      <c r="P42" s="157">
        <v>0.0</v>
      </c>
      <c r="Q42" s="157">
        <v>0.0</v>
      </c>
      <c r="R42" s="551" t="s">
        <v>354</v>
      </c>
      <c r="S42" s="551" t="s">
        <v>354</v>
      </c>
      <c r="T42" s="551" t="s">
        <v>354</v>
      </c>
      <c r="U42" s="157">
        <v>0.0</v>
      </c>
      <c r="V42" s="157">
        <v>0.0</v>
      </c>
      <c r="W42" s="157" t="s">
        <v>354</v>
      </c>
      <c r="X42" s="157" t="s">
        <v>354</v>
      </c>
      <c r="Y42" s="707" t="s">
        <v>356</v>
      </c>
      <c r="Z42" s="707" t="s">
        <v>354</v>
      </c>
      <c r="AA42" s="708" t="s">
        <v>356</v>
      </c>
      <c r="AB42" s="708" t="s">
        <v>354</v>
      </c>
      <c r="AC42" s="139" t="s">
        <v>356</v>
      </c>
      <c r="AD42" s="139" t="s">
        <v>354</v>
      </c>
      <c r="AE42" s="46">
        <f t="shared" si="1"/>
        <v>0</v>
      </c>
      <c r="AF42" s="265"/>
      <c r="AG42" s="157"/>
      <c r="AH42" s="265"/>
      <c r="AI42" s="265"/>
      <c r="AJ42" s="265"/>
      <c r="AK42" s="157">
        <v>0.0</v>
      </c>
      <c r="AL42" s="157">
        <v>0.0</v>
      </c>
      <c r="AM42" s="157">
        <v>0.0</v>
      </c>
      <c r="AN42" s="157">
        <v>0.0</v>
      </c>
      <c r="AO42" s="157">
        <v>0.0</v>
      </c>
      <c r="AP42" s="157">
        <v>0.0</v>
      </c>
      <c r="AQ42" s="157">
        <v>0.0</v>
      </c>
      <c r="AR42" s="157">
        <v>0.0</v>
      </c>
      <c r="AS42" s="265">
        <f t="shared" si="2"/>
        <v>0</v>
      </c>
      <c r="AT42" s="265">
        <f t="shared" si="3"/>
        <v>0</v>
      </c>
    </row>
    <row r="43">
      <c r="A43" s="273">
        <v>42.0</v>
      </c>
      <c r="B43" s="686" t="s">
        <v>1005</v>
      </c>
      <c r="C43" s="41" t="s">
        <v>1005</v>
      </c>
      <c r="D43" s="687" t="s">
        <v>1003</v>
      </c>
      <c r="E43" s="354">
        <v>40925.0</v>
      </c>
      <c r="F43" s="157" t="s">
        <v>354</v>
      </c>
      <c r="G43" s="157" t="s">
        <v>354</v>
      </c>
      <c r="H43" s="157" t="s">
        <v>354</v>
      </c>
      <c r="I43" s="157" t="s">
        <v>354</v>
      </c>
      <c r="J43" s="157" t="s">
        <v>354</v>
      </c>
      <c r="K43" s="184">
        <v>0.0</v>
      </c>
      <c r="L43" s="184" t="s">
        <v>354</v>
      </c>
      <c r="M43" s="157" t="s">
        <v>354</v>
      </c>
      <c r="N43" s="157" t="s">
        <v>354</v>
      </c>
      <c r="O43" s="184" t="s">
        <v>371</v>
      </c>
      <c r="P43" s="157">
        <v>0.0</v>
      </c>
      <c r="Q43" s="157">
        <v>0.0</v>
      </c>
      <c r="R43" s="551" t="s">
        <v>354</v>
      </c>
      <c r="S43" s="551" t="s">
        <v>354</v>
      </c>
      <c r="T43" s="551" t="s">
        <v>354</v>
      </c>
      <c r="U43" s="157">
        <v>0.0</v>
      </c>
      <c r="V43" s="157">
        <v>0.0</v>
      </c>
      <c r="W43" s="157" t="s">
        <v>354</v>
      </c>
      <c r="X43" s="157" t="s">
        <v>354</v>
      </c>
      <c r="Y43" s="707" t="s">
        <v>356</v>
      </c>
      <c r="Z43" s="707" t="s">
        <v>354</v>
      </c>
      <c r="AA43" s="708" t="s">
        <v>356</v>
      </c>
      <c r="AB43" s="708" t="s">
        <v>354</v>
      </c>
      <c r="AC43" s="139" t="s">
        <v>356</v>
      </c>
      <c r="AD43" s="139" t="s">
        <v>354</v>
      </c>
      <c r="AE43" s="46">
        <f t="shared" si="1"/>
        <v>0</v>
      </c>
      <c r="AF43" s="265"/>
      <c r="AG43" s="157"/>
      <c r="AH43" s="265"/>
      <c r="AI43" s="265"/>
      <c r="AJ43" s="265"/>
      <c r="AK43" s="157">
        <v>0.0</v>
      </c>
      <c r="AL43" s="157">
        <v>0.0</v>
      </c>
      <c r="AM43" s="157">
        <v>0.0</v>
      </c>
      <c r="AN43" s="157">
        <v>0.0</v>
      </c>
      <c r="AO43" s="157">
        <v>0.0</v>
      </c>
      <c r="AP43" s="157">
        <v>0.0</v>
      </c>
      <c r="AQ43" s="157">
        <v>0.0</v>
      </c>
      <c r="AR43" s="157">
        <v>0.0</v>
      </c>
      <c r="AS43" s="265">
        <f t="shared" si="2"/>
        <v>0</v>
      </c>
      <c r="AT43" s="265">
        <f t="shared" si="3"/>
        <v>0</v>
      </c>
    </row>
    <row r="44">
      <c r="A44" s="273">
        <v>43.0</v>
      </c>
      <c r="B44" s="686" t="s">
        <v>80</v>
      </c>
      <c r="C44" s="271" t="s">
        <v>80</v>
      </c>
      <c r="D44" s="687" t="s">
        <v>467</v>
      </c>
      <c r="E44" s="354">
        <v>40925.0</v>
      </c>
      <c r="F44" s="157" t="s">
        <v>354</v>
      </c>
      <c r="G44" s="157" t="s">
        <v>354</v>
      </c>
      <c r="H44" s="157" t="s">
        <v>354</v>
      </c>
      <c r="I44" s="157" t="s">
        <v>354</v>
      </c>
      <c r="J44" s="157" t="s">
        <v>354</v>
      </c>
      <c r="K44" s="184">
        <v>0.0</v>
      </c>
      <c r="L44" s="184" t="s">
        <v>354</v>
      </c>
      <c r="M44" s="157" t="s">
        <v>354</v>
      </c>
      <c r="N44" s="157" t="s">
        <v>354</v>
      </c>
      <c r="O44" s="184" t="s">
        <v>371</v>
      </c>
      <c r="P44" s="157">
        <v>0.0</v>
      </c>
      <c r="Q44" s="157">
        <v>0.0</v>
      </c>
      <c r="R44" s="551" t="s">
        <v>354</v>
      </c>
      <c r="S44" s="551" t="s">
        <v>354</v>
      </c>
      <c r="T44" s="551" t="s">
        <v>354</v>
      </c>
      <c r="U44" s="157">
        <v>0.0</v>
      </c>
      <c r="V44" s="157">
        <v>0.0</v>
      </c>
      <c r="W44" s="157" t="s">
        <v>354</v>
      </c>
      <c r="X44" s="157" t="s">
        <v>354</v>
      </c>
      <c r="Y44" s="681" t="s">
        <v>365</v>
      </c>
      <c r="Z44" s="143" t="s">
        <v>358</v>
      </c>
      <c r="AA44" s="708" t="s">
        <v>356</v>
      </c>
      <c r="AB44" s="708" t="s">
        <v>354</v>
      </c>
      <c r="AC44" s="144" t="s">
        <v>365</v>
      </c>
      <c r="AD44" s="143" t="s">
        <v>358</v>
      </c>
      <c r="AE44" s="357">
        <f t="shared" si="1"/>
        <v>2</v>
      </c>
      <c r="AF44" s="265"/>
      <c r="AG44" s="157"/>
      <c r="AH44" s="265"/>
      <c r="AI44" s="265"/>
      <c r="AJ44" s="265"/>
      <c r="AK44" s="157">
        <v>0.0</v>
      </c>
      <c r="AL44" s="157">
        <v>0.0</v>
      </c>
      <c r="AM44" s="157">
        <v>2.0</v>
      </c>
      <c r="AN44" s="157">
        <v>0.0</v>
      </c>
      <c r="AO44" s="157">
        <v>0.0</v>
      </c>
      <c r="AP44" s="157">
        <v>0.0</v>
      </c>
      <c r="AQ44" s="157">
        <v>0.0</v>
      </c>
      <c r="AR44" s="157">
        <v>0.0</v>
      </c>
      <c r="AS44" s="388">
        <f t="shared" si="2"/>
        <v>2</v>
      </c>
      <c r="AT44" s="388">
        <f t="shared" si="3"/>
        <v>1</v>
      </c>
    </row>
    <row r="45">
      <c r="A45" s="273">
        <v>44.0</v>
      </c>
      <c r="B45" s="686" t="s">
        <v>201</v>
      </c>
      <c r="C45" s="271" t="s">
        <v>201</v>
      </c>
      <c r="D45" s="687" t="s">
        <v>1622</v>
      </c>
      <c r="E45" s="354">
        <v>40925.0</v>
      </c>
      <c r="F45" s="157" t="s">
        <v>354</v>
      </c>
      <c r="G45" s="157" t="s">
        <v>354</v>
      </c>
      <c r="H45" s="157" t="s">
        <v>354</v>
      </c>
      <c r="I45" s="157" t="s">
        <v>354</v>
      </c>
      <c r="J45" s="157" t="s">
        <v>354</v>
      </c>
      <c r="K45" s="184">
        <v>0.0</v>
      </c>
      <c r="L45" s="184" t="s">
        <v>354</v>
      </c>
      <c r="M45" s="157" t="s">
        <v>354</v>
      </c>
      <c r="N45" s="157" t="s">
        <v>354</v>
      </c>
      <c r="O45" s="184" t="s">
        <v>371</v>
      </c>
      <c r="P45" s="157">
        <v>0.0</v>
      </c>
      <c r="Q45" s="157">
        <v>0.0</v>
      </c>
      <c r="R45" s="551" t="s">
        <v>354</v>
      </c>
      <c r="S45" s="551" t="s">
        <v>354</v>
      </c>
      <c r="T45" s="551" t="s">
        <v>354</v>
      </c>
      <c r="U45" s="157">
        <v>0.0</v>
      </c>
      <c r="V45" s="157">
        <v>0.0</v>
      </c>
      <c r="W45" s="157" t="s">
        <v>354</v>
      </c>
      <c r="X45" s="157" t="s">
        <v>354</v>
      </c>
      <c r="Y45" s="707" t="s">
        <v>356</v>
      </c>
      <c r="Z45" s="707" t="s">
        <v>354</v>
      </c>
      <c r="AA45" s="708" t="s">
        <v>356</v>
      </c>
      <c r="AB45" s="708" t="s">
        <v>354</v>
      </c>
      <c r="AC45" s="139" t="s">
        <v>356</v>
      </c>
      <c r="AD45" s="139" t="s">
        <v>354</v>
      </c>
      <c r="AE45" s="46">
        <f t="shared" si="1"/>
        <v>0</v>
      </c>
      <c r="AF45" s="265"/>
      <c r="AG45" s="157"/>
      <c r="AH45" s="265"/>
      <c r="AI45" s="265"/>
      <c r="AJ45" s="265"/>
      <c r="AK45" s="157">
        <v>0.0</v>
      </c>
      <c r="AL45" s="157">
        <v>0.0</v>
      </c>
      <c r="AM45" s="157">
        <v>0.0</v>
      </c>
      <c r="AN45" s="157">
        <v>0.0</v>
      </c>
      <c r="AO45" s="157">
        <v>0.0</v>
      </c>
      <c r="AP45" s="157">
        <v>0.0</v>
      </c>
      <c r="AQ45" s="157">
        <v>0.0</v>
      </c>
      <c r="AR45" s="157">
        <v>0.0</v>
      </c>
      <c r="AS45" s="265">
        <f t="shared" si="2"/>
        <v>0</v>
      </c>
      <c r="AT45" s="265">
        <f t="shared" si="3"/>
        <v>0</v>
      </c>
    </row>
    <row r="46">
      <c r="A46" s="273">
        <v>45.0</v>
      </c>
      <c r="B46" s="683" t="s">
        <v>942</v>
      </c>
      <c r="C46" s="710" t="s">
        <v>939</v>
      </c>
      <c r="D46" s="685" t="s">
        <v>940</v>
      </c>
      <c r="E46" s="354">
        <v>40925.0</v>
      </c>
      <c r="F46" s="157" t="s">
        <v>354</v>
      </c>
      <c r="G46" s="157" t="s">
        <v>354</v>
      </c>
      <c r="H46" s="157" t="s">
        <v>354</v>
      </c>
      <c r="I46" s="157" t="s">
        <v>354</v>
      </c>
      <c r="J46" s="157" t="s">
        <v>354</v>
      </c>
      <c r="K46" s="158">
        <v>1.0</v>
      </c>
      <c r="L46" s="158" t="s">
        <v>944</v>
      </c>
      <c r="M46" s="157" t="s">
        <v>354</v>
      </c>
      <c r="N46" s="157" t="s">
        <v>354</v>
      </c>
      <c r="O46" s="158" t="s">
        <v>455</v>
      </c>
      <c r="P46" s="157">
        <v>0.0</v>
      </c>
      <c r="Q46" s="157">
        <v>0.0</v>
      </c>
      <c r="R46" s="551" t="s">
        <v>354</v>
      </c>
      <c r="S46" s="551" t="s">
        <v>354</v>
      </c>
      <c r="T46" s="551" t="s">
        <v>354</v>
      </c>
      <c r="U46" s="157">
        <v>0.0</v>
      </c>
      <c r="V46" s="157">
        <v>0.0</v>
      </c>
      <c r="W46" s="157" t="s">
        <v>354</v>
      </c>
      <c r="X46" s="157" t="s">
        <v>354</v>
      </c>
      <c r="Y46" s="707" t="s">
        <v>356</v>
      </c>
      <c r="Z46" s="707" t="s">
        <v>354</v>
      </c>
      <c r="AA46" s="708" t="s">
        <v>356</v>
      </c>
      <c r="AB46" s="708" t="s">
        <v>354</v>
      </c>
      <c r="AC46" s="139" t="s">
        <v>356</v>
      </c>
      <c r="AD46" s="139" t="s">
        <v>354</v>
      </c>
      <c r="AE46" s="46">
        <f t="shared" si="1"/>
        <v>0</v>
      </c>
      <c r="AF46" s="265"/>
      <c r="AG46" s="157"/>
      <c r="AH46" s="265"/>
      <c r="AI46" s="265"/>
      <c r="AJ46" s="265"/>
      <c r="AK46" s="157">
        <v>0.0</v>
      </c>
      <c r="AL46" s="157">
        <v>0.0</v>
      </c>
      <c r="AM46" s="157">
        <v>0.0</v>
      </c>
      <c r="AN46" s="157">
        <v>0.0</v>
      </c>
      <c r="AO46" s="157">
        <v>0.0</v>
      </c>
      <c r="AP46" s="157">
        <v>0.0</v>
      </c>
      <c r="AQ46" s="157">
        <v>0.0</v>
      </c>
      <c r="AR46" s="157">
        <v>0.0</v>
      </c>
      <c r="AS46" s="265">
        <f t="shared" si="2"/>
        <v>0</v>
      </c>
      <c r="AT46" s="265">
        <f t="shared" si="3"/>
        <v>0</v>
      </c>
    </row>
    <row r="47">
      <c r="A47" s="273">
        <v>46.0</v>
      </c>
      <c r="B47" s="686" t="s">
        <v>1027</v>
      </c>
      <c r="C47" s="690" t="s">
        <v>1027</v>
      </c>
      <c r="D47" s="711" t="s">
        <v>1024</v>
      </c>
      <c r="E47" s="354">
        <v>40925.0</v>
      </c>
      <c r="F47" s="157" t="s">
        <v>354</v>
      </c>
      <c r="G47" s="157" t="s">
        <v>354</v>
      </c>
      <c r="H47" s="157" t="s">
        <v>354</v>
      </c>
      <c r="I47" s="157" t="s">
        <v>354</v>
      </c>
      <c r="J47" s="157" t="s">
        <v>354</v>
      </c>
      <c r="K47" s="184">
        <v>0.0</v>
      </c>
      <c r="L47" s="184" t="s">
        <v>354</v>
      </c>
      <c r="M47" s="157" t="s">
        <v>354</v>
      </c>
      <c r="N47" s="157" t="s">
        <v>354</v>
      </c>
      <c r="O47" s="184" t="s">
        <v>371</v>
      </c>
      <c r="P47" s="157">
        <v>0.0</v>
      </c>
      <c r="Q47" s="157">
        <v>0.0</v>
      </c>
      <c r="R47" s="551" t="s">
        <v>354</v>
      </c>
      <c r="S47" s="551" t="s">
        <v>354</v>
      </c>
      <c r="T47" s="551" t="s">
        <v>354</v>
      </c>
      <c r="U47" s="157">
        <v>0.0</v>
      </c>
      <c r="V47" s="157">
        <v>0.0</v>
      </c>
      <c r="W47" s="157" t="s">
        <v>354</v>
      </c>
      <c r="X47" s="157" t="s">
        <v>354</v>
      </c>
      <c r="Y47" s="707" t="s">
        <v>356</v>
      </c>
      <c r="Z47" s="707" t="s">
        <v>354</v>
      </c>
      <c r="AA47" s="708" t="s">
        <v>356</v>
      </c>
      <c r="AB47" s="708" t="s">
        <v>354</v>
      </c>
      <c r="AC47" s="139" t="s">
        <v>356</v>
      </c>
      <c r="AD47" s="139" t="s">
        <v>354</v>
      </c>
      <c r="AE47" s="46">
        <f t="shared" si="1"/>
        <v>0</v>
      </c>
      <c r="AF47" s="265"/>
      <c r="AG47" s="157"/>
      <c r="AH47" s="265"/>
      <c r="AI47" s="265"/>
      <c r="AJ47" s="265"/>
      <c r="AK47" s="157">
        <v>0.0</v>
      </c>
      <c r="AL47" s="157">
        <v>0.0</v>
      </c>
      <c r="AM47" s="157">
        <v>0.0</v>
      </c>
      <c r="AN47" s="157">
        <v>0.0</v>
      </c>
      <c r="AO47" s="157">
        <v>0.0</v>
      </c>
      <c r="AP47" s="157">
        <v>0.0</v>
      </c>
      <c r="AQ47" s="157">
        <v>0.0</v>
      </c>
      <c r="AR47" s="157">
        <v>0.0</v>
      </c>
      <c r="AS47" s="265">
        <f t="shared" si="2"/>
        <v>0</v>
      </c>
      <c r="AT47" s="265">
        <f t="shared" si="3"/>
        <v>0</v>
      </c>
    </row>
    <row r="48">
      <c r="A48" s="273">
        <v>47.0</v>
      </c>
      <c r="B48" s="683" t="s">
        <v>105</v>
      </c>
      <c r="C48" s="702" t="s">
        <v>105</v>
      </c>
      <c r="D48" s="692" t="s">
        <v>522</v>
      </c>
      <c r="E48" s="354">
        <v>40925.0</v>
      </c>
      <c r="F48" s="157" t="s">
        <v>354</v>
      </c>
      <c r="G48" s="157" t="s">
        <v>354</v>
      </c>
      <c r="H48" s="157" t="s">
        <v>354</v>
      </c>
      <c r="I48" s="157" t="s">
        <v>354</v>
      </c>
      <c r="J48" s="157" t="s">
        <v>354</v>
      </c>
      <c r="K48" s="158">
        <v>1.0</v>
      </c>
      <c r="L48" s="158" t="s">
        <v>530</v>
      </c>
      <c r="M48" s="157" t="s">
        <v>354</v>
      </c>
      <c r="N48" s="157" t="s">
        <v>354</v>
      </c>
      <c r="O48" s="158" t="s">
        <v>529</v>
      </c>
      <c r="P48" s="140">
        <v>37.37</v>
      </c>
      <c r="Q48" s="157">
        <v>0.0</v>
      </c>
      <c r="R48" s="551" t="s">
        <v>354</v>
      </c>
      <c r="S48" s="551" t="s">
        <v>354</v>
      </c>
      <c r="T48" s="551" t="s">
        <v>354</v>
      </c>
      <c r="U48" s="157">
        <v>0.0</v>
      </c>
      <c r="V48" s="157">
        <v>0.0</v>
      </c>
      <c r="W48" s="157" t="s">
        <v>354</v>
      </c>
      <c r="X48" s="157" t="s">
        <v>354</v>
      </c>
      <c r="Y48" s="681" t="s">
        <v>365</v>
      </c>
      <c r="Z48" s="143" t="s">
        <v>358</v>
      </c>
      <c r="AA48" s="708" t="s">
        <v>356</v>
      </c>
      <c r="AB48" s="708" t="s">
        <v>354</v>
      </c>
      <c r="AC48" s="144" t="s">
        <v>365</v>
      </c>
      <c r="AD48" s="143" t="s">
        <v>358</v>
      </c>
      <c r="AE48" s="357">
        <f t="shared" si="1"/>
        <v>3</v>
      </c>
      <c r="AF48" s="265"/>
      <c r="AG48" s="157"/>
      <c r="AH48" s="265"/>
      <c r="AI48" s="265"/>
      <c r="AJ48" s="265"/>
      <c r="AK48" s="157">
        <v>0.0</v>
      </c>
      <c r="AL48" s="157">
        <v>0.0</v>
      </c>
      <c r="AM48" s="157">
        <v>2.0</v>
      </c>
      <c r="AN48" s="157">
        <v>0.0</v>
      </c>
      <c r="AO48" s="157">
        <v>0.0</v>
      </c>
      <c r="AP48" s="157">
        <v>0.0</v>
      </c>
      <c r="AQ48" s="157">
        <v>0.0</v>
      </c>
      <c r="AR48" s="157">
        <v>0.0</v>
      </c>
      <c r="AS48" s="388">
        <f t="shared" si="2"/>
        <v>2</v>
      </c>
      <c r="AT48" s="388">
        <f t="shared" si="3"/>
        <v>1</v>
      </c>
    </row>
    <row r="49">
      <c r="A49" s="273">
        <v>48.0</v>
      </c>
      <c r="B49" s="686" t="s">
        <v>1770</v>
      </c>
      <c r="C49" s="184" t="s">
        <v>1029</v>
      </c>
      <c r="D49" s="691" t="s">
        <v>1029</v>
      </c>
      <c r="E49" s="354">
        <v>40925.0</v>
      </c>
      <c r="F49" s="157" t="s">
        <v>354</v>
      </c>
      <c r="G49" s="157" t="s">
        <v>354</v>
      </c>
      <c r="H49" s="157" t="s">
        <v>354</v>
      </c>
      <c r="I49" s="157" t="s">
        <v>354</v>
      </c>
      <c r="J49" s="157" t="s">
        <v>354</v>
      </c>
      <c r="K49" s="184">
        <v>0.0</v>
      </c>
      <c r="L49" s="184" t="s">
        <v>354</v>
      </c>
      <c r="M49" s="157" t="s">
        <v>354</v>
      </c>
      <c r="N49" s="157" t="s">
        <v>354</v>
      </c>
      <c r="O49" s="184" t="s">
        <v>371</v>
      </c>
      <c r="P49" s="157">
        <v>0.0</v>
      </c>
      <c r="Q49" s="140">
        <v>38.69</v>
      </c>
      <c r="R49" s="551" t="s">
        <v>356</v>
      </c>
      <c r="S49" s="551" t="s">
        <v>356</v>
      </c>
      <c r="T49" s="551" t="s">
        <v>356</v>
      </c>
      <c r="U49" s="157">
        <v>0.0</v>
      </c>
      <c r="V49" s="157">
        <v>0.0</v>
      </c>
      <c r="W49" s="157" t="s">
        <v>354</v>
      </c>
      <c r="X49" s="157" t="s">
        <v>354</v>
      </c>
      <c r="Y49" s="694" t="s">
        <v>407</v>
      </c>
      <c r="Z49" s="694" t="s">
        <v>407</v>
      </c>
      <c r="AA49" s="708" t="s">
        <v>356</v>
      </c>
      <c r="AB49" s="708" t="s">
        <v>354</v>
      </c>
      <c r="AC49" s="139" t="s">
        <v>356</v>
      </c>
      <c r="AD49" s="139" t="s">
        <v>354</v>
      </c>
      <c r="AE49" s="46">
        <f t="shared" si="1"/>
        <v>0</v>
      </c>
      <c r="AF49" s="265"/>
      <c r="AG49" s="157"/>
      <c r="AH49" s="265"/>
      <c r="AI49" s="265"/>
      <c r="AJ49" s="265"/>
      <c r="AK49" s="157">
        <v>0.0</v>
      </c>
      <c r="AL49" s="157">
        <v>0.0</v>
      </c>
      <c r="AM49" s="157">
        <v>0.0</v>
      </c>
      <c r="AN49" s="157">
        <v>0.0</v>
      </c>
      <c r="AO49" s="157">
        <v>0.0</v>
      </c>
      <c r="AP49" s="157">
        <v>0.0</v>
      </c>
      <c r="AQ49" s="157">
        <v>0.0</v>
      </c>
      <c r="AR49" s="157">
        <v>0.0</v>
      </c>
      <c r="AS49" s="265">
        <f t="shared" si="2"/>
        <v>0</v>
      </c>
      <c r="AT49" s="265">
        <f t="shared" si="3"/>
        <v>0</v>
      </c>
    </row>
    <row r="50">
      <c r="A50" s="273">
        <v>49.0</v>
      </c>
      <c r="B50" s="683" t="s">
        <v>265</v>
      </c>
      <c r="C50" s="158" t="s">
        <v>906</v>
      </c>
      <c r="D50" s="692" t="s">
        <v>907</v>
      </c>
      <c r="E50" s="354">
        <v>40925.0</v>
      </c>
      <c r="F50" s="157" t="s">
        <v>354</v>
      </c>
      <c r="G50" s="157" t="s">
        <v>354</v>
      </c>
      <c r="H50" s="157" t="s">
        <v>354</v>
      </c>
      <c r="I50" s="157" t="s">
        <v>354</v>
      </c>
      <c r="J50" s="157" t="s">
        <v>354</v>
      </c>
      <c r="K50" s="158">
        <v>1.0</v>
      </c>
      <c r="L50" s="158" t="s">
        <v>912</v>
      </c>
      <c r="M50" s="157" t="s">
        <v>354</v>
      </c>
      <c r="N50" s="157" t="s">
        <v>354</v>
      </c>
      <c r="O50" s="158" t="s">
        <v>455</v>
      </c>
      <c r="P50" s="157">
        <v>0.0</v>
      </c>
      <c r="Q50" s="157">
        <v>0.0</v>
      </c>
      <c r="R50" s="551" t="s">
        <v>354</v>
      </c>
      <c r="S50" s="551" t="s">
        <v>354</v>
      </c>
      <c r="T50" s="551" t="s">
        <v>354</v>
      </c>
      <c r="U50" s="157">
        <v>0.0</v>
      </c>
      <c r="V50" s="157">
        <v>0.0</v>
      </c>
      <c r="W50" s="157" t="s">
        <v>354</v>
      </c>
      <c r="X50" s="157" t="s">
        <v>354</v>
      </c>
      <c r="Y50" s="707" t="s">
        <v>356</v>
      </c>
      <c r="Z50" s="707" t="s">
        <v>354</v>
      </c>
      <c r="AA50" s="708" t="s">
        <v>356</v>
      </c>
      <c r="AB50" s="708" t="s">
        <v>354</v>
      </c>
      <c r="AC50" s="139" t="s">
        <v>356</v>
      </c>
      <c r="AD50" s="139" t="s">
        <v>354</v>
      </c>
      <c r="AE50" s="46">
        <f t="shared" si="1"/>
        <v>0</v>
      </c>
      <c r="AF50" s="265"/>
      <c r="AG50" s="157"/>
      <c r="AH50" s="265"/>
      <c r="AI50" s="265"/>
      <c r="AJ50" s="265"/>
      <c r="AK50" s="157">
        <v>0.0</v>
      </c>
      <c r="AL50" s="157">
        <v>0.0</v>
      </c>
      <c r="AM50" s="157">
        <v>0.0</v>
      </c>
      <c r="AN50" s="157">
        <v>0.0</v>
      </c>
      <c r="AO50" s="157">
        <v>0.0</v>
      </c>
      <c r="AP50" s="157">
        <v>0.0</v>
      </c>
      <c r="AQ50" s="157">
        <v>0.0</v>
      </c>
      <c r="AR50" s="157">
        <v>0.0</v>
      </c>
      <c r="AS50" s="265">
        <f t="shared" si="2"/>
        <v>0</v>
      </c>
      <c r="AT50" s="265">
        <f t="shared" si="3"/>
        <v>0</v>
      </c>
    </row>
    <row r="51">
      <c r="A51" s="273">
        <v>50.0</v>
      </c>
      <c r="B51" s="686" t="s">
        <v>1771</v>
      </c>
      <c r="C51" s="690" t="s">
        <v>955</v>
      </c>
      <c r="D51" s="687" t="s">
        <v>956</v>
      </c>
      <c r="E51" s="354">
        <v>40925.0</v>
      </c>
      <c r="F51" s="157" t="s">
        <v>354</v>
      </c>
      <c r="G51" s="157" t="s">
        <v>354</v>
      </c>
      <c r="H51" s="157" t="s">
        <v>354</v>
      </c>
      <c r="I51" s="157" t="s">
        <v>354</v>
      </c>
      <c r="J51" s="157" t="s">
        <v>354</v>
      </c>
      <c r="K51" s="184">
        <v>0.0</v>
      </c>
      <c r="L51" s="184" t="s">
        <v>354</v>
      </c>
      <c r="M51" s="157" t="s">
        <v>354</v>
      </c>
      <c r="N51" s="157" t="s">
        <v>354</v>
      </c>
      <c r="O51" s="184" t="s">
        <v>371</v>
      </c>
      <c r="P51" s="157">
        <v>0.0</v>
      </c>
      <c r="Q51" s="157">
        <v>0.0</v>
      </c>
      <c r="R51" s="551" t="s">
        <v>354</v>
      </c>
      <c r="S51" s="551" t="s">
        <v>354</v>
      </c>
      <c r="T51" s="551" t="s">
        <v>354</v>
      </c>
      <c r="U51" s="157">
        <v>0.0</v>
      </c>
      <c r="V51" s="157">
        <v>0.0</v>
      </c>
      <c r="W51" s="157" t="s">
        <v>354</v>
      </c>
      <c r="X51" s="157" t="s">
        <v>354</v>
      </c>
      <c r="Y51" s="707" t="s">
        <v>356</v>
      </c>
      <c r="Z51" s="707" t="s">
        <v>354</v>
      </c>
      <c r="AA51" s="708" t="s">
        <v>356</v>
      </c>
      <c r="AB51" s="708" t="s">
        <v>354</v>
      </c>
      <c r="AC51" s="139" t="s">
        <v>356</v>
      </c>
      <c r="AD51" s="139" t="s">
        <v>354</v>
      </c>
      <c r="AE51" s="46">
        <f t="shared" si="1"/>
        <v>0</v>
      </c>
      <c r="AF51" s="265"/>
      <c r="AG51" s="157"/>
      <c r="AH51" s="265"/>
      <c r="AI51" s="265"/>
      <c r="AJ51" s="265"/>
      <c r="AK51" s="157">
        <v>0.0</v>
      </c>
      <c r="AL51" s="157">
        <v>0.0</v>
      </c>
      <c r="AM51" s="157">
        <v>0.0</v>
      </c>
      <c r="AN51" s="157">
        <v>0.0</v>
      </c>
      <c r="AO51" s="157">
        <v>0.0</v>
      </c>
      <c r="AP51" s="157">
        <v>0.0</v>
      </c>
      <c r="AQ51" s="157">
        <v>0.0</v>
      </c>
      <c r="AR51" s="157">
        <v>0.0</v>
      </c>
      <c r="AS51" s="265">
        <f t="shared" si="2"/>
        <v>0</v>
      </c>
      <c r="AT51" s="265">
        <f t="shared" si="3"/>
        <v>0</v>
      </c>
    </row>
    <row r="52">
      <c r="A52" s="273">
        <v>51.0</v>
      </c>
      <c r="B52" s="683" t="s">
        <v>204</v>
      </c>
      <c r="C52" s="702" t="s">
        <v>204</v>
      </c>
      <c r="D52" s="692" t="s">
        <v>725</v>
      </c>
      <c r="E52" s="354">
        <v>40925.0</v>
      </c>
      <c r="F52" s="157" t="s">
        <v>354</v>
      </c>
      <c r="G52" s="157" t="s">
        <v>354</v>
      </c>
      <c r="H52" s="157" t="s">
        <v>354</v>
      </c>
      <c r="I52" s="157" t="s">
        <v>354</v>
      </c>
      <c r="J52" s="157" t="s">
        <v>354</v>
      </c>
      <c r="K52" s="158">
        <v>3.0</v>
      </c>
      <c r="L52" s="158" t="s">
        <v>733</v>
      </c>
      <c r="M52" s="157" t="s">
        <v>354</v>
      </c>
      <c r="N52" s="157" t="s">
        <v>354</v>
      </c>
      <c r="O52" s="158" t="s">
        <v>600</v>
      </c>
      <c r="P52" s="157">
        <v>0.0</v>
      </c>
      <c r="Q52" s="157">
        <v>0.0</v>
      </c>
      <c r="R52" s="551" t="s">
        <v>354</v>
      </c>
      <c r="S52" s="551" t="s">
        <v>354</v>
      </c>
      <c r="T52" s="551" t="s">
        <v>354</v>
      </c>
      <c r="U52" s="157">
        <v>0.0</v>
      </c>
      <c r="V52" s="157">
        <v>0.0</v>
      </c>
      <c r="W52" s="157" t="s">
        <v>354</v>
      </c>
      <c r="X52" s="157" t="s">
        <v>354</v>
      </c>
      <c r="Y52" s="681" t="s">
        <v>365</v>
      </c>
      <c r="Z52" s="143" t="s">
        <v>358</v>
      </c>
      <c r="AA52" s="708" t="s">
        <v>356</v>
      </c>
      <c r="AB52" s="708" t="s">
        <v>354</v>
      </c>
      <c r="AC52" s="144" t="s">
        <v>365</v>
      </c>
      <c r="AD52" s="143" t="s">
        <v>358</v>
      </c>
      <c r="AE52" s="357">
        <f t="shared" si="1"/>
        <v>2</v>
      </c>
      <c r="AF52" s="265"/>
      <c r="AG52" s="157"/>
      <c r="AH52" s="265"/>
      <c r="AI52" s="265"/>
      <c r="AJ52" s="265"/>
      <c r="AK52" s="157">
        <v>0.0</v>
      </c>
      <c r="AL52" s="157">
        <v>0.0</v>
      </c>
      <c r="AM52" s="157">
        <v>2.0</v>
      </c>
      <c r="AN52" s="157">
        <v>0.0</v>
      </c>
      <c r="AO52" s="157">
        <v>0.0</v>
      </c>
      <c r="AP52" s="157">
        <v>0.0</v>
      </c>
      <c r="AQ52" s="157">
        <v>0.0</v>
      </c>
      <c r="AR52" s="157">
        <v>0.0</v>
      </c>
      <c r="AS52" s="388">
        <f t="shared" si="2"/>
        <v>2</v>
      </c>
      <c r="AT52" s="388">
        <f t="shared" si="3"/>
        <v>1</v>
      </c>
    </row>
    <row r="53">
      <c r="A53" s="273">
        <v>52.0</v>
      </c>
      <c r="B53" s="683" t="s">
        <v>216</v>
      </c>
      <c r="C53" s="702" t="s">
        <v>216</v>
      </c>
      <c r="D53" s="692" t="s">
        <v>764</v>
      </c>
      <c r="E53" s="354">
        <v>40925.0</v>
      </c>
      <c r="F53" s="157" t="s">
        <v>354</v>
      </c>
      <c r="G53" s="157" t="s">
        <v>354</v>
      </c>
      <c r="H53" s="157" t="s">
        <v>354</v>
      </c>
      <c r="I53" s="157" t="s">
        <v>354</v>
      </c>
      <c r="J53" s="157" t="s">
        <v>354</v>
      </c>
      <c r="K53" s="158">
        <v>3.0</v>
      </c>
      <c r="L53" s="158" t="s">
        <v>766</v>
      </c>
      <c r="M53" s="157" t="s">
        <v>354</v>
      </c>
      <c r="N53" s="157" t="s">
        <v>354</v>
      </c>
      <c r="O53" s="158" t="s">
        <v>600</v>
      </c>
      <c r="P53" s="157">
        <v>0.0</v>
      </c>
      <c r="Q53" s="157">
        <v>0.0</v>
      </c>
      <c r="R53" s="551" t="s">
        <v>354</v>
      </c>
      <c r="S53" s="551" t="s">
        <v>354</v>
      </c>
      <c r="T53" s="551" t="s">
        <v>354</v>
      </c>
      <c r="U53" s="157">
        <v>0.0</v>
      </c>
      <c r="V53" s="157">
        <v>0.0</v>
      </c>
      <c r="W53" s="157" t="s">
        <v>354</v>
      </c>
      <c r="X53" s="157" t="s">
        <v>354</v>
      </c>
      <c r="Y53" s="707" t="s">
        <v>356</v>
      </c>
      <c r="Z53" s="707" t="s">
        <v>354</v>
      </c>
      <c r="AA53" s="708" t="s">
        <v>356</v>
      </c>
      <c r="AB53" s="708" t="s">
        <v>354</v>
      </c>
      <c r="AC53" s="139" t="s">
        <v>356</v>
      </c>
      <c r="AD53" s="139" t="s">
        <v>354</v>
      </c>
      <c r="AE53" s="46">
        <f t="shared" si="1"/>
        <v>0</v>
      </c>
      <c r="AF53" s="265"/>
      <c r="AG53" s="157"/>
      <c r="AH53" s="265"/>
      <c r="AI53" s="265"/>
      <c r="AJ53" s="265"/>
      <c r="AK53" s="157">
        <v>0.0</v>
      </c>
      <c r="AL53" s="157">
        <v>0.0</v>
      </c>
      <c r="AM53" s="157">
        <v>0.0</v>
      </c>
      <c r="AN53" s="157">
        <v>0.0</v>
      </c>
      <c r="AO53" s="157">
        <v>0.0</v>
      </c>
      <c r="AP53" s="157">
        <v>0.0</v>
      </c>
      <c r="AQ53" s="157">
        <v>0.0</v>
      </c>
      <c r="AR53" s="157">
        <v>0.0</v>
      </c>
      <c r="AS53" s="265">
        <f t="shared" si="2"/>
        <v>0</v>
      </c>
      <c r="AT53" s="265">
        <f t="shared" si="3"/>
        <v>0</v>
      </c>
    </row>
    <row r="54">
      <c r="A54" s="273">
        <v>53.0</v>
      </c>
      <c r="B54" s="693" t="s">
        <v>1772</v>
      </c>
      <c r="C54" s="158" t="s">
        <v>1772</v>
      </c>
      <c r="D54" s="688" t="s">
        <v>1772</v>
      </c>
      <c r="E54" s="354">
        <v>40925.0</v>
      </c>
      <c r="F54" s="157" t="s">
        <v>354</v>
      </c>
      <c r="G54" s="157" t="s">
        <v>354</v>
      </c>
      <c r="H54" s="157" t="s">
        <v>354</v>
      </c>
      <c r="I54" s="157" t="s">
        <v>354</v>
      </c>
      <c r="J54" s="157" t="s">
        <v>354</v>
      </c>
      <c r="K54" s="158">
        <v>1.0</v>
      </c>
      <c r="L54" s="158" t="s">
        <v>718</v>
      </c>
      <c r="M54" s="157" t="s">
        <v>354</v>
      </c>
      <c r="N54" s="157" t="s">
        <v>354</v>
      </c>
      <c r="O54" s="158" t="s">
        <v>455</v>
      </c>
      <c r="P54" s="157">
        <v>0.0</v>
      </c>
      <c r="Q54" s="157">
        <v>0.0</v>
      </c>
      <c r="R54" s="551" t="s">
        <v>354</v>
      </c>
      <c r="S54" s="551" t="s">
        <v>354</v>
      </c>
      <c r="T54" s="551" t="s">
        <v>354</v>
      </c>
      <c r="U54" s="157">
        <v>0.0</v>
      </c>
      <c r="V54" s="157">
        <v>0.0</v>
      </c>
      <c r="W54" s="157" t="s">
        <v>354</v>
      </c>
      <c r="X54" s="157" t="s">
        <v>354</v>
      </c>
      <c r="Y54" s="694" t="s">
        <v>407</v>
      </c>
      <c r="Z54" s="694" t="s">
        <v>407</v>
      </c>
      <c r="AA54" s="708" t="s">
        <v>356</v>
      </c>
      <c r="AB54" s="708" t="s">
        <v>354</v>
      </c>
      <c r="AC54" s="139" t="s">
        <v>356</v>
      </c>
      <c r="AD54" s="139" t="s">
        <v>354</v>
      </c>
      <c r="AE54" s="46">
        <f t="shared" si="1"/>
        <v>0</v>
      </c>
      <c r="AF54" s="265"/>
      <c r="AG54" s="157"/>
      <c r="AH54" s="265"/>
      <c r="AI54" s="265"/>
      <c r="AJ54" s="265"/>
      <c r="AK54" s="157">
        <v>0.0</v>
      </c>
      <c r="AL54" s="157">
        <v>0.0</v>
      </c>
      <c r="AM54" s="157">
        <v>0.0</v>
      </c>
      <c r="AN54" s="157">
        <v>0.0</v>
      </c>
      <c r="AO54" s="157">
        <v>0.0</v>
      </c>
      <c r="AP54" s="157">
        <v>0.0</v>
      </c>
      <c r="AQ54" s="157">
        <v>0.0</v>
      </c>
      <c r="AR54" s="157">
        <v>0.0</v>
      </c>
      <c r="AS54" s="265">
        <f t="shared" si="2"/>
        <v>0</v>
      </c>
      <c r="AT54" s="265">
        <f t="shared" si="3"/>
        <v>0</v>
      </c>
    </row>
    <row r="55">
      <c r="A55" s="273">
        <v>54.0</v>
      </c>
      <c r="B55" s="686" t="s">
        <v>987</v>
      </c>
      <c r="C55" s="184" t="s">
        <v>1773</v>
      </c>
      <c r="D55" s="691" t="s">
        <v>985</v>
      </c>
      <c r="E55" s="354">
        <v>40925.0</v>
      </c>
      <c r="F55" s="157" t="s">
        <v>354</v>
      </c>
      <c r="G55" s="157" t="s">
        <v>354</v>
      </c>
      <c r="H55" s="157" t="s">
        <v>354</v>
      </c>
      <c r="I55" s="157" t="s">
        <v>354</v>
      </c>
      <c r="J55" s="157" t="s">
        <v>354</v>
      </c>
      <c r="K55" s="184">
        <v>0.0</v>
      </c>
      <c r="L55" s="184" t="s">
        <v>354</v>
      </c>
      <c r="M55" s="157" t="s">
        <v>354</v>
      </c>
      <c r="N55" s="157" t="s">
        <v>354</v>
      </c>
      <c r="O55" s="184" t="s">
        <v>371</v>
      </c>
      <c r="P55" s="157">
        <v>0.0</v>
      </c>
      <c r="Q55" s="157">
        <v>0.0</v>
      </c>
      <c r="R55" s="551" t="s">
        <v>354</v>
      </c>
      <c r="S55" s="551" t="s">
        <v>354</v>
      </c>
      <c r="T55" s="551" t="s">
        <v>354</v>
      </c>
      <c r="U55" s="157">
        <v>0.0</v>
      </c>
      <c r="V55" s="157">
        <v>0.0</v>
      </c>
      <c r="W55" s="157" t="s">
        <v>354</v>
      </c>
      <c r="X55" s="157" t="s">
        <v>354</v>
      </c>
      <c r="Y55" s="707" t="s">
        <v>356</v>
      </c>
      <c r="Z55" s="707" t="s">
        <v>354</v>
      </c>
      <c r="AA55" s="708" t="s">
        <v>356</v>
      </c>
      <c r="AB55" s="708" t="s">
        <v>354</v>
      </c>
      <c r="AC55" s="139" t="s">
        <v>356</v>
      </c>
      <c r="AD55" s="139" t="s">
        <v>354</v>
      </c>
      <c r="AE55" s="46">
        <f t="shared" si="1"/>
        <v>0</v>
      </c>
      <c r="AF55" s="265"/>
      <c r="AG55" s="157"/>
      <c r="AH55" s="265"/>
      <c r="AI55" s="265"/>
      <c r="AJ55" s="265"/>
      <c r="AK55" s="157">
        <v>0.0</v>
      </c>
      <c r="AL55" s="157">
        <v>0.0</v>
      </c>
      <c r="AM55" s="157">
        <v>0.0</v>
      </c>
      <c r="AN55" s="157">
        <v>0.0</v>
      </c>
      <c r="AO55" s="157">
        <v>0.0</v>
      </c>
      <c r="AP55" s="157">
        <v>0.0</v>
      </c>
      <c r="AQ55" s="157">
        <v>0.0</v>
      </c>
      <c r="AR55" s="157">
        <v>0.0</v>
      </c>
      <c r="AS55" s="265">
        <f t="shared" si="2"/>
        <v>0</v>
      </c>
      <c r="AT55" s="265">
        <f t="shared" si="3"/>
        <v>0</v>
      </c>
    </row>
    <row r="56">
      <c r="A56" s="273">
        <v>55.0</v>
      </c>
      <c r="B56" s="695" t="s">
        <v>180</v>
      </c>
      <c r="C56" s="622" t="s">
        <v>180</v>
      </c>
      <c r="D56" s="602" t="s">
        <v>685</v>
      </c>
      <c r="E56" s="354">
        <v>40925.0</v>
      </c>
      <c r="F56" s="157" t="s">
        <v>354</v>
      </c>
      <c r="G56" s="157" t="s">
        <v>354</v>
      </c>
      <c r="H56" s="157" t="s">
        <v>354</v>
      </c>
      <c r="I56" s="157" t="s">
        <v>354</v>
      </c>
      <c r="J56" s="157" t="s">
        <v>354</v>
      </c>
      <c r="K56" s="179">
        <v>0.0</v>
      </c>
      <c r="L56" s="179" t="s">
        <v>1290</v>
      </c>
      <c r="M56" s="157" t="s">
        <v>354</v>
      </c>
      <c r="N56" s="157" t="s">
        <v>354</v>
      </c>
      <c r="O56" s="179" t="s">
        <v>690</v>
      </c>
      <c r="P56" s="157">
        <v>0.0</v>
      </c>
      <c r="Q56" s="157">
        <v>0.0</v>
      </c>
      <c r="R56" s="551" t="s">
        <v>354</v>
      </c>
      <c r="S56" s="551" t="s">
        <v>354</v>
      </c>
      <c r="T56" s="551" t="s">
        <v>354</v>
      </c>
      <c r="U56" s="157">
        <v>0.0</v>
      </c>
      <c r="V56" s="140">
        <v>39.06</v>
      </c>
      <c r="W56" s="157" t="s">
        <v>356</v>
      </c>
      <c r="X56" s="157" t="s">
        <v>354</v>
      </c>
      <c r="Y56" s="681" t="s">
        <v>365</v>
      </c>
      <c r="Z56" s="40" t="s">
        <v>357</v>
      </c>
      <c r="AA56" s="677" t="s">
        <v>365</v>
      </c>
      <c r="AB56" s="90" t="s">
        <v>413</v>
      </c>
      <c r="AC56" s="144" t="s">
        <v>365</v>
      </c>
      <c r="AD56" s="139" t="s">
        <v>1774</v>
      </c>
      <c r="AE56" s="357">
        <f t="shared" si="1"/>
        <v>3</v>
      </c>
      <c r="AF56" s="265"/>
      <c r="AG56" s="157"/>
      <c r="AH56" s="265"/>
      <c r="AI56" s="265"/>
      <c r="AJ56" s="265"/>
      <c r="AK56" s="157">
        <v>1.0</v>
      </c>
      <c r="AL56" s="157">
        <v>0.0</v>
      </c>
      <c r="AM56" s="157">
        <v>1.0</v>
      </c>
      <c r="AN56" s="157">
        <v>0.0</v>
      </c>
      <c r="AO56" s="157">
        <v>1.0</v>
      </c>
      <c r="AP56" s="157">
        <v>1.0</v>
      </c>
      <c r="AQ56" s="157">
        <v>0.0</v>
      </c>
      <c r="AR56" s="157">
        <v>0.0</v>
      </c>
      <c r="AS56" s="388">
        <f t="shared" si="2"/>
        <v>4</v>
      </c>
      <c r="AT56" s="388">
        <f t="shared" si="3"/>
        <v>4</v>
      </c>
    </row>
    <row r="57">
      <c r="A57" s="273">
        <v>56.0</v>
      </c>
      <c r="B57" s="686" t="s">
        <v>1775</v>
      </c>
      <c r="C57" s="41" t="s">
        <v>869</v>
      </c>
      <c r="D57" s="700" t="s">
        <v>870</v>
      </c>
      <c r="E57" s="354">
        <v>40925.0</v>
      </c>
      <c r="F57" s="157" t="s">
        <v>354</v>
      </c>
      <c r="G57" s="157" t="s">
        <v>354</v>
      </c>
      <c r="H57" s="157" t="s">
        <v>354</v>
      </c>
      <c r="I57" s="157" t="s">
        <v>354</v>
      </c>
      <c r="J57" s="157" t="s">
        <v>354</v>
      </c>
      <c r="K57" s="184">
        <v>0.0</v>
      </c>
      <c r="L57" s="184" t="s">
        <v>354</v>
      </c>
      <c r="M57" s="157" t="s">
        <v>354</v>
      </c>
      <c r="N57" s="157" t="s">
        <v>354</v>
      </c>
      <c r="O57" s="184" t="s">
        <v>371</v>
      </c>
      <c r="P57" s="157">
        <v>0.0</v>
      </c>
      <c r="Q57" s="157">
        <v>0.0</v>
      </c>
      <c r="R57" s="551" t="s">
        <v>354</v>
      </c>
      <c r="S57" s="551" t="s">
        <v>354</v>
      </c>
      <c r="T57" s="551" t="s">
        <v>354</v>
      </c>
      <c r="U57" s="157">
        <v>0.0</v>
      </c>
      <c r="V57" s="157">
        <v>0.0</v>
      </c>
      <c r="W57" s="157" t="s">
        <v>354</v>
      </c>
      <c r="X57" s="157" t="s">
        <v>354</v>
      </c>
      <c r="Y57" s="707" t="s">
        <v>356</v>
      </c>
      <c r="Z57" s="707" t="s">
        <v>354</v>
      </c>
      <c r="AA57" s="708" t="s">
        <v>356</v>
      </c>
      <c r="AB57" s="708" t="s">
        <v>354</v>
      </c>
      <c r="AC57" s="139" t="s">
        <v>356</v>
      </c>
      <c r="AD57" s="139" t="s">
        <v>354</v>
      </c>
      <c r="AE57" s="46">
        <f t="shared" si="1"/>
        <v>0</v>
      </c>
      <c r="AF57" s="265"/>
      <c r="AG57" s="157"/>
      <c r="AH57" s="265"/>
      <c r="AI57" s="265"/>
      <c r="AJ57" s="265"/>
      <c r="AK57" s="157">
        <v>0.0</v>
      </c>
      <c r="AL57" s="157">
        <v>0.0</v>
      </c>
      <c r="AM57" s="157">
        <v>0.0</v>
      </c>
      <c r="AN57" s="157">
        <v>0.0</v>
      </c>
      <c r="AO57" s="157">
        <v>0.0</v>
      </c>
      <c r="AP57" s="157">
        <v>0.0</v>
      </c>
      <c r="AQ57" s="157">
        <v>0.0</v>
      </c>
      <c r="AR57" s="157">
        <v>0.0</v>
      </c>
      <c r="AS57" s="265">
        <f t="shared" si="2"/>
        <v>0</v>
      </c>
      <c r="AT57" s="265">
        <f t="shared" si="3"/>
        <v>0</v>
      </c>
    </row>
    <row r="58">
      <c r="A58" s="273">
        <v>57.0</v>
      </c>
      <c r="B58" s="686" t="s">
        <v>228</v>
      </c>
      <c r="C58" s="271" t="s">
        <v>228</v>
      </c>
      <c r="D58" s="687" t="s">
        <v>1623</v>
      </c>
      <c r="E58" s="354">
        <v>40925.0</v>
      </c>
      <c r="F58" s="157" t="s">
        <v>354</v>
      </c>
      <c r="G58" s="157" t="s">
        <v>354</v>
      </c>
      <c r="H58" s="157" t="s">
        <v>354</v>
      </c>
      <c r="I58" s="157" t="s">
        <v>354</v>
      </c>
      <c r="J58" s="157" t="s">
        <v>354</v>
      </c>
      <c r="K58" s="184">
        <v>0.0</v>
      </c>
      <c r="L58" s="184" t="s">
        <v>354</v>
      </c>
      <c r="M58" s="157" t="s">
        <v>354</v>
      </c>
      <c r="N58" s="157" t="s">
        <v>354</v>
      </c>
      <c r="O58" s="184" t="s">
        <v>371</v>
      </c>
      <c r="P58" s="157">
        <v>0.0</v>
      </c>
      <c r="Q58" s="157">
        <v>0.0</v>
      </c>
      <c r="R58" s="551" t="s">
        <v>354</v>
      </c>
      <c r="S58" s="551" t="s">
        <v>354</v>
      </c>
      <c r="T58" s="551" t="s">
        <v>354</v>
      </c>
      <c r="U58" s="157">
        <v>0.0</v>
      </c>
      <c r="V58" s="157">
        <v>0.0</v>
      </c>
      <c r="W58" s="157" t="s">
        <v>354</v>
      </c>
      <c r="X58" s="157" t="s">
        <v>354</v>
      </c>
      <c r="Y58" s="694" t="s">
        <v>407</v>
      </c>
      <c r="Z58" s="694" t="s">
        <v>407</v>
      </c>
      <c r="AA58" s="708" t="s">
        <v>356</v>
      </c>
      <c r="AB58" s="708" t="s">
        <v>354</v>
      </c>
      <c r="AC58" s="144" t="s">
        <v>365</v>
      </c>
      <c r="AD58" s="90" t="s">
        <v>413</v>
      </c>
      <c r="AE58" s="367">
        <f t="shared" si="1"/>
        <v>1</v>
      </c>
      <c r="AF58" s="265"/>
      <c r="AG58" s="157"/>
      <c r="AH58" s="265"/>
      <c r="AI58" s="265"/>
      <c r="AJ58" s="265"/>
      <c r="AK58" s="157">
        <v>0.0</v>
      </c>
      <c r="AL58" s="157">
        <v>0.0</v>
      </c>
      <c r="AM58" s="157">
        <v>0.0</v>
      </c>
      <c r="AN58" s="157">
        <v>0.0</v>
      </c>
      <c r="AO58" s="157">
        <v>1.0</v>
      </c>
      <c r="AP58" s="157">
        <v>0.0</v>
      </c>
      <c r="AQ58" s="157">
        <v>0.0</v>
      </c>
      <c r="AR58" s="157">
        <v>0.0</v>
      </c>
      <c r="AS58" s="385">
        <f t="shared" si="2"/>
        <v>1</v>
      </c>
      <c r="AT58" s="385">
        <f t="shared" si="3"/>
        <v>1</v>
      </c>
    </row>
    <row r="59">
      <c r="A59" s="273">
        <v>58.0</v>
      </c>
      <c r="B59" s="686" t="s">
        <v>1776</v>
      </c>
      <c r="C59" s="41" t="s">
        <v>616</v>
      </c>
      <c r="D59" s="687" t="s">
        <v>617</v>
      </c>
      <c r="E59" s="354">
        <v>40925.0</v>
      </c>
      <c r="F59" s="157" t="s">
        <v>354</v>
      </c>
      <c r="G59" s="157" t="s">
        <v>354</v>
      </c>
      <c r="H59" s="157" t="s">
        <v>354</v>
      </c>
      <c r="I59" s="157" t="s">
        <v>354</v>
      </c>
      <c r="J59" s="157" t="s">
        <v>354</v>
      </c>
      <c r="K59" s="184">
        <v>0.0</v>
      </c>
      <c r="L59" s="184" t="s">
        <v>354</v>
      </c>
      <c r="M59" s="157" t="s">
        <v>354</v>
      </c>
      <c r="N59" s="157" t="s">
        <v>354</v>
      </c>
      <c r="O59" s="184" t="s">
        <v>371</v>
      </c>
      <c r="P59" s="157">
        <v>0.0</v>
      </c>
      <c r="Q59" s="157">
        <v>0.0</v>
      </c>
      <c r="R59" s="551" t="s">
        <v>354</v>
      </c>
      <c r="S59" s="551" t="s">
        <v>354</v>
      </c>
      <c r="T59" s="551" t="s">
        <v>354</v>
      </c>
      <c r="U59" s="157">
        <v>0.0</v>
      </c>
      <c r="V59" s="157">
        <v>0.0</v>
      </c>
      <c r="W59" s="157" t="s">
        <v>354</v>
      </c>
      <c r="X59" s="157" t="s">
        <v>354</v>
      </c>
      <c r="Y59" s="707" t="s">
        <v>356</v>
      </c>
      <c r="Z59" s="707" t="s">
        <v>354</v>
      </c>
      <c r="AA59" s="708" t="s">
        <v>356</v>
      </c>
      <c r="AB59" s="708" t="s">
        <v>354</v>
      </c>
      <c r="AC59" s="139" t="s">
        <v>356</v>
      </c>
      <c r="AD59" s="139" t="s">
        <v>354</v>
      </c>
      <c r="AE59" s="46">
        <f t="shared" si="1"/>
        <v>0</v>
      </c>
      <c r="AF59" s="265"/>
      <c r="AG59" s="157"/>
      <c r="AH59" s="265"/>
      <c r="AI59" s="265"/>
      <c r="AJ59" s="265"/>
      <c r="AK59" s="157">
        <v>0.0</v>
      </c>
      <c r="AL59" s="157">
        <v>0.0</v>
      </c>
      <c r="AM59" s="157">
        <v>0.0</v>
      </c>
      <c r="AN59" s="157">
        <v>0.0</v>
      </c>
      <c r="AO59" s="157">
        <v>0.0</v>
      </c>
      <c r="AP59" s="157">
        <v>0.0</v>
      </c>
      <c r="AQ59" s="157">
        <v>0.0</v>
      </c>
      <c r="AR59" s="157">
        <v>0.0</v>
      </c>
      <c r="AS59" s="265">
        <f t="shared" si="2"/>
        <v>0</v>
      </c>
      <c r="AT59" s="265">
        <f t="shared" si="3"/>
        <v>0</v>
      </c>
    </row>
    <row r="60">
      <c r="A60" s="273">
        <v>59.0</v>
      </c>
      <c r="B60" s="686" t="s">
        <v>129</v>
      </c>
      <c r="C60" s="271" t="s">
        <v>129</v>
      </c>
      <c r="D60" s="687" t="s">
        <v>564</v>
      </c>
      <c r="E60" s="354">
        <v>40925.0</v>
      </c>
      <c r="F60" s="157" t="s">
        <v>354</v>
      </c>
      <c r="G60" s="157" t="s">
        <v>354</v>
      </c>
      <c r="H60" s="157" t="s">
        <v>354</v>
      </c>
      <c r="I60" s="157" t="s">
        <v>354</v>
      </c>
      <c r="J60" s="157" t="s">
        <v>354</v>
      </c>
      <c r="K60" s="184">
        <v>0.0</v>
      </c>
      <c r="L60" s="184" t="s">
        <v>568</v>
      </c>
      <c r="M60" s="157" t="s">
        <v>354</v>
      </c>
      <c r="N60" s="157" t="s">
        <v>354</v>
      </c>
      <c r="O60" s="184" t="s">
        <v>371</v>
      </c>
      <c r="P60" s="157">
        <v>0.0</v>
      </c>
      <c r="Q60" s="157">
        <v>0.0</v>
      </c>
      <c r="R60" s="551" t="s">
        <v>354</v>
      </c>
      <c r="S60" s="551" t="s">
        <v>354</v>
      </c>
      <c r="T60" s="551" t="s">
        <v>354</v>
      </c>
      <c r="U60" s="157">
        <v>0.0</v>
      </c>
      <c r="V60" s="157">
        <v>0.0</v>
      </c>
      <c r="W60" s="157" t="s">
        <v>354</v>
      </c>
      <c r="X60" s="157" t="s">
        <v>354</v>
      </c>
      <c r="Y60" s="707" t="s">
        <v>356</v>
      </c>
      <c r="Z60" s="707" t="s">
        <v>354</v>
      </c>
      <c r="AA60" s="708" t="s">
        <v>356</v>
      </c>
      <c r="AB60" s="708" t="s">
        <v>354</v>
      </c>
      <c r="AC60" s="144" t="s">
        <v>365</v>
      </c>
      <c r="AD60" s="40" t="s">
        <v>357</v>
      </c>
      <c r="AE60" s="367">
        <f t="shared" si="1"/>
        <v>1</v>
      </c>
      <c r="AF60" s="265"/>
      <c r="AG60" s="157"/>
      <c r="AH60" s="265"/>
      <c r="AI60" s="265"/>
      <c r="AJ60" s="265"/>
      <c r="AK60" s="157">
        <v>0.0</v>
      </c>
      <c r="AL60" s="157">
        <v>0.0</v>
      </c>
      <c r="AM60" s="157">
        <v>0.0</v>
      </c>
      <c r="AN60" s="157">
        <v>0.0</v>
      </c>
      <c r="AO60" s="157">
        <v>0.0</v>
      </c>
      <c r="AP60" s="157">
        <v>1.0</v>
      </c>
      <c r="AQ60" s="157">
        <v>0.0</v>
      </c>
      <c r="AR60" s="157">
        <v>0.0</v>
      </c>
      <c r="AS60" s="385">
        <f t="shared" si="2"/>
        <v>1</v>
      </c>
      <c r="AT60" s="385">
        <f t="shared" si="3"/>
        <v>1</v>
      </c>
    </row>
    <row r="61">
      <c r="A61" s="273">
        <v>60.0</v>
      </c>
      <c r="B61" s="686" t="s">
        <v>260</v>
      </c>
      <c r="C61" s="41" t="s">
        <v>888</v>
      </c>
      <c r="D61" s="687" t="s">
        <v>889</v>
      </c>
      <c r="E61" s="354">
        <v>40925.0</v>
      </c>
      <c r="F61" s="157" t="s">
        <v>354</v>
      </c>
      <c r="G61" s="157" t="s">
        <v>354</v>
      </c>
      <c r="H61" s="157" t="s">
        <v>354</v>
      </c>
      <c r="I61" s="157" t="s">
        <v>354</v>
      </c>
      <c r="J61" s="157" t="s">
        <v>354</v>
      </c>
      <c r="K61" s="184">
        <v>0.0</v>
      </c>
      <c r="L61" s="184" t="s">
        <v>354</v>
      </c>
      <c r="M61" s="157" t="s">
        <v>354</v>
      </c>
      <c r="N61" s="157" t="s">
        <v>354</v>
      </c>
      <c r="O61" s="184" t="s">
        <v>371</v>
      </c>
      <c r="P61" s="157">
        <v>0.0</v>
      </c>
      <c r="Q61" s="157">
        <v>0.0</v>
      </c>
      <c r="R61" s="551" t="s">
        <v>354</v>
      </c>
      <c r="S61" s="551" t="s">
        <v>354</v>
      </c>
      <c r="T61" s="551" t="s">
        <v>354</v>
      </c>
      <c r="U61" s="157">
        <v>0.0</v>
      </c>
      <c r="V61" s="157">
        <v>0.0</v>
      </c>
      <c r="W61" s="157" t="s">
        <v>354</v>
      </c>
      <c r="X61" s="157" t="s">
        <v>354</v>
      </c>
      <c r="Y61" s="707" t="s">
        <v>356</v>
      </c>
      <c r="Z61" s="707" t="s">
        <v>354</v>
      </c>
      <c r="AA61" s="708" t="s">
        <v>356</v>
      </c>
      <c r="AB61" s="708" t="s">
        <v>354</v>
      </c>
      <c r="AC61" s="139" t="s">
        <v>356</v>
      </c>
      <c r="AD61" s="139" t="s">
        <v>354</v>
      </c>
      <c r="AE61" s="46">
        <f t="shared" si="1"/>
        <v>0</v>
      </c>
      <c r="AF61" s="265"/>
      <c r="AG61" s="157"/>
      <c r="AH61" s="265"/>
      <c r="AI61" s="265"/>
      <c r="AJ61" s="265"/>
      <c r="AK61" s="157">
        <v>0.0</v>
      </c>
      <c r="AL61" s="157">
        <v>0.0</v>
      </c>
      <c r="AM61" s="157">
        <v>0.0</v>
      </c>
      <c r="AN61" s="157">
        <v>0.0</v>
      </c>
      <c r="AO61" s="157">
        <v>0.0</v>
      </c>
      <c r="AP61" s="157">
        <v>0.0</v>
      </c>
      <c r="AQ61" s="157">
        <v>0.0</v>
      </c>
      <c r="AR61" s="157">
        <v>0.0</v>
      </c>
      <c r="AS61" s="265">
        <f t="shared" si="2"/>
        <v>0</v>
      </c>
      <c r="AT61" s="265">
        <f t="shared" si="3"/>
        <v>0</v>
      </c>
    </row>
    <row r="62">
      <c r="A62" s="273">
        <v>61.0</v>
      </c>
      <c r="B62" s="683" t="s">
        <v>231</v>
      </c>
      <c r="C62" s="702" t="s">
        <v>231</v>
      </c>
      <c r="D62" s="692" t="s">
        <v>808</v>
      </c>
      <c r="E62" s="354">
        <v>40925.0</v>
      </c>
      <c r="F62" s="157" t="s">
        <v>354</v>
      </c>
      <c r="G62" s="157" t="s">
        <v>354</v>
      </c>
      <c r="H62" s="157" t="s">
        <v>354</v>
      </c>
      <c r="I62" s="157" t="s">
        <v>354</v>
      </c>
      <c r="J62" s="157" t="s">
        <v>354</v>
      </c>
      <c r="K62" s="158">
        <v>2.0</v>
      </c>
      <c r="L62" s="158" t="s">
        <v>815</v>
      </c>
      <c r="M62" s="157" t="s">
        <v>354</v>
      </c>
      <c r="N62" s="157" t="s">
        <v>354</v>
      </c>
      <c r="O62" s="158" t="s">
        <v>398</v>
      </c>
      <c r="P62" s="157">
        <v>0.0</v>
      </c>
      <c r="Q62" s="157">
        <v>0.0</v>
      </c>
      <c r="R62" s="551" t="s">
        <v>354</v>
      </c>
      <c r="S62" s="551" t="s">
        <v>354</v>
      </c>
      <c r="T62" s="551" t="s">
        <v>354</v>
      </c>
      <c r="U62" s="157">
        <v>0.0</v>
      </c>
      <c r="V62" s="157">
        <v>0.0</v>
      </c>
      <c r="W62" s="157" t="s">
        <v>354</v>
      </c>
      <c r="X62" s="157" t="s">
        <v>354</v>
      </c>
      <c r="Y62" s="694" t="s">
        <v>407</v>
      </c>
      <c r="Z62" s="694" t="s">
        <v>407</v>
      </c>
      <c r="AA62" s="708" t="s">
        <v>356</v>
      </c>
      <c r="AB62" s="708" t="s">
        <v>354</v>
      </c>
      <c r="AC62" s="139" t="s">
        <v>356</v>
      </c>
      <c r="AD62" s="139" t="s">
        <v>354</v>
      </c>
      <c r="AE62" s="46">
        <f t="shared" si="1"/>
        <v>0</v>
      </c>
      <c r="AF62" s="265"/>
      <c r="AG62" s="157"/>
      <c r="AH62" s="265"/>
      <c r="AI62" s="265"/>
      <c r="AJ62" s="265"/>
      <c r="AK62" s="157">
        <v>0.0</v>
      </c>
      <c r="AL62" s="157">
        <v>0.0</v>
      </c>
      <c r="AM62" s="157">
        <v>0.0</v>
      </c>
      <c r="AN62" s="157">
        <v>0.0</v>
      </c>
      <c r="AO62" s="157">
        <v>0.0</v>
      </c>
      <c r="AP62" s="157">
        <v>0.0</v>
      </c>
      <c r="AQ62" s="157">
        <v>0.0</v>
      </c>
      <c r="AR62" s="157">
        <v>0.0</v>
      </c>
      <c r="AS62" s="265">
        <f t="shared" si="2"/>
        <v>0</v>
      </c>
      <c r="AT62" s="265">
        <f t="shared" si="3"/>
        <v>0</v>
      </c>
    </row>
    <row r="63">
      <c r="A63" s="273">
        <v>62.0</v>
      </c>
      <c r="B63" s="686" t="s">
        <v>1777</v>
      </c>
      <c r="C63" s="184" t="s">
        <v>1778</v>
      </c>
      <c r="D63" s="691" t="s">
        <v>1779</v>
      </c>
      <c r="E63" s="354">
        <v>40925.0</v>
      </c>
      <c r="F63" s="157" t="s">
        <v>354</v>
      </c>
      <c r="G63" s="157" t="s">
        <v>354</v>
      </c>
      <c r="H63" s="157" t="s">
        <v>354</v>
      </c>
      <c r="I63" s="157" t="s">
        <v>354</v>
      </c>
      <c r="J63" s="157" t="s">
        <v>354</v>
      </c>
      <c r="K63" s="184">
        <v>0.0</v>
      </c>
      <c r="L63" s="184" t="s">
        <v>354</v>
      </c>
      <c r="M63" s="157" t="s">
        <v>354</v>
      </c>
      <c r="N63" s="157" t="s">
        <v>354</v>
      </c>
      <c r="O63" s="184" t="s">
        <v>371</v>
      </c>
      <c r="P63" s="157">
        <v>0.0</v>
      </c>
      <c r="Q63" s="157">
        <v>0.0</v>
      </c>
      <c r="R63" s="551" t="s">
        <v>354</v>
      </c>
      <c r="S63" s="551" t="s">
        <v>354</v>
      </c>
      <c r="T63" s="551" t="s">
        <v>354</v>
      </c>
      <c r="U63" s="157">
        <v>0.0</v>
      </c>
      <c r="V63" s="157">
        <v>0.0</v>
      </c>
      <c r="W63" s="157" t="s">
        <v>354</v>
      </c>
      <c r="X63" s="157" t="s">
        <v>354</v>
      </c>
      <c r="Y63" s="707" t="s">
        <v>356</v>
      </c>
      <c r="Z63" s="707" t="s">
        <v>354</v>
      </c>
      <c r="AA63" s="708" t="s">
        <v>356</v>
      </c>
      <c r="AB63" s="708" t="s">
        <v>354</v>
      </c>
      <c r="AC63" s="144" t="s">
        <v>365</v>
      </c>
      <c r="AD63" s="143" t="s">
        <v>358</v>
      </c>
      <c r="AE63" s="367">
        <f t="shared" si="1"/>
        <v>1</v>
      </c>
      <c r="AF63" s="265"/>
      <c r="AG63" s="157"/>
      <c r="AH63" s="265"/>
      <c r="AI63" s="265"/>
      <c r="AJ63" s="265"/>
      <c r="AK63" s="157">
        <v>0.0</v>
      </c>
      <c r="AL63" s="157">
        <v>0.0</v>
      </c>
      <c r="AM63" s="157">
        <v>1.0</v>
      </c>
      <c r="AN63" s="157">
        <v>0.0</v>
      </c>
      <c r="AO63" s="157">
        <v>0.0</v>
      </c>
      <c r="AP63" s="157">
        <v>0.0</v>
      </c>
      <c r="AQ63" s="157">
        <v>0.0</v>
      </c>
      <c r="AR63" s="157">
        <v>0.0</v>
      </c>
      <c r="AS63" s="385">
        <f t="shared" si="2"/>
        <v>1</v>
      </c>
      <c r="AT63" s="385">
        <f t="shared" si="3"/>
        <v>1</v>
      </c>
    </row>
    <row r="64">
      <c r="A64" s="273">
        <v>63.0</v>
      </c>
      <c r="B64" s="683" t="s">
        <v>994</v>
      </c>
      <c r="C64" s="78" t="s">
        <v>994</v>
      </c>
      <c r="D64" s="692" t="s">
        <v>991</v>
      </c>
      <c r="E64" s="354">
        <v>40925.0</v>
      </c>
      <c r="F64" s="157" t="s">
        <v>354</v>
      </c>
      <c r="G64" s="157" t="s">
        <v>354</v>
      </c>
      <c r="H64" s="157" t="s">
        <v>354</v>
      </c>
      <c r="I64" s="157" t="s">
        <v>354</v>
      </c>
      <c r="J64" s="157" t="s">
        <v>354</v>
      </c>
      <c r="K64" s="158">
        <v>2.0</v>
      </c>
      <c r="L64" s="158" t="s">
        <v>993</v>
      </c>
      <c r="M64" s="157" t="s">
        <v>354</v>
      </c>
      <c r="N64" s="157" t="s">
        <v>354</v>
      </c>
      <c r="O64" s="158" t="s">
        <v>398</v>
      </c>
      <c r="P64" s="157">
        <v>0.0</v>
      </c>
      <c r="Q64" s="157">
        <v>0.0</v>
      </c>
      <c r="R64" s="551" t="s">
        <v>354</v>
      </c>
      <c r="S64" s="551" t="s">
        <v>354</v>
      </c>
      <c r="T64" s="551" t="s">
        <v>354</v>
      </c>
      <c r="U64" s="157">
        <v>0.0</v>
      </c>
      <c r="V64" s="157">
        <v>0.0</v>
      </c>
      <c r="W64" s="157" t="s">
        <v>354</v>
      </c>
      <c r="X64" s="157" t="s">
        <v>354</v>
      </c>
      <c r="Y64" s="707" t="s">
        <v>356</v>
      </c>
      <c r="Z64" s="707" t="s">
        <v>354</v>
      </c>
      <c r="AA64" s="708" t="s">
        <v>356</v>
      </c>
      <c r="AB64" s="708" t="s">
        <v>354</v>
      </c>
      <c r="AC64" s="144" t="s">
        <v>365</v>
      </c>
      <c r="AD64" s="143" t="s">
        <v>358</v>
      </c>
      <c r="AE64" s="367">
        <f t="shared" si="1"/>
        <v>1</v>
      </c>
      <c r="AF64" s="265"/>
      <c r="AG64" s="157"/>
      <c r="AH64" s="265"/>
      <c r="AI64" s="265"/>
      <c r="AJ64" s="265"/>
      <c r="AK64" s="157">
        <v>0.0</v>
      </c>
      <c r="AL64" s="157">
        <v>0.0</v>
      </c>
      <c r="AM64" s="157">
        <v>1.0</v>
      </c>
      <c r="AN64" s="157">
        <v>0.0</v>
      </c>
      <c r="AO64" s="157">
        <v>0.0</v>
      </c>
      <c r="AP64" s="157">
        <v>0.0</v>
      </c>
      <c r="AQ64" s="157">
        <v>0.0</v>
      </c>
      <c r="AR64" s="157">
        <v>0.0</v>
      </c>
      <c r="AS64" s="385">
        <f t="shared" si="2"/>
        <v>1</v>
      </c>
      <c r="AT64" s="385">
        <f t="shared" si="3"/>
        <v>1</v>
      </c>
    </row>
    <row r="65">
      <c r="A65" s="273">
        <v>64.0</v>
      </c>
      <c r="B65" s="686" t="s">
        <v>738</v>
      </c>
      <c r="C65" s="41" t="s">
        <v>1780</v>
      </c>
      <c r="D65" s="687" t="s">
        <v>735</v>
      </c>
      <c r="E65" s="354">
        <v>40925.0</v>
      </c>
      <c r="F65" s="157" t="s">
        <v>354</v>
      </c>
      <c r="G65" s="157" t="s">
        <v>354</v>
      </c>
      <c r="H65" s="157" t="s">
        <v>354</v>
      </c>
      <c r="I65" s="157" t="s">
        <v>354</v>
      </c>
      <c r="J65" s="157" t="s">
        <v>354</v>
      </c>
      <c r="K65" s="184">
        <v>0.0</v>
      </c>
      <c r="L65" s="184" t="s">
        <v>354</v>
      </c>
      <c r="M65" s="157" t="s">
        <v>354</v>
      </c>
      <c r="N65" s="157" t="s">
        <v>354</v>
      </c>
      <c r="O65" s="184" t="s">
        <v>371</v>
      </c>
      <c r="P65" s="157">
        <v>0.0</v>
      </c>
      <c r="Q65" s="157">
        <v>0.0</v>
      </c>
      <c r="R65" s="551" t="s">
        <v>354</v>
      </c>
      <c r="S65" s="551" t="s">
        <v>354</v>
      </c>
      <c r="T65" s="551" t="s">
        <v>354</v>
      </c>
      <c r="U65" s="157">
        <v>0.0</v>
      </c>
      <c r="V65" s="157">
        <v>0.0</v>
      </c>
      <c r="W65" s="157" t="s">
        <v>354</v>
      </c>
      <c r="X65" s="157" t="s">
        <v>354</v>
      </c>
      <c r="Y65" s="707" t="s">
        <v>356</v>
      </c>
      <c r="Z65" s="707" t="s">
        <v>354</v>
      </c>
      <c r="AA65" s="708" t="s">
        <v>356</v>
      </c>
      <c r="AB65" s="708" t="s">
        <v>354</v>
      </c>
      <c r="AC65" s="139" t="s">
        <v>356</v>
      </c>
      <c r="AD65" s="139" t="s">
        <v>354</v>
      </c>
      <c r="AE65" s="46">
        <f t="shared" si="1"/>
        <v>0</v>
      </c>
      <c r="AF65" s="265"/>
      <c r="AG65" s="157"/>
      <c r="AH65" s="265"/>
      <c r="AI65" s="265"/>
      <c r="AJ65" s="265"/>
      <c r="AK65" s="157">
        <v>0.0</v>
      </c>
      <c r="AL65" s="157">
        <v>0.0</v>
      </c>
      <c r="AM65" s="157">
        <v>0.0</v>
      </c>
      <c r="AN65" s="157">
        <v>0.0</v>
      </c>
      <c r="AO65" s="157">
        <v>0.0</v>
      </c>
      <c r="AP65" s="157">
        <v>0.0</v>
      </c>
      <c r="AQ65" s="157">
        <v>0.0</v>
      </c>
      <c r="AR65" s="157">
        <v>0.0</v>
      </c>
      <c r="AS65" s="265">
        <f t="shared" si="2"/>
        <v>0</v>
      </c>
      <c r="AT65" s="265">
        <f t="shared" si="3"/>
        <v>0</v>
      </c>
    </row>
    <row r="66">
      <c r="A66" s="273">
        <v>65.0</v>
      </c>
      <c r="B66" s="683" t="s">
        <v>1781</v>
      </c>
      <c r="C66" s="710" t="s">
        <v>1422</v>
      </c>
      <c r="D66" s="685" t="s">
        <v>775</v>
      </c>
      <c r="E66" s="354">
        <v>40925.0</v>
      </c>
      <c r="F66" s="157" t="s">
        <v>354</v>
      </c>
      <c r="G66" s="157" t="s">
        <v>354</v>
      </c>
      <c r="H66" s="157" t="s">
        <v>354</v>
      </c>
      <c r="I66" s="157" t="s">
        <v>354</v>
      </c>
      <c r="J66" s="157" t="s">
        <v>354</v>
      </c>
      <c r="K66" s="158">
        <v>1.0</v>
      </c>
      <c r="L66" s="158" t="s">
        <v>778</v>
      </c>
      <c r="M66" s="157" t="s">
        <v>354</v>
      </c>
      <c r="N66" s="157" t="s">
        <v>354</v>
      </c>
      <c r="O66" s="158" t="s">
        <v>455</v>
      </c>
      <c r="P66" s="157">
        <v>0.0</v>
      </c>
      <c r="Q66" s="157">
        <v>0.0</v>
      </c>
      <c r="R66" s="551" t="s">
        <v>354</v>
      </c>
      <c r="S66" s="551" t="s">
        <v>354</v>
      </c>
      <c r="T66" s="551" t="s">
        <v>354</v>
      </c>
      <c r="U66" s="157">
        <v>0.0</v>
      </c>
      <c r="V66" s="157">
        <v>0.0</v>
      </c>
      <c r="W66" s="157" t="s">
        <v>354</v>
      </c>
      <c r="X66" s="157" t="s">
        <v>354</v>
      </c>
      <c r="Y66" s="707" t="s">
        <v>356</v>
      </c>
      <c r="Z66" s="707" t="s">
        <v>354</v>
      </c>
      <c r="AA66" s="708" t="s">
        <v>356</v>
      </c>
      <c r="AB66" s="708" t="s">
        <v>354</v>
      </c>
      <c r="AC66" s="139" t="s">
        <v>356</v>
      </c>
      <c r="AD66" s="139" t="s">
        <v>354</v>
      </c>
      <c r="AE66" s="46">
        <f t="shared" si="1"/>
        <v>0</v>
      </c>
      <c r="AF66" s="265"/>
      <c r="AG66" s="157"/>
      <c r="AH66" s="265"/>
      <c r="AI66" s="265"/>
      <c r="AJ66" s="265"/>
      <c r="AK66" s="157">
        <v>0.0</v>
      </c>
      <c r="AL66" s="157">
        <v>0.0</v>
      </c>
      <c r="AM66" s="157">
        <v>0.0</v>
      </c>
      <c r="AN66" s="157">
        <v>0.0</v>
      </c>
      <c r="AO66" s="157">
        <v>0.0</v>
      </c>
      <c r="AP66" s="157">
        <v>0.0</v>
      </c>
      <c r="AQ66" s="157">
        <v>0.0</v>
      </c>
      <c r="AR66" s="157">
        <v>0.0</v>
      </c>
      <c r="AS66" s="265">
        <f t="shared" si="2"/>
        <v>0</v>
      </c>
      <c r="AT66" s="265">
        <f t="shared" si="3"/>
        <v>0</v>
      </c>
    </row>
    <row r="67">
      <c r="A67" s="273">
        <v>66.0</v>
      </c>
      <c r="B67" s="683" t="s">
        <v>135</v>
      </c>
      <c r="C67" s="702" t="s">
        <v>135</v>
      </c>
      <c r="D67" s="692" t="s">
        <v>596</v>
      </c>
      <c r="E67" s="354">
        <v>40925.0</v>
      </c>
      <c r="F67" s="157" t="s">
        <v>354</v>
      </c>
      <c r="G67" s="157" t="s">
        <v>354</v>
      </c>
      <c r="H67" s="157" t="s">
        <v>354</v>
      </c>
      <c r="I67" s="157" t="s">
        <v>354</v>
      </c>
      <c r="J67" s="157" t="s">
        <v>354</v>
      </c>
      <c r="K67" s="158">
        <v>3.0</v>
      </c>
      <c r="L67" s="158" t="s">
        <v>601</v>
      </c>
      <c r="M67" s="157" t="s">
        <v>354</v>
      </c>
      <c r="N67" s="157" t="s">
        <v>354</v>
      </c>
      <c r="O67" s="158" t="s">
        <v>600</v>
      </c>
      <c r="P67" s="157">
        <v>0.0</v>
      </c>
      <c r="Q67" s="157">
        <v>0.0</v>
      </c>
      <c r="R67" s="551" t="s">
        <v>354</v>
      </c>
      <c r="S67" s="551" t="s">
        <v>354</v>
      </c>
      <c r="T67" s="551" t="s">
        <v>354</v>
      </c>
      <c r="U67" s="157">
        <v>0.0</v>
      </c>
      <c r="V67" s="157">
        <v>0.0</v>
      </c>
      <c r="W67" s="157" t="s">
        <v>354</v>
      </c>
      <c r="X67" s="157" t="s">
        <v>354</v>
      </c>
      <c r="Y67" s="707" t="s">
        <v>356</v>
      </c>
      <c r="Z67" s="707" t="s">
        <v>354</v>
      </c>
      <c r="AA67" s="708" t="s">
        <v>356</v>
      </c>
      <c r="AB67" s="708" t="s">
        <v>354</v>
      </c>
      <c r="AC67" s="139" t="s">
        <v>356</v>
      </c>
      <c r="AD67" s="139" t="s">
        <v>354</v>
      </c>
      <c r="AE67" s="46">
        <f t="shared" si="1"/>
        <v>0</v>
      </c>
      <c r="AF67" s="265"/>
      <c r="AG67" s="157"/>
      <c r="AH67" s="265"/>
      <c r="AI67" s="265"/>
      <c r="AJ67" s="265"/>
      <c r="AK67" s="157">
        <v>0.0</v>
      </c>
      <c r="AL67" s="157">
        <v>0.0</v>
      </c>
      <c r="AM67" s="157">
        <v>0.0</v>
      </c>
      <c r="AN67" s="157">
        <v>0.0</v>
      </c>
      <c r="AO67" s="157">
        <v>0.0</v>
      </c>
      <c r="AP67" s="157">
        <v>0.0</v>
      </c>
      <c r="AQ67" s="157">
        <v>0.0</v>
      </c>
      <c r="AR67" s="157">
        <v>0.0</v>
      </c>
      <c r="AS67" s="265">
        <f t="shared" si="2"/>
        <v>0</v>
      </c>
      <c r="AT67" s="265">
        <f t="shared" si="3"/>
        <v>0</v>
      </c>
    </row>
    <row r="68">
      <c r="A68" s="273">
        <v>67.0</v>
      </c>
      <c r="B68" s="695" t="s">
        <v>165</v>
      </c>
      <c r="C68" s="712" t="s">
        <v>165</v>
      </c>
      <c r="D68" s="713" t="s">
        <v>650</v>
      </c>
      <c r="E68" s="354">
        <v>40925.0</v>
      </c>
      <c r="F68" s="157" t="s">
        <v>354</v>
      </c>
      <c r="G68" s="157" t="s">
        <v>354</v>
      </c>
      <c r="H68" s="157" t="s">
        <v>354</v>
      </c>
      <c r="I68" s="157" t="s">
        <v>354</v>
      </c>
      <c r="J68" s="157" t="s">
        <v>354</v>
      </c>
      <c r="K68" s="179">
        <v>0.0</v>
      </c>
      <c r="L68" s="179" t="s">
        <v>354</v>
      </c>
      <c r="M68" s="157" t="s">
        <v>354</v>
      </c>
      <c r="N68" s="157" t="s">
        <v>354</v>
      </c>
      <c r="O68" s="179" t="s">
        <v>485</v>
      </c>
      <c r="P68" s="77">
        <v>41.15</v>
      </c>
      <c r="Q68" s="157">
        <v>0.0</v>
      </c>
      <c r="R68" s="551" t="s">
        <v>354</v>
      </c>
      <c r="S68" s="551" t="s">
        <v>354</v>
      </c>
      <c r="T68" s="551" t="s">
        <v>354</v>
      </c>
      <c r="U68" s="157">
        <v>0.0</v>
      </c>
      <c r="V68" s="157">
        <v>0.0</v>
      </c>
      <c r="W68" s="157" t="s">
        <v>354</v>
      </c>
      <c r="X68" s="157" t="s">
        <v>354</v>
      </c>
      <c r="Y68" s="681" t="s">
        <v>365</v>
      </c>
      <c r="Z68" s="90" t="s">
        <v>413</v>
      </c>
      <c r="AA68" s="677" t="s">
        <v>365</v>
      </c>
      <c r="AB68" s="40" t="s">
        <v>357</v>
      </c>
      <c r="AC68" s="144" t="s">
        <v>365</v>
      </c>
      <c r="AD68" s="181" t="s">
        <v>389</v>
      </c>
      <c r="AE68" s="357">
        <f t="shared" si="1"/>
        <v>4</v>
      </c>
      <c r="AF68" s="265"/>
      <c r="AG68" s="157"/>
      <c r="AH68" s="265"/>
      <c r="AI68" s="265"/>
      <c r="AJ68" s="265"/>
      <c r="AK68" s="157">
        <v>1.0</v>
      </c>
      <c r="AL68" s="157">
        <v>0.0</v>
      </c>
      <c r="AM68" s="157">
        <v>0.0</v>
      </c>
      <c r="AN68" s="157">
        <v>0.0</v>
      </c>
      <c r="AO68" s="157">
        <v>1.0</v>
      </c>
      <c r="AP68" s="157">
        <v>1.0</v>
      </c>
      <c r="AQ68" s="157">
        <v>0.0</v>
      </c>
      <c r="AR68" s="157">
        <v>0.0</v>
      </c>
      <c r="AS68" s="388">
        <f t="shared" si="2"/>
        <v>3</v>
      </c>
      <c r="AT68" s="388">
        <f t="shared" si="3"/>
        <v>3</v>
      </c>
    </row>
    <row r="69">
      <c r="A69" s="273">
        <v>68.0</v>
      </c>
      <c r="B69" s="686" t="s">
        <v>495</v>
      </c>
      <c r="C69" s="41" t="s">
        <v>488</v>
      </c>
      <c r="D69" s="687" t="s">
        <v>489</v>
      </c>
      <c r="E69" s="354">
        <v>40925.0</v>
      </c>
      <c r="F69" s="157" t="s">
        <v>354</v>
      </c>
      <c r="G69" s="157" t="s">
        <v>354</v>
      </c>
      <c r="H69" s="157" t="s">
        <v>354</v>
      </c>
      <c r="I69" s="157" t="s">
        <v>354</v>
      </c>
      <c r="J69" s="157" t="s">
        <v>354</v>
      </c>
      <c r="K69" s="184">
        <v>0.0</v>
      </c>
      <c r="L69" s="184" t="s">
        <v>354</v>
      </c>
      <c r="M69" s="157" t="s">
        <v>354</v>
      </c>
      <c r="N69" s="157" t="s">
        <v>354</v>
      </c>
      <c r="O69" s="184" t="s">
        <v>371</v>
      </c>
      <c r="P69" s="157">
        <v>0.0</v>
      </c>
      <c r="Q69" s="157">
        <v>0.0</v>
      </c>
      <c r="R69" s="551" t="s">
        <v>354</v>
      </c>
      <c r="S69" s="551" t="s">
        <v>354</v>
      </c>
      <c r="T69" s="551" t="s">
        <v>354</v>
      </c>
      <c r="U69" s="157">
        <v>0.0</v>
      </c>
      <c r="V69" s="157">
        <v>0.0</v>
      </c>
      <c r="W69" s="157" t="s">
        <v>354</v>
      </c>
      <c r="X69" s="157" t="s">
        <v>354</v>
      </c>
      <c r="Y69" s="681" t="s">
        <v>365</v>
      </c>
      <c r="Z69" s="315" t="s">
        <v>420</v>
      </c>
      <c r="AA69" s="677" t="s">
        <v>365</v>
      </c>
      <c r="AB69" s="181" t="s">
        <v>389</v>
      </c>
      <c r="AC69" s="144" t="s">
        <v>365</v>
      </c>
      <c r="AD69" s="90" t="s">
        <v>413</v>
      </c>
      <c r="AE69" s="357">
        <f t="shared" si="1"/>
        <v>3</v>
      </c>
      <c r="AF69" s="265"/>
      <c r="AG69" s="157"/>
      <c r="AH69" s="265"/>
      <c r="AI69" s="265"/>
      <c r="AJ69" s="265"/>
      <c r="AK69" s="157">
        <v>1.0</v>
      </c>
      <c r="AL69" s="157">
        <v>1.0</v>
      </c>
      <c r="AM69" s="157">
        <v>0.0</v>
      </c>
      <c r="AN69" s="157">
        <v>0.0</v>
      </c>
      <c r="AO69" s="157">
        <v>1.0</v>
      </c>
      <c r="AP69" s="157">
        <v>0.0</v>
      </c>
      <c r="AQ69" s="157">
        <v>0.0</v>
      </c>
      <c r="AR69" s="157">
        <v>0.0</v>
      </c>
      <c r="AS69" s="388">
        <f t="shared" si="2"/>
        <v>3</v>
      </c>
      <c r="AT69" s="388">
        <f t="shared" si="3"/>
        <v>3</v>
      </c>
    </row>
    <row r="70">
      <c r="A70" s="273">
        <v>69.0</v>
      </c>
      <c r="B70" s="686" t="s">
        <v>424</v>
      </c>
      <c r="C70" s="184" t="s">
        <v>1672</v>
      </c>
      <c r="D70" s="687" t="s">
        <v>421</v>
      </c>
      <c r="E70" s="354">
        <v>40925.0</v>
      </c>
      <c r="F70" s="157" t="s">
        <v>354</v>
      </c>
      <c r="G70" s="157" t="s">
        <v>354</v>
      </c>
      <c r="H70" s="157" t="s">
        <v>354</v>
      </c>
      <c r="I70" s="157" t="s">
        <v>354</v>
      </c>
      <c r="J70" s="157" t="s">
        <v>354</v>
      </c>
      <c r="K70" s="184">
        <v>0.0</v>
      </c>
      <c r="L70" s="184" t="s">
        <v>354</v>
      </c>
      <c r="M70" s="157" t="s">
        <v>354</v>
      </c>
      <c r="N70" s="157" t="s">
        <v>354</v>
      </c>
      <c r="O70" s="184" t="s">
        <v>371</v>
      </c>
      <c r="P70" s="157">
        <v>0.0</v>
      </c>
      <c r="Q70" s="157">
        <v>0.0</v>
      </c>
      <c r="R70" s="551" t="s">
        <v>354</v>
      </c>
      <c r="S70" s="551" t="s">
        <v>354</v>
      </c>
      <c r="T70" s="551" t="s">
        <v>354</v>
      </c>
      <c r="U70" s="157">
        <v>0.0</v>
      </c>
      <c r="V70" s="157">
        <v>0.0</v>
      </c>
      <c r="W70" s="157" t="s">
        <v>354</v>
      </c>
      <c r="X70" s="157" t="s">
        <v>354</v>
      </c>
      <c r="Y70" s="707" t="s">
        <v>356</v>
      </c>
      <c r="Z70" s="707" t="s">
        <v>354</v>
      </c>
      <c r="AA70" s="708" t="s">
        <v>356</v>
      </c>
      <c r="AB70" s="708" t="s">
        <v>354</v>
      </c>
      <c r="AC70" s="139" t="s">
        <v>356</v>
      </c>
      <c r="AD70" s="139" t="s">
        <v>354</v>
      </c>
      <c r="AE70" s="46">
        <f t="shared" si="1"/>
        <v>0</v>
      </c>
      <c r="AF70" s="265"/>
      <c r="AG70" s="157"/>
      <c r="AH70" s="265"/>
      <c r="AI70" s="265"/>
      <c r="AJ70" s="265"/>
      <c r="AK70" s="157">
        <v>0.0</v>
      </c>
      <c r="AL70" s="157">
        <v>0.0</v>
      </c>
      <c r="AM70" s="157">
        <v>0.0</v>
      </c>
      <c r="AN70" s="157">
        <v>0.0</v>
      </c>
      <c r="AO70" s="157">
        <v>0.0</v>
      </c>
      <c r="AP70" s="157">
        <v>0.0</v>
      </c>
      <c r="AQ70" s="157">
        <v>0.0</v>
      </c>
      <c r="AR70" s="157">
        <v>0.0</v>
      </c>
      <c r="AS70" s="265">
        <f t="shared" si="2"/>
        <v>0</v>
      </c>
      <c r="AT70" s="265">
        <f t="shared" si="3"/>
        <v>0</v>
      </c>
    </row>
    <row r="71">
      <c r="A71" s="273">
        <v>70.0</v>
      </c>
      <c r="B71" s="683" t="s">
        <v>582</v>
      </c>
      <c r="C71" s="710" t="s">
        <v>1425</v>
      </c>
      <c r="D71" s="692" t="s">
        <v>573</v>
      </c>
      <c r="E71" s="354">
        <v>40925.0</v>
      </c>
      <c r="F71" s="157" t="s">
        <v>354</v>
      </c>
      <c r="G71" s="157" t="s">
        <v>354</v>
      </c>
      <c r="H71" s="157" t="s">
        <v>354</v>
      </c>
      <c r="I71" s="157" t="s">
        <v>354</v>
      </c>
      <c r="J71" s="157" t="s">
        <v>354</v>
      </c>
      <c r="K71" s="158">
        <v>2.0</v>
      </c>
      <c r="L71" s="158" t="s">
        <v>581</v>
      </c>
      <c r="M71" s="157" t="s">
        <v>354</v>
      </c>
      <c r="N71" s="157" t="s">
        <v>354</v>
      </c>
      <c r="O71" s="158" t="s">
        <v>580</v>
      </c>
      <c r="P71" s="157">
        <v>0.0</v>
      </c>
      <c r="Q71" s="157">
        <v>0.0</v>
      </c>
      <c r="R71" s="551" t="s">
        <v>354</v>
      </c>
      <c r="S71" s="551" t="s">
        <v>354</v>
      </c>
      <c r="T71" s="551" t="s">
        <v>354</v>
      </c>
      <c r="U71" s="157">
        <v>0.0</v>
      </c>
      <c r="V71" s="157">
        <v>0.0</v>
      </c>
      <c r="W71" s="157" t="s">
        <v>354</v>
      </c>
      <c r="X71" s="157" t="s">
        <v>354</v>
      </c>
      <c r="Y71" s="707" t="s">
        <v>356</v>
      </c>
      <c r="Z71" s="707" t="s">
        <v>354</v>
      </c>
      <c r="AA71" s="708" t="s">
        <v>356</v>
      </c>
      <c r="AB71" s="708" t="s">
        <v>354</v>
      </c>
      <c r="AC71" s="139" t="s">
        <v>356</v>
      </c>
      <c r="AD71" s="139" t="s">
        <v>354</v>
      </c>
      <c r="AE71" s="46">
        <f t="shared" si="1"/>
        <v>0</v>
      </c>
      <c r="AF71" s="265"/>
      <c r="AG71" s="157"/>
      <c r="AH71" s="265"/>
      <c r="AI71" s="265"/>
      <c r="AJ71" s="265"/>
      <c r="AK71" s="157">
        <v>0.0</v>
      </c>
      <c r="AL71" s="157">
        <v>0.0</v>
      </c>
      <c r="AM71" s="157">
        <v>0.0</v>
      </c>
      <c r="AN71" s="157">
        <v>0.0</v>
      </c>
      <c r="AO71" s="157">
        <v>0.0</v>
      </c>
      <c r="AP71" s="157">
        <v>0.0</v>
      </c>
      <c r="AQ71" s="157">
        <v>0.0</v>
      </c>
      <c r="AR71" s="157">
        <v>0.0</v>
      </c>
      <c r="AS71" s="265">
        <f t="shared" si="2"/>
        <v>0</v>
      </c>
      <c r="AT71" s="265">
        <f t="shared" si="3"/>
        <v>0</v>
      </c>
    </row>
    <row r="72">
      <c r="A72" s="273">
        <v>71.0</v>
      </c>
      <c r="B72" s="686" t="s">
        <v>463</v>
      </c>
      <c r="C72" s="714" t="s">
        <v>71</v>
      </c>
      <c r="D72" s="711" t="s">
        <v>459</v>
      </c>
      <c r="E72" s="354">
        <v>40925.0</v>
      </c>
      <c r="F72" s="157" t="s">
        <v>354</v>
      </c>
      <c r="G72" s="157" t="s">
        <v>354</v>
      </c>
      <c r="H72" s="157" t="s">
        <v>354</v>
      </c>
      <c r="I72" s="157" t="s">
        <v>354</v>
      </c>
      <c r="J72" s="157" t="s">
        <v>354</v>
      </c>
      <c r="K72" s="184">
        <v>0.0</v>
      </c>
      <c r="L72" s="184" t="s">
        <v>354</v>
      </c>
      <c r="M72" s="157" t="s">
        <v>354</v>
      </c>
      <c r="N72" s="157" t="s">
        <v>354</v>
      </c>
      <c r="O72" s="184" t="s">
        <v>371</v>
      </c>
      <c r="P72" s="157">
        <v>0.0</v>
      </c>
      <c r="Q72" s="157">
        <v>0.0</v>
      </c>
      <c r="R72" s="551" t="s">
        <v>354</v>
      </c>
      <c r="S72" s="551" t="s">
        <v>354</v>
      </c>
      <c r="T72" s="551" t="s">
        <v>354</v>
      </c>
      <c r="U72" s="157">
        <v>0.0</v>
      </c>
      <c r="V72" s="157">
        <v>0.0</v>
      </c>
      <c r="W72" s="157" t="s">
        <v>354</v>
      </c>
      <c r="X72" s="157" t="s">
        <v>354</v>
      </c>
      <c r="Y72" s="707" t="s">
        <v>356</v>
      </c>
      <c r="Z72" s="707" t="s">
        <v>354</v>
      </c>
      <c r="AA72" s="708" t="s">
        <v>356</v>
      </c>
      <c r="AB72" s="708" t="s">
        <v>354</v>
      </c>
      <c r="AC72" s="139" t="s">
        <v>356</v>
      </c>
      <c r="AD72" s="139" t="s">
        <v>354</v>
      </c>
      <c r="AE72" s="46">
        <f t="shared" si="1"/>
        <v>0</v>
      </c>
      <c r="AF72" s="265"/>
      <c r="AG72" s="157"/>
      <c r="AH72" s="265"/>
      <c r="AI72" s="265"/>
      <c r="AJ72" s="265"/>
      <c r="AK72" s="157">
        <v>0.0</v>
      </c>
      <c r="AL72" s="157">
        <v>0.0</v>
      </c>
      <c r="AM72" s="157">
        <v>0.0</v>
      </c>
      <c r="AN72" s="157">
        <v>0.0</v>
      </c>
      <c r="AO72" s="157">
        <v>0.0</v>
      </c>
      <c r="AP72" s="157">
        <v>0.0</v>
      </c>
      <c r="AQ72" s="157">
        <v>0.0</v>
      </c>
      <c r="AR72" s="157">
        <v>0.0</v>
      </c>
      <c r="AS72" s="265">
        <f t="shared" si="2"/>
        <v>0</v>
      </c>
      <c r="AT72" s="265">
        <f t="shared" si="3"/>
        <v>0</v>
      </c>
    </row>
    <row r="73">
      <c r="A73" s="273">
        <v>72.0</v>
      </c>
      <c r="B73" s="683" t="s">
        <v>786</v>
      </c>
      <c r="C73" s="710" t="s">
        <v>1782</v>
      </c>
      <c r="D73" s="692" t="s">
        <v>783</v>
      </c>
      <c r="E73" s="354">
        <v>40925.0</v>
      </c>
      <c r="F73" s="157" t="s">
        <v>354</v>
      </c>
      <c r="G73" s="157" t="s">
        <v>354</v>
      </c>
      <c r="H73" s="157" t="s">
        <v>354</v>
      </c>
      <c r="I73" s="157" t="s">
        <v>354</v>
      </c>
      <c r="J73" s="157" t="s">
        <v>354</v>
      </c>
      <c r="K73" s="158">
        <v>0.0</v>
      </c>
      <c r="L73" s="158" t="s">
        <v>785</v>
      </c>
      <c r="M73" s="157" t="s">
        <v>354</v>
      </c>
      <c r="N73" s="157" t="s">
        <v>354</v>
      </c>
      <c r="O73" s="158" t="s">
        <v>556</v>
      </c>
      <c r="P73" s="157">
        <v>0.0</v>
      </c>
      <c r="Q73" s="157">
        <v>0.0</v>
      </c>
      <c r="R73" s="551" t="s">
        <v>354</v>
      </c>
      <c r="S73" s="551" t="s">
        <v>354</v>
      </c>
      <c r="T73" s="551" t="s">
        <v>354</v>
      </c>
      <c r="U73" s="157">
        <v>0.0</v>
      </c>
      <c r="V73" s="157">
        <v>0.0</v>
      </c>
      <c r="W73" s="157" t="s">
        <v>354</v>
      </c>
      <c r="X73" s="157" t="s">
        <v>354</v>
      </c>
      <c r="Y73" s="681" t="s">
        <v>365</v>
      </c>
      <c r="Z73" s="315" t="s">
        <v>420</v>
      </c>
      <c r="AA73" s="680" t="s">
        <v>361</v>
      </c>
      <c r="AB73" s="680" t="s">
        <v>361</v>
      </c>
      <c r="AC73" s="144" t="s">
        <v>365</v>
      </c>
      <c r="AD73" s="315" t="s">
        <v>420</v>
      </c>
      <c r="AE73" s="357">
        <f t="shared" si="1"/>
        <v>2</v>
      </c>
      <c r="AF73" s="265"/>
      <c r="AG73" s="157"/>
      <c r="AH73" s="265"/>
      <c r="AI73" s="265"/>
      <c r="AJ73" s="265"/>
      <c r="AK73" s="157">
        <v>0.0</v>
      </c>
      <c r="AL73" s="157">
        <v>2.0</v>
      </c>
      <c r="AM73" s="157">
        <v>0.0</v>
      </c>
      <c r="AN73" s="157">
        <v>0.0</v>
      </c>
      <c r="AO73" s="157">
        <v>0.0</v>
      </c>
      <c r="AP73" s="157">
        <v>0.0</v>
      </c>
      <c r="AQ73" s="157">
        <v>0.0</v>
      </c>
      <c r="AR73" s="157">
        <v>0.0</v>
      </c>
      <c r="AS73" s="388">
        <f t="shared" si="2"/>
        <v>2</v>
      </c>
      <c r="AT73" s="388">
        <f t="shared" si="3"/>
        <v>1</v>
      </c>
    </row>
    <row r="74">
      <c r="A74" s="273">
        <v>73.0</v>
      </c>
      <c r="B74" s="686" t="s">
        <v>820</v>
      </c>
      <c r="C74" s="41" t="s">
        <v>816</v>
      </c>
      <c r="D74" s="687" t="s">
        <v>817</v>
      </c>
      <c r="E74" s="354">
        <v>40925.0</v>
      </c>
      <c r="F74" s="157" t="s">
        <v>354</v>
      </c>
      <c r="G74" s="157" t="s">
        <v>354</v>
      </c>
      <c r="H74" s="157" t="s">
        <v>354</v>
      </c>
      <c r="I74" s="157" t="s">
        <v>354</v>
      </c>
      <c r="J74" s="157" t="s">
        <v>354</v>
      </c>
      <c r="K74" s="184">
        <v>0.0</v>
      </c>
      <c r="L74" s="184" t="s">
        <v>354</v>
      </c>
      <c r="M74" s="157" t="s">
        <v>354</v>
      </c>
      <c r="N74" s="157" t="s">
        <v>354</v>
      </c>
      <c r="O74" s="184" t="s">
        <v>371</v>
      </c>
      <c r="P74" s="157">
        <v>0.0</v>
      </c>
      <c r="Q74" s="157">
        <v>0.0</v>
      </c>
      <c r="R74" s="551" t="s">
        <v>354</v>
      </c>
      <c r="S74" s="551" t="s">
        <v>354</v>
      </c>
      <c r="T74" s="551" t="s">
        <v>354</v>
      </c>
      <c r="U74" s="157">
        <v>0.0</v>
      </c>
      <c r="V74" s="157">
        <v>0.0</v>
      </c>
      <c r="W74" s="157" t="s">
        <v>354</v>
      </c>
      <c r="X74" s="157" t="s">
        <v>354</v>
      </c>
      <c r="Y74" s="681" t="s">
        <v>365</v>
      </c>
      <c r="Z74" s="90" t="s">
        <v>413</v>
      </c>
      <c r="AA74" s="677" t="s">
        <v>365</v>
      </c>
      <c r="AB74" s="90" t="s">
        <v>413</v>
      </c>
      <c r="AC74" s="139" t="s">
        <v>356</v>
      </c>
      <c r="AD74" s="139" t="s">
        <v>354</v>
      </c>
      <c r="AE74" s="357">
        <f t="shared" si="1"/>
        <v>2</v>
      </c>
      <c r="AF74" s="265"/>
      <c r="AG74" s="157"/>
      <c r="AH74" s="265"/>
      <c r="AI74" s="265"/>
      <c r="AJ74" s="265"/>
      <c r="AK74" s="157">
        <v>0.0</v>
      </c>
      <c r="AL74" s="157">
        <v>0.0</v>
      </c>
      <c r="AM74" s="157">
        <v>0.0</v>
      </c>
      <c r="AN74" s="157">
        <v>0.0</v>
      </c>
      <c r="AO74" s="157">
        <v>2.0</v>
      </c>
      <c r="AP74" s="157">
        <v>0.0</v>
      </c>
      <c r="AQ74" s="157">
        <v>0.0</v>
      </c>
      <c r="AR74" s="157">
        <v>0.0</v>
      </c>
      <c r="AS74" s="388">
        <f t="shared" si="2"/>
        <v>2</v>
      </c>
      <c r="AT74" s="388">
        <f t="shared" si="3"/>
        <v>1</v>
      </c>
    </row>
    <row r="75">
      <c r="A75" s="273">
        <v>74.0</v>
      </c>
      <c r="B75" s="683" t="s">
        <v>1054</v>
      </c>
      <c r="C75" s="158" t="s">
        <v>1050</v>
      </c>
      <c r="D75" s="688" t="s">
        <v>1051</v>
      </c>
      <c r="E75" s="354">
        <v>40925.0</v>
      </c>
      <c r="F75" s="157" t="s">
        <v>354</v>
      </c>
      <c r="G75" s="157" t="s">
        <v>354</v>
      </c>
      <c r="H75" s="157" t="s">
        <v>354</v>
      </c>
      <c r="I75" s="157" t="s">
        <v>354</v>
      </c>
      <c r="J75" s="157" t="s">
        <v>354</v>
      </c>
      <c r="K75" s="158">
        <v>1.0</v>
      </c>
      <c r="L75" s="158" t="s">
        <v>1053</v>
      </c>
      <c r="M75" s="157" t="s">
        <v>354</v>
      </c>
      <c r="N75" s="157" t="s">
        <v>354</v>
      </c>
      <c r="O75" s="158" t="s">
        <v>455</v>
      </c>
      <c r="P75" s="157">
        <v>0.0</v>
      </c>
      <c r="Q75" s="157">
        <v>0.0</v>
      </c>
      <c r="R75" s="551" t="s">
        <v>354</v>
      </c>
      <c r="S75" s="551" t="s">
        <v>354</v>
      </c>
      <c r="T75" s="551" t="s">
        <v>354</v>
      </c>
      <c r="U75" s="157">
        <v>0.0</v>
      </c>
      <c r="V75" s="157">
        <v>0.0</v>
      </c>
      <c r="W75" s="157" t="s">
        <v>354</v>
      </c>
      <c r="X75" s="157" t="s">
        <v>354</v>
      </c>
      <c r="Y75" s="707" t="s">
        <v>356</v>
      </c>
      <c r="Z75" s="707" t="s">
        <v>354</v>
      </c>
      <c r="AA75" s="708" t="s">
        <v>356</v>
      </c>
      <c r="AB75" s="708" t="s">
        <v>354</v>
      </c>
      <c r="AC75" s="139" t="s">
        <v>356</v>
      </c>
      <c r="AD75" s="139" t="s">
        <v>354</v>
      </c>
      <c r="AE75" s="46">
        <f t="shared" si="1"/>
        <v>0</v>
      </c>
      <c r="AF75" s="265"/>
      <c r="AG75" s="157"/>
      <c r="AH75" s="265"/>
      <c r="AI75" s="265"/>
      <c r="AJ75" s="265"/>
      <c r="AK75" s="157">
        <v>0.0</v>
      </c>
      <c r="AL75" s="157">
        <v>0.0</v>
      </c>
      <c r="AM75" s="157">
        <v>0.0</v>
      </c>
      <c r="AN75" s="157">
        <v>0.0</v>
      </c>
      <c r="AO75" s="157">
        <v>0.0</v>
      </c>
      <c r="AP75" s="157">
        <v>0.0</v>
      </c>
      <c r="AQ75" s="157">
        <v>0.0</v>
      </c>
      <c r="AR75" s="157">
        <v>0.0</v>
      </c>
      <c r="AS75" s="265">
        <f t="shared" si="2"/>
        <v>0</v>
      </c>
      <c r="AT75" s="265">
        <f t="shared" si="3"/>
        <v>0</v>
      </c>
    </row>
    <row r="76">
      <c r="A76" s="273">
        <v>75.0</v>
      </c>
      <c r="B76" s="686" t="s">
        <v>6</v>
      </c>
      <c r="C76" s="271" t="s">
        <v>6</v>
      </c>
      <c r="D76" s="687" t="s">
        <v>1599</v>
      </c>
      <c r="E76" s="354">
        <v>40925.0</v>
      </c>
      <c r="F76" s="157" t="s">
        <v>354</v>
      </c>
      <c r="G76" s="157" t="s">
        <v>354</v>
      </c>
      <c r="H76" s="157" t="s">
        <v>354</v>
      </c>
      <c r="I76" s="157" t="s">
        <v>354</v>
      </c>
      <c r="J76" s="157" t="s">
        <v>354</v>
      </c>
      <c r="K76" s="184">
        <v>0.0</v>
      </c>
      <c r="L76" s="184" t="s">
        <v>354</v>
      </c>
      <c r="M76" s="157" t="s">
        <v>354</v>
      </c>
      <c r="N76" s="157" t="s">
        <v>354</v>
      </c>
      <c r="O76" s="184" t="s">
        <v>371</v>
      </c>
      <c r="P76" s="157">
        <v>0.0</v>
      </c>
      <c r="Q76" s="157">
        <v>0.0</v>
      </c>
      <c r="R76" s="551" t="s">
        <v>354</v>
      </c>
      <c r="S76" s="551" t="s">
        <v>354</v>
      </c>
      <c r="T76" s="551" t="s">
        <v>354</v>
      </c>
      <c r="U76" s="157">
        <v>0.0</v>
      </c>
      <c r="V76" s="157">
        <v>0.0</v>
      </c>
      <c r="W76" s="157" t="s">
        <v>354</v>
      </c>
      <c r="X76" s="157" t="s">
        <v>354</v>
      </c>
      <c r="Y76" s="707" t="s">
        <v>356</v>
      </c>
      <c r="Z76" s="707" t="s">
        <v>354</v>
      </c>
      <c r="AA76" s="708" t="s">
        <v>356</v>
      </c>
      <c r="AB76" s="708" t="s">
        <v>354</v>
      </c>
      <c r="AC76" s="139" t="s">
        <v>356</v>
      </c>
      <c r="AD76" s="139" t="s">
        <v>354</v>
      </c>
      <c r="AE76" s="46">
        <f t="shared" si="1"/>
        <v>0</v>
      </c>
      <c r="AF76" s="265"/>
      <c r="AG76" s="157"/>
      <c r="AH76" s="265"/>
      <c r="AI76" s="265"/>
      <c r="AJ76" s="265"/>
      <c r="AK76" s="157">
        <v>0.0</v>
      </c>
      <c r="AL76" s="157">
        <v>0.0</v>
      </c>
      <c r="AM76" s="157">
        <v>0.0</v>
      </c>
      <c r="AN76" s="157">
        <v>0.0</v>
      </c>
      <c r="AO76" s="157">
        <v>0.0</v>
      </c>
      <c r="AP76" s="157">
        <v>0.0</v>
      </c>
      <c r="AQ76" s="157">
        <v>0.0</v>
      </c>
      <c r="AR76" s="157">
        <v>0.0</v>
      </c>
      <c r="AS76" s="265">
        <f t="shared" si="2"/>
        <v>0</v>
      </c>
      <c r="AT76" s="265">
        <f t="shared" si="3"/>
        <v>0</v>
      </c>
    </row>
    <row r="77">
      <c r="A77" s="273">
        <v>76.0</v>
      </c>
      <c r="B77" s="683" t="s">
        <v>236</v>
      </c>
      <c r="C77" s="684" t="s">
        <v>234</v>
      </c>
      <c r="D77" s="685" t="s">
        <v>1625</v>
      </c>
      <c r="E77" s="354">
        <v>40925.0</v>
      </c>
      <c r="F77" s="157" t="s">
        <v>354</v>
      </c>
      <c r="G77" s="157" t="s">
        <v>354</v>
      </c>
      <c r="H77" s="157" t="s">
        <v>354</v>
      </c>
      <c r="I77" s="157" t="s">
        <v>354</v>
      </c>
      <c r="J77" s="157" t="s">
        <v>354</v>
      </c>
      <c r="K77" s="158">
        <v>0.0</v>
      </c>
      <c r="L77" s="158" t="s">
        <v>832</v>
      </c>
      <c r="M77" s="157" t="s">
        <v>354</v>
      </c>
      <c r="N77" s="157" t="s">
        <v>354</v>
      </c>
      <c r="O77" s="158" t="s">
        <v>556</v>
      </c>
      <c r="P77" s="157">
        <v>0.0</v>
      </c>
      <c r="Q77" s="157">
        <v>0.0</v>
      </c>
      <c r="R77" s="551" t="s">
        <v>354</v>
      </c>
      <c r="S77" s="551" t="s">
        <v>354</v>
      </c>
      <c r="T77" s="551" t="s">
        <v>354</v>
      </c>
      <c r="U77" s="157">
        <v>0.0</v>
      </c>
      <c r="V77" s="157">
        <v>0.0</v>
      </c>
      <c r="W77" s="157" t="s">
        <v>354</v>
      </c>
      <c r="X77" s="157" t="s">
        <v>354</v>
      </c>
      <c r="Y77" s="694" t="s">
        <v>407</v>
      </c>
      <c r="Z77" s="694" t="s">
        <v>407</v>
      </c>
      <c r="AA77" s="708" t="s">
        <v>356</v>
      </c>
      <c r="AB77" s="708" t="s">
        <v>354</v>
      </c>
      <c r="AC77" s="139" t="s">
        <v>356</v>
      </c>
      <c r="AD77" s="139" t="s">
        <v>354</v>
      </c>
      <c r="AE77" s="46">
        <f t="shared" si="1"/>
        <v>0</v>
      </c>
      <c r="AF77" s="265"/>
      <c r="AG77" s="157"/>
      <c r="AH77" s="265"/>
      <c r="AI77" s="265"/>
      <c r="AJ77" s="265"/>
      <c r="AK77" s="157">
        <v>0.0</v>
      </c>
      <c r="AL77" s="157">
        <v>0.0</v>
      </c>
      <c r="AM77" s="157">
        <v>0.0</v>
      </c>
      <c r="AN77" s="157">
        <v>0.0</v>
      </c>
      <c r="AO77" s="157">
        <v>0.0</v>
      </c>
      <c r="AP77" s="157">
        <v>0.0</v>
      </c>
      <c r="AQ77" s="157">
        <v>0.0</v>
      </c>
      <c r="AR77" s="157">
        <v>0.0</v>
      </c>
      <c r="AS77" s="265">
        <f t="shared" si="2"/>
        <v>0</v>
      </c>
      <c r="AT77" s="265">
        <f t="shared" si="3"/>
        <v>0</v>
      </c>
    </row>
    <row r="78">
      <c r="A78" s="273">
        <v>77.0</v>
      </c>
      <c r="B78" s="686" t="s">
        <v>1016</v>
      </c>
      <c r="C78" s="184" t="s">
        <v>1017</v>
      </c>
      <c r="D78" s="691" t="s">
        <v>1014</v>
      </c>
      <c r="E78" s="354">
        <v>40925.0</v>
      </c>
      <c r="F78" s="157" t="s">
        <v>354</v>
      </c>
      <c r="G78" s="157" t="s">
        <v>354</v>
      </c>
      <c r="H78" s="157" t="s">
        <v>354</v>
      </c>
      <c r="I78" s="157" t="s">
        <v>354</v>
      </c>
      <c r="J78" s="157" t="s">
        <v>354</v>
      </c>
      <c r="K78" s="184">
        <v>0.0</v>
      </c>
      <c r="L78" s="184" t="s">
        <v>354</v>
      </c>
      <c r="M78" s="157" t="s">
        <v>354</v>
      </c>
      <c r="N78" s="157" t="s">
        <v>354</v>
      </c>
      <c r="O78" s="184" t="s">
        <v>371</v>
      </c>
      <c r="P78" s="157">
        <v>0.0</v>
      </c>
      <c r="Q78" s="157">
        <v>0.0</v>
      </c>
      <c r="R78" s="551" t="s">
        <v>354</v>
      </c>
      <c r="S78" s="551" t="s">
        <v>354</v>
      </c>
      <c r="T78" s="551" t="s">
        <v>354</v>
      </c>
      <c r="U78" s="157">
        <v>0.0</v>
      </c>
      <c r="V78" s="157">
        <v>0.0</v>
      </c>
      <c r="W78" s="157" t="s">
        <v>354</v>
      </c>
      <c r="X78" s="157" t="s">
        <v>354</v>
      </c>
      <c r="Y78" s="707" t="s">
        <v>356</v>
      </c>
      <c r="Z78" s="707" t="s">
        <v>354</v>
      </c>
      <c r="AA78" s="708" t="s">
        <v>356</v>
      </c>
      <c r="AB78" s="708" t="s">
        <v>354</v>
      </c>
      <c r="AC78" s="139" t="s">
        <v>356</v>
      </c>
      <c r="AD78" s="139" t="s">
        <v>354</v>
      </c>
      <c r="AE78" s="46">
        <f t="shared" si="1"/>
        <v>0</v>
      </c>
      <c r="AF78" s="265"/>
      <c r="AG78" s="157"/>
      <c r="AH78" s="265"/>
      <c r="AI78" s="265"/>
      <c r="AJ78" s="265"/>
      <c r="AK78" s="157">
        <v>0.0</v>
      </c>
      <c r="AL78" s="157">
        <v>0.0</v>
      </c>
      <c r="AM78" s="157">
        <v>0.0</v>
      </c>
      <c r="AN78" s="157">
        <v>0.0</v>
      </c>
      <c r="AO78" s="157">
        <v>0.0</v>
      </c>
      <c r="AP78" s="157">
        <v>0.0</v>
      </c>
      <c r="AQ78" s="157">
        <v>0.0</v>
      </c>
      <c r="AR78" s="157">
        <v>0.0</v>
      </c>
      <c r="AS78" s="265">
        <f t="shared" si="2"/>
        <v>0</v>
      </c>
      <c r="AT78" s="265">
        <f t="shared" si="3"/>
        <v>0</v>
      </c>
    </row>
    <row r="79">
      <c r="A79" s="273">
        <v>78.0</v>
      </c>
      <c r="B79" s="695" t="s">
        <v>195</v>
      </c>
      <c r="C79" s="136" t="s">
        <v>195</v>
      </c>
      <c r="D79" s="697" t="s">
        <v>707</v>
      </c>
      <c r="E79" s="354">
        <v>40925.0</v>
      </c>
      <c r="F79" s="157" t="s">
        <v>354</v>
      </c>
      <c r="G79" s="157" t="s">
        <v>354</v>
      </c>
      <c r="H79" s="157" t="s">
        <v>354</v>
      </c>
      <c r="I79" s="157" t="s">
        <v>354</v>
      </c>
      <c r="J79" s="157" t="s">
        <v>354</v>
      </c>
      <c r="K79" s="179">
        <v>0.0</v>
      </c>
      <c r="L79" s="179" t="s">
        <v>354</v>
      </c>
      <c r="M79" s="157" t="s">
        <v>354</v>
      </c>
      <c r="N79" s="157" t="s">
        <v>354</v>
      </c>
      <c r="O79" s="179" t="s">
        <v>446</v>
      </c>
      <c r="P79" s="157">
        <v>0.0</v>
      </c>
      <c r="Q79" s="157">
        <v>0.0</v>
      </c>
      <c r="R79" s="551" t="s">
        <v>354</v>
      </c>
      <c r="S79" s="551" t="s">
        <v>354</v>
      </c>
      <c r="T79" s="551" t="s">
        <v>354</v>
      </c>
      <c r="U79" s="157">
        <v>0.0</v>
      </c>
      <c r="V79" s="157">
        <v>0.0</v>
      </c>
      <c r="W79" s="157" t="s">
        <v>354</v>
      </c>
      <c r="X79" s="157" t="s">
        <v>354</v>
      </c>
      <c r="Y79" s="707" t="s">
        <v>356</v>
      </c>
      <c r="Z79" s="707" t="s">
        <v>354</v>
      </c>
      <c r="AA79" s="677" t="s">
        <v>365</v>
      </c>
      <c r="AB79" s="40" t="s">
        <v>357</v>
      </c>
      <c r="AC79" s="139" t="s">
        <v>356</v>
      </c>
      <c r="AD79" s="139" t="s">
        <v>354</v>
      </c>
      <c r="AE79" s="367">
        <f t="shared" si="1"/>
        <v>1</v>
      </c>
      <c r="AF79" s="265"/>
      <c r="AG79" s="157"/>
      <c r="AH79" s="265"/>
      <c r="AI79" s="265"/>
      <c r="AJ79" s="265"/>
      <c r="AK79" s="157">
        <v>0.0</v>
      </c>
      <c r="AL79" s="157">
        <v>0.0</v>
      </c>
      <c r="AM79" s="157">
        <v>0.0</v>
      </c>
      <c r="AN79" s="157">
        <v>0.0</v>
      </c>
      <c r="AO79" s="157">
        <v>0.0</v>
      </c>
      <c r="AP79" s="157">
        <v>1.0</v>
      </c>
      <c r="AQ79" s="157">
        <v>0.0</v>
      </c>
      <c r="AR79" s="157">
        <v>0.0</v>
      </c>
      <c r="AS79" s="385">
        <f t="shared" si="2"/>
        <v>1</v>
      </c>
      <c r="AT79" s="385">
        <f t="shared" si="3"/>
        <v>1</v>
      </c>
    </row>
    <row r="80">
      <c r="A80" s="273">
        <v>79.0</v>
      </c>
      <c r="B80" s="686" t="s">
        <v>562</v>
      </c>
      <c r="C80" s="715" t="s">
        <v>560</v>
      </c>
      <c r="D80" s="687" t="s">
        <v>561</v>
      </c>
      <c r="E80" s="354">
        <v>40925.0</v>
      </c>
      <c r="F80" s="157" t="s">
        <v>354</v>
      </c>
      <c r="G80" s="157" t="s">
        <v>354</v>
      </c>
      <c r="H80" s="157" t="s">
        <v>354</v>
      </c>
      <c r="I80" s="157" t="s">
        <v>354</v>
      </c>
      <c r="J80" s="157" t="s">
        <v>354</v>
      </c>
      <c r="K80" s="184">
        <v>0.0</v>
      </c>
      <c r="L80" s="184" t="s">
        <v>354</v>
      </c>
      <c r="M80" s="157" t="s">
        <v>354</v>
      </c>
      <c r="N80" s="157" t="s">
        <v>354</v>
      </c>
      <c r="O80" s="184" t="s">
        <v>371</v>
      </c>
      <c r="P80" s="157">
        <v>0.0</v>
      </c>
      <c r="Q80" s="157">
        <v>0.0</v>
      </c>
      <c r="R80" s="551" t="s">
        <v>354</v>
      </c>
      <c r="S80" s="551" t="s">
        <v>354</v>
      </c>
      <c r="T80" s="551" t="s">
        <v>354</v>
      </c>
      <c r="U80" s="157">
        <v>0.0</v>
      </c>
      <c r="V80" s="157">
        <v>0.0</v>
      </c>
      <c r="W80" s="157" t="s">
        <v>354</v>
      </c>
      <c r="X80" s="157" t="s">
        <v>354</v>
      </c>
      <c r="Y80" s="694" t="s">
        <v>407</v>
      </c>
      <c r="Z80" s="694" t="s">
        <v>407</v>
      </c>
      <c r="AA80" s="708" t="s">
        <v>356</v>
      </c>
      <c r="AB80" s="708" t="s">
        <v>354</v>
      </c>
      <c r="AC80" s="139" t="s">
        <v>356</v>
      </c>
      <c r="AD80" s="139" t="s">
        <v>354</v>
      </c>
      <c r="AE80" s="46">
        <f t="shared" si="1"/>
        <v>0</v>
      </c>
      <c r="AF80" s="265"/>
      <c r="AG80" s="157"/>
      <c r="AH80" s="265"/>
      <c r="AI80" s="265"/>
      <c r="AJ80" s="265"/>
      <c r="AK80" s="157">
        <v>0.0</v>
      </c>
      <c r="AL80" s="157">
        <v>0.0</v>
      </c>
      <c r="AM80" s="157">
        <v>0.0</v>
      </c>
      <c r="AN80" s="157">
        <v>0.0</v>
      </c>
      <c r="AO80" s="157">
        <v>0.0</v>
      </c>
      <c r="AP80" s="157">
        <v>0.0</v>
      </c>
      <c r="AQ80" s="157">
        <v>0.0</v>
      </c>
      <c r="AR80" s="157">
        <v>0.0</v>
      </c>
      <c r="AS80" s="265">
        <f t="shared" si="2"/>
        <v>0</v>
      </c>
      <c r="AT80" s="265">
        <f t="shared" si="3"/>
        <v>0</v>
      </c>
    </row>
    <row r="81">
      <c r="A81" s="273">
        <v>80.0</v>
      </c>
      <c r="B81" s="693" t="s">
        <v>1056</v>
      </c>
      <c r="C81" s="158" t="s">
        <v>1056</v>
      </c>
      <c r="D81" s="688" t="s">
        <v>1056</v>
      </c>
      <c r="E81" s="354">
        <v>40925.0</v>
      </c>
      <c r="F81" s="157" t="s">
        <v>354</v>
      </c>
      <c r="G81" s="157" t="s">
        <v>354</v>
      </c>
      <c r="H81" s="157" t="s">
        <v>354</v>
      </c>
      <c r="I81" s="157" t="s">
        <v>354</v>
      </c>
      <c r="J81" s="157" t="s">
        <v>354</v>
      </c>
      <c r="K81" s="158">
        <v>3.0</v>
      </c>
      <c r="L81" s="158" t="s">
        <v>1412</v>
      </c>
      <c r="M81" s="157" t="s">
        <v>354</v>
      </c>
      <c r="N81" s="157" t="s">
        <v>354</v>
      </c>
      <c r="O81" s="158" t="s">
        <v>600</v>
      </c>
      <c r="P81" s="157">
        <v>0.0</v>
      </c>
      <c r="Q81" s="157">
        <v>0.0</v>
      </c>
      <c r="R81" s="551" t="s">
        <v>354</v>
      </c>
      <c r="S81" s="551" t="s">
        <v>354</v>
      </c>
      <c r="T81" s="551" t="s">
        <v>354</v>
      </c>
      <c r="U81" s="157">
        <v>0.0</v>
      </c>
      <c r="V81" s="157">
        <v>0.0</v>
      </c>
      <c r="W81" s="157" t="s">
        <v>354</v>
      </c>
      <c r="X81" s="157" t="s">
        <v>354</v>
      </c>
      <c r="Y81" s="694" t="s">
        <v>407</v>
      </c>
      <c r="Z81" s="694" t="s">
        <v>407</v>
      </c>
      <c r="AA81" s="708" t="s">
        <v>356</v>
      </c>
      <c r="AB81" s="708" t="s">
        <v>354</v>
      </c>
      <c r="AC81" s="139" t="s">
        <v>356</v>
      </c>
      <c r="AD81" s="139" t="s">
        <v>354</v>
      </c>
      <c r="AE81" s="46">
        <f t="shared" si="1"/>
        <v>0</v>
      </c>
      <c r="AF81" s="265"/>
      <c r="AG81" s="157"/>
      <c r="AH81" s="265"/>
      <c r="AI81" s="265"/>
      <c r="AJ81" s="265"/>
      <c r="AK81" s="157">
        <v>0.0</v>
      </c>
      <c r="AL81" s="157">
        <v>0.0</v>
      </c>
      <c r="AM81" s="157">
        <v>0.0</v>
      </c>
      <c r="AN81" s="157">
        <v>0.0</v>
      </c>
      <c r="AO81" s="157">
        <v>0.0</v>
      </c>
      <c r="AP81" s="157">
        <v>0.0</v>
      </c>
      <c r="AQ81" s="157">
        <v>0.0</v>
      </c>
      <c r="AR81" s="157">
        <v>0.0</v>
      </c>
      <c r="AS81" s="265">
        <f t="shared" si="2"/>
        <v>0</v>
      </c>
      <c r="AT81" s="265">
        <f t="shared" si="3"/>
        <v>0</v>
      </c>
    </row>
    <row r="82">
      <c r="A82" s="273">
        <v>81.0</v>
      </c>
      <c r="B82" s="686" t="s">
        <v>19</v>
      </c>
      <c r="C82" s="714" t="s">
        <v>19</v>
      </c>
      <c r="D82" s="687" t="s">
        <v>383</v>
      </c>
      <c r="E82" s="354">
        <v>40925.0</v>
      </c>
      <c r="F82" s="157" t="s">
        <v>354</v>
      </c>
      <c r="G82" s="157" t="s">
        <v>354</v>
      </c>
      <c r="H82" s="157" t="s">
        <v>354</v>
      </c>
      <c r="I82" s="157" t="s">
        <v>354</v>
      </c>
      <c r="J82" s="157" t="s">
        <v>354</v>
      </c>
      <c r="K82" s="184">
        <v>0.0</v>
      </c>
      <c r="L82" s="184" t="s">
        <v>354</v>
      </c>
      <c r="M82" s="157" t="s">
        <v>354</v>
      </c>
      <c r="N82" s="157" t="s">
        <v>354</v>
      </c>
      <c r="O82" s="184" t="s">
        <v>371</v>
      </c>
      <c r="P82" s="157">
        <v>0.0</v>
      </c>
      <c r="Q82" s="157">
        <v>0.0</v>
      </c>
      <c r="R82" s="551" t="s">
        <v>354</v>
      </c>
      <c r="S82" s="551" t="s">
        <v>354</v>
      </c>
      <c r="T82" s="551" t="s">
        <v>354</v>
      </c>
      <c r="U82" s="157">
        <v>0.0</v>
      </c>
      <c r="V82" s="157">
        <v>0.0</v>
      </c>
      <c r="W82" s="157" t="s">
        <v>354</v>
      </c>
      <c r="X82" s="157" t="s">
        <v>354</v>
      </c>
      <c r="Y82" s="707" t="s">
        <v>356</v>
      </c>
      <c r="Z82" s="707" t="s">
        <v>354</v>
      </c>
      <c r="AA82" s="708" t="s">
        <v>356</v>
      </c>
      <c r="AB82" s="708" t="s">
        <v>354</v>
      </c>
      <c r="AC82" s="139" t="s">
        <v>356</v>
      </c>
      <c r="AD82" s="139" t="s">
        <v>354</v>
      </c>
      <c r="AE82" s="46">
        <f t="shared" si="1"/>
        <v>0</v>
      </c>
      <c r="AF82" s="265"/>
      <c r="AG82" s="157"/>
      <c r="AH82" s="265"/>
      <c r="AI82" s="265"/>
      <c r="AJ82" s="265"/>
      <c r="AK82" s="157">
        <v>0.0</v>
      </c>
      <c r="AL82" s="157">
        <v>0.0</v>
      </c>
      <c r="AM82" s="157">
        <v>0.0</v>
      </c>
      <c r="AN82" s="157">
        <v>0.0</v>
      </c>
      <c r="AO82" s="157">
        <v>0.0</v>
      </c>
      <c r="AP82" s="157">
        <v>0.0</v>
      </c>
      <c r="AQ82" s="157">
        <v>0.0</v>
      </c>
      <c r="AR82" s="157">
        <v>0.0</v>
      </c>
      <c r="AS82" s="265">
        <f t="shared" si="2"/>
        <v>0</v>
      </c>
      <c r="AT82" s="265">
        <f t="shared" si="3"/>
        <v>0</v>
      </c>
    </row>
    <row r="83">
      <c r="A83" s="273">
        <v>82.0</v>
      </c>
      <c r="B83" s="686" t="s">
        <v>1011</v>
      </c>
      <c r="C83" s="41" t="s">
        <v>1009</v>
      </c>
      <c r="D83" s="687" t="s">
        <v>1009</v>
      </c>
      <c r="E83" s="354">
        <v>40925.0</v>
      </c>
      <c r="F83" s="157" t="s">
        <v>354</v>
      </c>
      <c r="G83" s="157" t="s">
        <v>354</v>
      </c>
      <c r="H83" s="157" t="s">
        <v>354</v>
      </c>
      <c r="I83" s="157" t="s">
        <v>354</v>
      </c>
      <c r="J83" s="157" t="s">
        <v>354</v>
      </c>
      <c r="K83" s="184">
        <v>0.0</v>
      </c>
      <c r="L83" s="184" t="s">
        <v>354</v>
      </c>
      <c r="M83" s="157" t="s">
        <v>354</v>
      </c>
      <c r="N83" s="157" t="s">
        <v>354</v>
      </c>
      <c r="O83" s="184" t="s">
        <v>371</v>
      </c>
      <c r="P83" s="157">
        <v>0.0</v>
      </c>
      <c r="Q83" s="157">
        <v>0.0</v>
      </c>
      <c r="R83" s="551" t="s">
        <v>354</v>
      </c>
      <c r="S83" s="551" t="s">
        <v>354</v>
      </c>
      <c r="T83" s="551" t="s">
        <v>354</v>
      </c>
      <c r="U83" s="157">
        <v>0.0</v>
      </c>
      <c r="V83" s="157">
        <v>0.0</v>
      </c>
      <c r="W83" s="157" t="s">
        <v>354</v>
      </c>
      <c r="X83" s="157" t="s">
        <v>354</v>
      </c>
      <c r="Y83" s="707" t="s">
        <v>356</v>
      </c>
      <c r="Z83" s="707" t="s">
        <v>354</v>
      </c>
      <c r="AA83" s="708" t="s">
        <v>356</v>
      </c>
      <c r="AB83" s="708" t="s">
        <v>354</v>
      </c>
      <c r="AC83" s="139" t="s">
        <v>356</v>
      </c>
      <c r="AD83" s="139" t="s">
        <v>354</v>
      </c>
      <c r="AE83" s="46">
        <f t="shared" si="1"/>
        <v>0</v>
      </c>
      <c r="AF83" s="265"/>
      <c r="AG83" s="157"/>
      <c r="AH83" s="265"/>
      <c r="AI83" s="265"/>
      <c r="AJ83" s="265"/>
      <c r="AK83" s="157">
        <v>0.0</v>
      </c>
      <c r="AL83" s="157">
        <v>0.0</v>
      </c>
      <c r="AM83" s="157">
        <v>0.0</v>
      </c>
      <c r="AN83" s="157">
        <v>0.0</v>
      </c>
      <c r="AO83" s="157">
        <v>0.0</v>
      </c>
      <c r="AP83" s="157">
        <v>0.0</v>
      </c>
      <c r="AQ83" s="157">
        <v>0.0</v>
      </c>
      <c r="AR83" s="157">
        <v>0.0</v>
      </c>
      <c r="AS83" s="265">
        <f t="shared" si="2"/>
        <v>0</v>
      </c>
      <c r="AT83" s="265">
        <f t="shared" si="3"/>
        <v>0</v>
      </c>
    </row>
    <row r="84">
      <c r="A84" s="273">
        <v>83.0</v>
      </c>
      <c r="B84" s="686" t="s">
        <v>1783</v>
      </c>
      <c r="C84" s="690" t="s">
        <v>1040</v>
      </c>
      <c r="D84" s="716" t="s">
        <v>1038</v>
      </c>
      <c r="E84" s="354">
        <v>40925.0</v>
      </c>
      <c r="F84" s="157" t="s">
        <v>354</v>
      </c>
      <c r="G84" s="157" t="s">
        <v>354</v>
      </c>
      <c r="H84" s="157" t="s">
        <v>354</v>
      </c>
      <c r="I84" s="157" t="s">
        <v>354</v>
      </c>
      <c r="J84" s="157" t="s">
        <v>354</v>
      </c>
      <c r="K84" s="184">
        <v>0.0</v>
      </c>
      <c r="L84" s="184" t="s">
        <v>354</v>
      </c>
      <c r="M84" s="157" t="s">
        <v>354</v>
      </c>
      <c r="N84" s="157" t="s">
        <v>354</v>
      </c>
      <c r="O84" s="184" t="s">
        <v>371</v>
      </c>
      <c r="P84" s="157">
        <v>0.0</v>
      </c>
      <c r="Q84" s="157">
        <v>0.0</v>
      </c>
      <c r="R84" s="551" t="s">
        <v>354</v>
      </c>
      <c r="S84" s="551" t="s">
        <v>354</v>
      </c>
      <c r="T84" s="551" t="s">
        <v>354</v>
      </c>
      <c r="U84" s="157">
        <v>0.0</v>
      </c>
      <c r="V84" s="157">
        <v>0.0</v>
      </c>
      <c r="W84" s="157" t="s">
        <v>354</v>
      </c>
      <c r="X84" s="157" t="s">
        <v>354</v>
      </c>
      <c r="Y84" s="707" t="s">
        <v>356</v>
      </c>
      <c r="Z84" s="707" t="s">
        <v>354</v>
      </c>
      <c r="AA84" s="708" t="s">
        <v>356</v>
      </c>
      <c r="AB84" s="708" t="s">
        <v>354</v>
      </c>
      <c r="AC84" s="139" t="s">
        <v>356</v>
      </c>
      <c r="AD84" s="139" t="s">
        <v>354</v>
      </c>
      <c r="AE84" s="46">
        <f t="shared" si="1"/>
        <v>0</v>
      </c>
      <c r="AF84" s="265"/>
      <c r="AG84" s="157"/>
      <c r="AH84" s="265"/>
      <c r="AI84" s="265"/>
      <c r="AJ84" s="265"/>
      <c r="AK84" s="157">
        <v>0.0</v>
      </c>
      <c r="AL84" s="157">
        <v>0.0</v>
      </c>
      <c r="AM84" s="157">
        <v>0.0</v>
      </c>
      <c r="AN84" s="157">
        <v>0.0</v>
      </c>
      <c r="AO84" s="157">
        <v>0.0</v>
      </c>
      <c r="AP84" s="157">
        <v>0.0</v>
      </c>
      <c r="AQ84" s="157">
        <v>0.0</v>
      </c>
      <c r="AR84" s="157">
        <v>0.0</v>
      </c>
      <c r="AS84" s="265">
        <f t="shared" si="2"/>
        <v>0</v>
      </c>
      <c r="AT84" s="265">
        <f t="shared" si="3"/>
        <v>0</v>
      </c>
    </row>
    <row r="85">
      <c r="A85" s="273">
        <v>84.0</v>
      </c>
      <c r="B85" s="686" t="s">
        <v>253</v>
      </c>
      <c r="C85" s="41" t="s">
        <v>881</v>
      </c>
      <c r="D85" s="687" t="s">
        <v>882</v>
      </c>
      <c r="E85" s="354">
        <v>40925.0</v>
      </c>
      <c r="F85" s="157" t="s">
        <v>354</v>
      </c>
      <c r="G85" s="157" t="s">
        <v>354</v>
      </c>
      <c r="H85" s="157" t="s">
        <v>354</v>
      </c>
      <c r="I85" s="157" t="s">
        <v>354</v>
      </c>
      <c r="J85" s="157" t="s">
        <v>354</v>
      </c>
      <c r="K85" s="184">
        <v>0.0</v>
      </c>
      <c r="L85" s="184" t="s">
        <v>354</v>
      </c>
      <c r="M85" s="157" t="s">
        <v>354</v>
      </c>
      <c r="N85" s="157" t="s">
        <v>354</v>
      </c>
      <c r="O85" s="184" t="s">
        <v>371</v>
      </c>
      <c r="P85" s="157">
        <v>0.0</v>
      </c>
      <c r="Q85" s="157">
        <v>0.0</v>
      </c>
      <c r="R85" s="551" t="s">
        <v>354</v>
      </c>
      <c r="S85" s="551" t="s">
        <v>354</v>
      </c>
      <c r="T85" s="551" t="s">
        <v>354</v>
      </c>
      <c r="U85" s="157">
        <v>0.0</v>
      </c>
      <c r="V85" s="157">
        <v>0.0</v>
      </c>
      <c r="W85" s="157" t="s">
        <v>354</v>
      </c>
      <c r="X85" s="157" t="s">
        <v>354</v>
      </c>
      <c r="Y85" s="707" t="s">
        <v>356</v>
      </c>
      <c r="Z85" s="707" t="s">
        <v>354</v>
      </c>
      <c r="AA85" s="708" t="s">
        <v>356</v>
      </c>
      <c r="AB85" s="708" t="s">
        <v>354</v>
      </c>
      <c r="AC85" s="139" t="s">
        <v>356</v>
      </c>
      <c r="AD85" s="139" t="s">
        <v>354</v>
      </c>
      <c r="AE85" s="46">
        <f t="shared" si="1"/>
        <v>0</v>
      </c>
      <c r="AF85" s="265"/>
      <c r="AG85" s="157"/>
      <c r="AH85" s="265"/>
      <c r="AI85" s="265"/>
      <c r="AJ85" s="265"/>
      <c r="AK85" s="157">
        <v>0.0</v>
      </c>
      <c r="AL85" s="157">
        <v>0.0</v>
      </c>
      <c r="AM85" s="157">
        <v>0.0</v>
      </c>
      <c r="AN85" s="157">
        <v>0.0</v>
      </c>
      <c r="AO85" s="157">
        <v>0.0</v>
      </c>
      <c r="AP85" s="157">
        <v>0.0</v>
      </c>
      <c r="AQ85" s="157">
        <v>0.0</v>
      </c>
      <c r="AR85" s="157">
        <v>0.0</v>
      </c>
      <c r="AS85" s="265">
        <f t="shared" si="2"/>
        <v>0</v>
      </c>
      <c r="AT85" s="265">
        <f t="shared" si="3"/>
        <v>0</v>
      </c>
    </row>
    <row r="86">
      <c r="A86" s="273">
        <v>85.0</v>
      </c>
      <c r="B86" s="683" t="s">
        <v>120</v>
      </c>
      <c r="C86" s="717" t="s">
        <v>120</v>
      </c>
      <c r="D86" s="692" t="s">
        <v>552</v>
      </c>
      <c r="E86" s="354">
        <v>40925.0</v>
      </c>
      <c r="F86" s="157" t="s">
        <v>354</v>
      </c>
      <c r="G86" s="157" t="s">
        <v>354</v>
      </c>
      <c r="H86" s="157" t="s">
        <v>354</v>
      </c>
      <c r="I86" s="157" t="s">
        <v>354</v>
      </c>
      <c r="J86" s="157" t="s">
        <v>354</v>
      </c>
      <c r="K86" s="158">
        <v>0.0</v>
      </c>
      <c r="L86" s="158" t="s">
        <v>555</v>
      </c>
      <c r="M86" s="157" t="s">
        <v>354</v>
      </c>
      <c r="N86" s="157" t="s">
        <v>354</v>
      </c>
      <c r="O86" s="158" t="s">
        <v>556</v>
      </c>
      <c r="P86" s="157">
        <v>0.0</v>
      </c>
      <c r="Q86" s="157">
        <v>0.0</v>
      </c>
      <c r="R86" s="551" t="s">
        <v>354</v>
      </c>
      <c r="S86" s="551" t="s">
        <v>354</v>
      </c>
      <c r="T86" s="551" t="s">
        <v>354</v>
      </c>
      <c r="U86" s="157">
        <v>0.0</v>
      </c>
      <c r="V86" s="157">
        <v>0.0</v>
      </c>
      <c r="W86" s="157" t="s">
        <v>354</v>
      </c>
      <c r="X86" s="157" t="s">
        <v>354</v>
      </c>
      <c r="Y86" s="707" t="s">
        <v>356</v>
      </c>
      <c r="Z86" s="707" t="s">
        <v>354</v>
      </c>
      <c r="AA86" s="708" t="s">
        <v>356</v>
      </c>
      <c r="AB86" s="708" t="s">
        <v>354</v>
      </c>
      <c r="AC86" s="139" t="s">
        <v>356</v>
      </c>
      <c r="AD86" s="139" t="s">
        <v>354</v>
      </c>
      <c r="AE86" s="46">
        <f t="shared" si="1"/>
        <v>0</v>
      </c>
      <c r="AF86" s="265"/>
      <c r="AG86" s="157"/>
      <c r="AH86" s="265"/>
      <c r="AI86" s="265"/>
      <c r="AJ86" s="265"/>
      <c r="AK86" s="157">
        <v>0.0</v>
      </c>
      <c r="AL86" s="157">
        <v>0.0</v>
      </c>
      <c r="AM86" s="157">
        <v>0.0</v>
      </c>
      <c r="AN86" s="157">
        <v>0.0</v>
      </c>
      <c r="AO86" s="157">
        <v>0.0</v>
      </c>
      <c r="AP86" s="157">
        <v>0.0</v>
      </c>
      <c r="AQ86" s="157">
        <v>0.0</v>
      </c>
      <c r="AR86" s="157">
        <v>0.0</v>
      </c>
      <c r="AS86" s="265">
        <f t="shared" si="2"/>
        <v>0</v>
      </c>
      <c r="AT86" s="265">
        <f t="shared" si="3"/>
        <v>0</v>
      </c>
    </row>
    <row r="87">
      <c r="A87" s="273">
        <v>86.0</v>
      </c>
      <c r="B87" s="686" t="s">
        <v>613</v>
      </c>
      <c r="C87" s="271" t="s">
        <v>141</v>
      </c>
      <c r="D87" s="687" t="s">
        <v>609</v>
      </c>
      <c r="E87" s="354">
        <v>40925.0</v>
      </c>
      <c r="F87" s="157" t="s">
        <v>354</v>
      </c>
      <c r="G87" s="157" t="s">
        <v>354</v>
      </c>
      <c r="H87" s="157" t="s">
        <v>354</v>
      </c>
      <c r="I87" s="157" t="s">
        <v>354</v>
      </c>
      <c r="J87" s="157" t="s">
        <v>354</v>
      </c>
      <c r="K87" s="184">
        <v>0.0</v>
      </c>
      <c r="L87" s="184" t="s">
        <v>354</v>
      </c>
      <c r="M87" s="157" t="s">
        <v>354</v>
      </c>
      <c r="N87" s="157" t="s">
        <v>354</v>
      </c>
      <c r="O87" s="184" t="s">
        <v>371</v>
      </c>
      <c r="P87" s="157">
        <v>0.0</v>
      </c>
      <c r="Q87" s="157">
        <v>0.0</v>
      </c>
      <c r="R87" s="551" t="s">
        <v>354</v>
      </c>
      <c r="S87" s="551" t="s">
        <v>354</v>
      </c>
      <c r="T87" s="551" t="s">
        <v>354</v>
      </c>
      <c r="U87" s="157">
        <v>0.0</v>
      </c>
      <c r="V87" s="157">
        <v>0.0</v>
      </c>
      <c r="W87" s="157" t="s">
        <v>354</v>
      </c>
      <c r="X87" s="157" t="s">
        <v>354</v>
      </c>
      <c r="Y87" s="694" t="s">
        <v>407</v>
      </c>
      <c r="Z87" s="694" t="s">
        <v>407</v>
      </c>
      <c r="AA87" s="708" t="s">
        <v>356</v>
      </c>
      <c r="AB87" s="708" t="s">
        <v>354</v>
      </c>
      <c r="AC87" s="139" t="s">
        <v>356</v>
      </c>
      <c r="AD87" s="139" t="s">
        <v>354</v>
      </c>
      <c r="AE87" s="46">
        <f t="shared" si="1"/>
        <v>0</v>
      </c>
      <c r="AF87" s="265"/>
      <c r="AG87" s="157"/>
      <c r="AH87" s="265"/>
      <c r="AI87" s="265"/>
      <c r="AJ87" s="265"/>
      <c r="AK87" s="157">
        <v>0.0</v>
      </c>
      <c r="AL87" s="157">
        <v>0.0</v>
      </c>
      <c r="AM87" s="157">
        <v>0.0</v>
      </c>
      <c r="AN87" s="157">
        <v>0.0</v>
      </c>
      <c r="AO87" s="157">
        <v>0.0</v>
      </c>
      <c r="AP87" s="157">
        <v>0.0</v>
      </c>
      <c r="AQ87" s="157">
        <v>0.0</v>
      </c>
      <c r="AR87" s="157">
        <v>0.0</v>
      </c>
      <c r="AS87" s="265">
        <f t="shared" si="2"/>
        <v>0</v>
      </c>
      <c r="AT87" s="265">
        <f t="shared" si="3"/>
        <v>0</v>
      </c>
    </row>
    <row r="88">
      <c r="A88" s="273">
        <v>87.0</v>
      </c>
      <c r="B88" s="683" t="s">
        <v>935</v>
      </c>
      <c r="C88" s="78" t="s">
        <v>931</v>
      </c>
      <c r="D88" s="718" t="s">
        <v>932</v>
      </c>
      <c r="E88" s="354">
        <v>40925.0</v>
      </c>
      <c r="F88" s="157" t="s">
        <v>354</v>
      </c>
      <c r="G88" s="157" t="s">
        <v>354</v>
      </c>
      <c r="H88" s="157" t="s">
        <v>354</v>
      </c>
      <c r="I88" s="157" t="s">
        <v>354</v>
      </c>
      <c r="J88" s="157" t="s">
        <v>354</v>
      </c>
      <c r="K88" s="158">
        <v>2.0</v>
      </c>
      <c r="L88" s="158" t="s">
        <v>934</v>
      </c>
      <c r="M88" s="157" t="s">
        <v>354</v>
      </c>
      <c r="N88" s="157" t="s">
        <v>354</v>
      </c>
      <c r="O88" s="158" t="s">
        <v>398</v>
      </c>
      <c r="P88" s="157">
        <v>0.0</v>
      </c>
      <c r="Q88" s="157">
        <v>0.0</v>
      </c>
      <c r="R88" s="551" t="s">
        <v>354</v>
      </c>
      <c r="S88" s="551" t="s">
        <v>354</v>
      </c>
      <c r="T88" s="551" t="s">
        <v>354</v>
      </c>
      <c r="U88" s="157">
        <v>0.0</v>
      </c>
      <c r="V88" s="157">
        <v>0.0</v>
      </c>
      <c r="W88" s="157" t="s">
        <v>354</v>
      </c>
      <c r="X88" s="157" t="s">
        <v>354</v>
      </c>
      <c r="Y88" s="707" t="s">
        <v>356</v>
      </c>
      <c r="Z88" s="707" t="s">
        <v>354</v>
      </c>
      <c r="AA88" s="708" t="s">
        <v>356</v>
      </c>
      <c r="AB88" s="708" t="s">
        <v>354</v>
      </c>
      <c r="AC88" s="139" t="s">
        <v>356</v>
      </c>
      <c r="AD88" s="139" t="s">
        <v>354</v>
      </c>
      <c r="AE88" s="46">
        <f t="shared" si="1"/>
        <v>0</v>
      </c>
      <c r="AF88" s="265"/>
      <c r="AG88" s="157"/>
      <c r="AH88" s="265"/>
      <c r="AI88" s="265"/>
      <c r="AJ88" s="265"/>
      <c r="AK88" s="157">
        <v>0.0</v>
      </c>
      <c r="AL88" s="157">
        <v>0.0</v>
      </c>
      <c r="AM88" s="157">
        <v>0.0</v>
      </c>
      <c r="AN88" s="157">
        <v>0.0</v>
      </c>
      <c r="AO88" s="157">
        <v>0.0</v>
      </c>
      <c r="AP88" s="157">
        <v>0.0</v>
      </c>
      <c r="AQ88" s="157">
        <v>0.0</v>
      </c>
      <c r="AR88" s="157">
        <v>0.0</v>
      </c>
      <c r="AS88" s="265">
        <f t="shared" si="2"/>
        <v>0</v>
      </c>
      <c r="AT88" s="265">
        <f t="shared" si="3"/>
        <v>0</v>
      </c>
    </row>
    <row r="89">
      <c r="A89" s="157">
        <v>88.0</v>
      </c>
      <c r="B89" s="673" t="s">
        <v>1398</v>
      </c>
      <c r="C89" s="157" t="s">
        <v>354</v>
      </c>
      <c r="D89" s="157" t="s">
        <v>354</v>
      </c>
      <c r="E89" s="354" t="s">
        <v>354</v>
      </c>
      <c r="F89" s="157" t="s">
        <v>354</v>
      </c>
      <c r="G89" s="157" t="s">
        <v>354</v>
      </c>
      <c r="H89" s="157" t="s">
        <v>354</v>
      </c>
      <c r="I89" s="157" t="s">
        <v>354</v>
      </c>
      <c r="J89" s="157" t="s">
        <v>354</v>
      </c>
      <c r="K89" s="157" t="s">
        <v>354</v>
      </c>
      <c r="L89" s="157" t="s">
        <v>354</v>
      </c>
      <c r="M89" s="157" t="s">
        <v>354</v>
      </c>
      <c r="N89" s="157" t="s">
        <v>354</v>
      </c>
      <c r="O89" s="157" t="s">
        <v>354</v>
      </c>
      <c r="P89" s="157">
        <v>0.0</v>
      </c>
      <c r="Q89" s="157">
        <v>0.0</v>
      </c>
      <c r="R89" s="551" t="s">
        <v>354</v>
      </c>
      <c r="S89" s="551" t="s">
        <v>354</v>
      </c>
      <c r="T89" s="551" t="s">
        <v>354</v>
      </c>
      <c r="U89" s="157">
        <v>0.0</v>
      </c>
      <c r="V89" s="157">
        <v>0.0</v>
      </c>
      <c r="W89" s="157" t="s">
        <v>354</v>
      </c>
      <c r="X89" s="157" t="s">
        <v>354</v>
      </c>
      <c r="Y89" s="707" t="s">
        <v>356</v>
      </c>
      <c r="Z89" s="707" t="s">
        <v>354</v>
      </c>
      <c r="AA89" s="708" t="s">
        <v>356</v>
      </c>
      <c r="AB89" s="708" t="s">
        <v>354</v>
      </c>
      <c r="AC89" s="139" t="s">
        <v>356</v>
      </c>
      <c r="AD89" s="139" t="s">
        <v>354</v>
      </c>
      <c r="AE89" s="46">
        <f t="shared" si="1"/>
        <v>0</v>
      </c>
      <c r="AF89" s="265"/>
      <c r="AG89" s="157"/>
      <c r="AH89" s="265"/>
      <c r="AI89" s="265"/>
      <c r="AJ89" s="265"/>
      <c r="AK89" s="157">
        <v>0.0</v>
      </c>
      <c r="AL89" s="157">
        <v>0.0</v>
      </c>
      <c r="AM89" s="157">
        <v>0.0</v>
      </c>
      <c r="AN89" s="157">
        <v>0.0</v>
      </c>
      <c r="AO89" s="157">
        <v>0.0</v>
      </c>
      <c r="AP89" s="157">
        <v>0.0</v>
      </c>
      <c r="AQ89" s="157">
        <v>0.0</v>
      </c>
      <c r="AR89" s="157">
        <v>0.0</v>
      </c>
      <c r="AS89" s="265">
        <f t="shared" si="2"/>
        <v>0</v>
      </c>
      <c r="AT89" s="265">
        <f t="shared" si="3"/>
        <v>0</v>
      </c>
    </row>
    <row r="90">
      <c r="A90" s="157" t="s">
        <v>365</v>
      </c>
      <c r="B90" s="157" t="s">
        <v>354</v>
      </c>
      <c r="C90" s="157" t="s">
        <v>354</v>
      </c>
      <c r="D90" s="157" t="s">
        <v>354</v>
      </c>
      <c r="E90" s="354" t="s">
        <v>354</v>
      </c>
      <c r="F90" s="157" t="s">
        <v>354</v>
      </c>
      <c r="G90" s="157" t="s">
        <v>354</v>
      </c>
      <c r="H90" s="157" t="s">
        <v>354</v>
      </c>
      <c r="I90" s="157" t="s">
        <v>354</v>
      </c>
      <c r="J90" s="157" t="s">
        <v>354</v>
      </c>
      <c r="K90" s="157" t="s">
        <v>354</v>
      </c>
      <c r="L90" s="157" t="s">
        <v>354</v>
      </c>
      <c r="M90" s="157" t="s">
        <v>354</v>
      </c>
      <c r="N90" s="157" t="s">
        <v>354</v>
      </c>
      <c r="O90" s="157" t="s">
        <v>354</v>
      </c>
      <c r="P90" s="140">
        <v>20.76</v>
      </c>
      <c r="Q90" s="140">
        <v>29.46</v>
      </c>
      <c r="R90" s="551" t="s">
        <v>354</v>
      </c>
      <c r="S90" s="551" t="s">
        <v>354</v>
      </c>
      <c r="T90" s="551" t="s">
        <v>354</v>
      </c>
      <c r="U90" s="157">
        <v>0.0</v>
      </c>
      <c r="V90" s="157">
        <v>0.0</v>
      </c>
      <c r="W90" s="157" t="s">
        <v>354</v>
      </c>
      <c r="X90" s="157" t="s">
        <v>354</v>
      </c>
      <c r="Y90" s="681" t="s">
        <v>365</v>
      </c>
      <c r="Z90" s="674" t="s">
        <v>1400</v>
      </c>
      <c r="AA90" s="680" t="s">
        <v>361</v>
      </c>
      <c r="AB90" s="680" t="s">
        <v>361</v>
      </c>
      <c r="AC90" s="144" t="s">
        <v>365</v>
      </c>
      <c r="AD90" s="139" t="s">
        <v>1400</v>
      </c>
      <c r="AE90" s="46">
        <f t="shared" si="1"/>
        <v>3</v>
      </c>
      <c r="AF90" s="265"/>
      <c r="AG90" s="265"/>
      <c r="AH90" s="265"/>
      <c r="AI90" s="265"/>
      <c r="AJ90" s="235" t="s">
        <v>1507</v>
      </c>
      <c r="AK90" s="265">
        <f t="shared" ref="AK90:AR90" si="4">sum(AK2:AK89)</f>
        <v>8</v>
      </c>
      <c r="AL90" s="265">
        <f t="shared" si="4"/>
        <v>9</v>
      </c>
      <c r="AM90" s="265">
        <f t="shared" si="4"/>
        <v>10</v>
      </c>
      <c r="AN90" s="265">
        <f t="shared" si="4"/>
        <v>2</v>
      </c>
      <c r="AO90" s="265">
        <f t="shared" si="4"/>
        <v>15</v>
      </c>
      <c r="AP90" s="265">
        <f t="shared" si="4"/>
        <v>6</v>
      </c>
      <c r="AQ90" s="265">
        <f t="shared" si="4"/>
        <v>0</v>
      </c>
      <c r="AR90" s="265">
        <f t="shared" si="4"/>
        <v>0</v>
      </c>
      <c r="AS90" s="265">
        <f t="shared" si="2"/>
        <v>50</v>
      </c>
      <c r="AT90" s="265"/>
    </row>
    <row r="91">
      <c r="A91" s="157" t="s">
        <v>356</v>
      </c>
      <c r="B91" s="157" t="s">
        <v>354</v>
      </c>
      <c r="C91" s="157" t="s">
        <v>354</v>
      </c>
      <c r="D91" s="157" t="s">
        <v>354</v>
      </c>
      <c r="E91" s="354" t="s">
        <v>354</v>
      </c>
      <c r="F91" s="157" t="s">
        <v>354</v>
      </c>
      <c r="G91" s="157" t="s">
        <v>354</v>
      </c>
      <c r="H91" s="157" t="s">
        <v>354</v>
      </c>
      <c r="I91" s="157" t="s">
        <v>354</v>
      </c>
      <c r="J91" s="157" t="s">
        <v>354</v>
      </c>
      <c r="K91" s="157" t="s">
        <v>354</v>
      </c>
      <c r="L91" s="157" t="s">
        <v>354</v>
      </c>
      <c r="M91" s="157" t="s">
        <v>354</v>
      </c>
      <c r="N91" s="157" t="s">
        <v>354</v>
      </c>
      <c r="O91" s="157" t="s">
        <v>354</v>
      </c>
      <c r="P91" s="157">
        <v>0.0</v>
      </c>
      <c r="Q91" s="157">
        <v>0.0</v>
      </c>
      <c r="R91" s="551" t="s">
        <v>354</v>
      </c>
      <c r="S91" s="551" t="s">
        <v>354</v>
      </c>
      <c r="T91" s="551" t="s">
        <v>354</v>
      </c>
      <c r="U91" s="157">
        <v>0.0</v>
      </c>
      <c r="V91" s="140">
        <v>33.57</v>
      </c>
      <c r="W91" s="140" t="s">
        <v>365</v>
      </c>
      <c r="X91" s="157" t="s">
        <v>1399</v>
      </c>
      <c r="Y91" s="707" t="s">
        <v>356</v>
      </c>
      <c r="Z91" s="707" t="s">
        <v>354</v>
      </c>
      <c r="AA91" s="708" t="s">
        <v>356</v>
      </c>
      <c r="AB91" s="708" t="s">
        <v>354</v>
      </c>
      <c r="AC91" s="139" t="s">
        <v>356</v>
      </c>
      <c r="AD91" s="139" t="s">
        <v>354</v>
      </c>
      <c r="AE91" s="46">
        <f t="shared" si="1"/>
        <v>0</v>
      </c>
      <c r="AF91" s="265"/>
      <c r="AG91" s="265"/>
      <c r="AH91" s="265"/>
      <c r="AI91" s="265"/>
      <c r="AJ91" s="235" t="s">
        <v>1406</v>
      </c>
      <c r="AK91" s="381">
        <f t="shared" ref="AK91:AR91" si="5">AK90/$AS$90</f>
        <v>0.16</v>
      </c>
      <c r="AL91" s="381">
        <f t="shared" si="5"/>
        <v>0.18</v>
      </c>
      <c r="AM91" s="381">
        <f t="shared" si="5"/>
        <v>0.2</v>
      </c>
      <c r="AN91" s="381">
        <f t="shared" si="5"/>
        <v>0.04</v>
      </c>
      <c r="AO91" s="381">
        <f t="shared" si="5"/>
        <v>0.3</v>
      </c>
      <c r="AP91" s="381">
        <f t="shared" si="5"/>
        <v>0.12</v>
      </c>
      <c r="AQ91" s="381">
        <f t="shared" si="5"/>
        <v>0</v>
      </c>
      <c r="AR91" s="381">
        <f t="shared" si="5"/>
        <v>0</v>
      </c>
      <c r="AS91" s="381">
        <f t="shared" si="2"/>
        <v>1</v>
      </c>
      <c r="AT91" s="381"/>
    </row>
    <row r="92">
      <c r="A92" s="265"/>
      <c r="B92" s="265"/>
      <c r="C92" s="265"/>
      <c r="D92" s="265"/>
      <c r="E92" s="369"/>
      <c r="F92" s="265"/>
      <c r="G92" s="265"/>
      <c r="H92" s="265"/>
      <c r="I92" s="265"/>
      <c r="J92" s="265"/>
      <c r="K92" s="265"/>
      <c r="L92" s="265"/>
      <c r="M92" s="265"/>
      <c r="N92" s="265"/>
      <c r="O92" s="265"/>
      <c r="P92" s="265"/>
      <c r="Q92" s="265"/>
      <c r="R92" s="265"/>
      <c r="S92" s="265"/>
      <c r="T92" s="265"/>
      <c r="U92" s="265"/>
      <c r="V92" s="265"/>
      <c r="W92" s="265"/>
      <c r="X92" s="265"/>
      <c r="Y92" s="265"/>
      <c r="Z92" s="265"/>
      <c r="AA92" s="265"/>
      <c r="AB92" s="265"/>
      <c r="AC92" s="265"/>
      <c r="AD92" s="265"/>
      <c r="AE92" s="265"/>
      <c r="AF92" s="265"/>
      <c r="AG92" s="265"/>
      <c r="AH92" s="265"/>
      <c r="AI92" s="265"/>
      <c r="AJ92" s="265"/>
      <c r="AK92" s="265"/>
      <c r="AL92" s="265"/>
      <c r="AM92" s="265"/>
      <c r="AN92" s="265"/>
      <c r="AO92" s="265"/>
      <c r="AP92" s="265"/>
      <c r="AQ92" s="265"/>
      <c r="AR92" s="265"/>
      <c r="AS92" s="265"/>
      <c r="AT92" s="265"/>
    </row>
    <row r="93">
      <c r="A93" s="265"/>
      <c r="B93" s="265"/>
      <c r="C93" s="265"/>
      <c r="D93" s="265"/>
      <c r="E93" s="369"/>
      <c r="F93" s="265"/>
      <c r="G93" s="265"/>
      <c r="H93" s="265"/>
      <c r="I93" s="265"/>
      <c r="J93" s="265"/>
      <c r="K93" s="265"/>
      <c r="L93" s="265"/>
      <c r="M93" s="265"/>
      <c r="N93" s="265"/>
      <c r="O93" s="265"/>
      <c r="P93" s="46">
        <f>sum(COUNTIF(P2,"&gt;0"),COUNTIF(P4:P7,"&gt;0"),COUNTIF(P9:P12,"&gt;0"),COUNTIF(P14:P24,"&gt;0"),COUNTIF(P26:P28,"&gt;0"),COUNTIF(P30:P53,"&gt;0"),COUNTIF(P55:P80,"&gt;0"),COUNTIF(P82:P88,"&gt;0"))</f>
        <v>3</v>
      </c>
      <c r="Q93" s="265"/>
      <c r="R93" s="265"/>
      <c r="S93" s="265"/>
      <c r="T93" s="265"/>
      <c r="U93" s="265"/>
      <c r="V93" s="46">
        <f>sum(COUNTIF(V2,"&gt;0"),COUNTIF(V4:V7,"&gt;0"),COUNTIF(V9:V12,"&gt;0"),COUNTIF(V14:V24,"&gt;0"),COUNTIF(V26:V28,"&gt;0"),COUNTIF(V30:V53,"&gt;0"),COUNTIF(V55:V80,"&gt;0"),COUNTIF(V82:V88,"&gt;0"))</f>
        <v>1</v>
      </c>
      <c r="W93" s="46"/>
      <c r="X93" s="46"/>
      <c r="Y93" s="46">
        <f>sum(COUNTIF(Y2,"POS"),COUNTIF(Y4:Y7,"POS"),COUNTIF(Y9:Y12,"POS"),COUNTIF(Y14:Y24,"POS"),COUNTIF(Y26:Y28,"POS"),COUNTIF(Y30:Y53,"POS"),COUNTIF(Y55:Y80,"POS"),COUNTIF(Y82:Y88,"POS"))</f>
        <v>16</v>
      </c>
      <c r="Z93" s="46"/>
      <c r="AA93" s="46">
        <f>sum(COUNTIF(AA2,"POS"),COUNTIF(AA4:AA7,"POS"),COUNTIF(AA9:AA12,"POS"),COUNTIF(AA14:AA24,"POS"),COUNTIF(AA26:AA28,"POS"),COUNTIF(AA30:AA53,"POS"),COUNTIF(AA55:AA80,"POS"),COUNTIF(AA82:AA88,"POS"))</f>
        <v>10</v>
      </c>
      <c r="AB93" s="46"/>
      <c r="AC93" s="46">
        <f>sum(COUNTIF(AC2,"POS"),COUNTIF(AC4:AC7,"POS"),COUNTIF(AC9:AC12,"POS"),COUNTIF(AC14:AC24,"POS"),COUNTIF(AC26:AC28,"POS"),COUNTIF(AC30:AC53,"POS"),COUNTIF(AC55:AC80,"POS"),COUNTIF(AC82:AC88,"POS"))</f>
        <v>20</v>
      </c>
      <c r="AD93" s="46"/>
      <c r="AE93" s="372">
        <f>countif($AE$2:$AE$88,"&gt;0")</f>
        <v>27</v>
      </c>
      <c r="AF93" s="372">
        <f>countif($AE$2:$AE$88,"&gt;1")</f>
        <v>14</v>
      </c>
      <c r="AG93" s="372">
        <f>countif($AE$2:$AE$88,"&gt;2")</f>
        <v>9</v>
      </c>
      <c r="AH93" s="372">
        <f>countif($AE$2:$AE$88,"&gt;3")</f>
        <v>2</v>
      </c>
      <c r="AI93" s="340">
        <f>countif(AT2:AT89,"&gt;1")</f>
        <v>7</v>
      </c>
      <c r="AJ93" s="265"/>
      <c r="AK93" s="157">
        <v>1.0</v>
      </c>
      <c r="AL93" s="157">
        <v>3.0</v>
      </c>
      <c r="AM93" s="157">
        <v>6.0</v>
      </c>
      <c r="AN93" s="157">
        <v>1.0</v>
      </c>
      <c r="AO93" s="157">
        <v>6.0</v>
      </c>
      <c r="AP93" s="157">
        <v>3.0</v>
      </c>
      <c r="AQ93" s="157">
        <v>0.0</v>
      </c>
      <c r="AR93" s="157">
        <v>0.0</v>
      </c>
      <c r="AS93" s="265"/>
      <c r="AT93" s="265"/>
    </row>
    <row r="94">
      <c r="A94" s="265"/>
      <c r="B94" s="265"/>
      <c r="C94" s="265"/>
      <c r="D94" s="265"/>
      <c r="E94" s="369"/>
      <c r="F94" s="265"/>
      <c r="G94" s="265"/>
      <c r="H94" s="265"/>
      <c r="I94" s="265"/>
      <c r="J94" s="265"/>
      <c r="K94" s="265"/>
      <c r="L94" s="265"/>
      <c r="M94" s="265"/>
      <c r="N94" s="265"/>
      <c r="O94" s="265"/>
      <c r="P94" s="46">
        <f>COUNT($A$2:$A$88)</f>
        <v>87</v>
      </c>
      <c r="Q94" s="265"/>
      <c r="R94" s="265"/>
      <c r="S94" s="265"/>
      <c r="T94" s="265"/>
      <c r="U94" s="265"/>
      <c r="V94" s="46">
        <f>COUNT($A$2:$A$88)</f>
        <v>87</v>
      </c>
      <c r="W94" s="46"/>
      <c r="X94" s="46"/>
      <c r="Y94" s="46">
        <f>COUNT($A$2:$A$88)</f>
        <v>87</v>
      </c>
      <c r="Z94" s="46"/>
      <c r="AA94" s="46">
        <f>COUNT($A$2:$A$88)</f>
        <v>87</v>
      </c>
      <c r="AB94" s="46"/>
      <c r="AC94" s="46">
        <f>COUNT($A$2:$A$88)</f>
        <v>87</v>
      </c>
      <c r="AD94" s="46"/>
      <c r="AE94" s="372">
        <f t="shared" ref="AE94:AI94" si="6">COUNT($A$2:$A$88)</f>
        <v>87</v>
      </c>
      <c r="AF94" s="372">
        <f t="shared" si="6"/>
        <v>87</v>
      </c>
      <c r="AG94" s="372">
        <f t="shared" si="6"/>
        <v>87</v>
      </c>
      <c r="AH94" s="372">
        <f t="shared" si="6"/>
        <v>87</v>
      </c>
      <c r="AI94" s="372">
        <f t="shared" si="6"/>
        <v>87</v>
      </c>
      <c r="AJ94" s="265"/>
      <c r="AK94" s="265"/>
      <c r="AL94" s="265"/>
      <c r="AM94" s="265"/>
      <c r="AN94" s="265"/>
      <c r="AO94" s="265"/>
      <c r="AP94" s="265"/>
      <c r="AQ94" s="265"/>
      <c r="AR94" s="265"/>
      <c r="AS94" s="265"/>
      <c r="AT94" s="265"/>
    </row>
    <row r="95">
      <c r="A95" s="265"/>
      <c r="B95" s="265"/>
      <c r="C95" s="265"/>
      <c r="D95" s="265"/>
      <c r="E95" s="369"/>
      <c r="F95" s="265"/>
      <c r="G95" s="265"/>
      <c r="H95" s="265"/>
      <c r="I95" s="265"/>
      <c r="J95" s="265"/>
      <c r="K95" s="265"/>
      <c r="L95" s="265"/>
      <c r="M95" s="265"/>
      <c r="N95" s="265"/>
      <c r="O95" s="265"/>
      <c r="P95" s="374">
        <f>P93/P94</f>
        <v>0.03448275862</v>
      </c>
      <c r="Q95" s="265"/>
      <c r="R95" s="265"/>
      <c r="S95" s="265"/>
      <c r="T95" s="265"/>
      <c r="U95" s="265"/>
      <c r="V95" s="374">
        <f>V93/V94</f>
        <v>0.01149425287</v>
      </c>
      <c r="W95" s="374"/>
      <c r="X95" s="374"/>
      <c r="Y95" s="374">
        <f>Y93/Y94</f>
        <v>0.183908046</v>
      </c>
      <c r="Z95" s="46"/>
      <c r="AA95" s="374">
        <f>AA93/AA94</f>
        <v>0.1149425287</v>
      </c>
      <c r="AB95" s="46"/>
      <c r="AC95" s="374">
        <f>AC93/AC94</f>
        <v>0.2298850575</v>
      </c>
      <c r="AD95" s="46"/>
      <c r="AE95" s="564">
        <f t="shared" ref="AE95:AI95" si="7">AE93/AE94</f>
        <v>0.3103448276</v>
      </c>
      <c r="AF95" s="564">
        <f t="shared" si="7"/>
        <v>0.1609195402</v>
      </c>
      <c r="AG95" s="641">
        <f t="shared" si="7"/>
        <v>0.1034482759</v>
      </c>
      <c r="AH95" s="641">
        <f t="shared" si="7"/>
        <v>0.02298850575</v>
      </c>
      <c r="AI95" s="630">
        <f t="shared" si="7"/>
        <v>0.08045977011</v>
      </c>
      <c r="AJ95" s="265"/>
      <c r="AK95" s="265"/>
      <c r="AL95" s="265"/>
      <c r="AM95" s="265"/>
      <c r="AN95" s="265"/>
      <c r="AO95" s="265"/>
      <c r="AP95" s="265"/>
      <c r="AQ95" s="265"/>
      <c r="AR95" s="265"/>
      <c r="AS95" s="265"/>
      <c r="AT95" s="265"/>
    </row>
    <row r="96">
      <c r="A96" s="265"/>
      <c r="B96" s="265"/>
      <c r="C96" s="265"/>
      <c r="D96" s="265"/>
      <c r="E96" s="369"/>
      <c r="F96" s="265"/>
      <c r="G96" s="265"/>
      <c r="H96" s="265"/>
      <c r="I96" s="265"/>
      <c r="J96" s="265"/>
      <c r="K96" s="265"/>
      <c r="L96" s="265"/>
      <c r="M96" s="265"/>
      <c r="N96" s="265"/>
      <c r="O96" s="265"/>
      <c r="P96" s="265"/>
      <c r="Q96" s="265"/>
      <c r="R96" s="265"/>
      <c r="S96" s="265"/>
      <c r="T96" s="265"/>
      <c r="U96" s="265"/>
      <c r="V96" s="46"/>
      <c r="W96" s="46"/>
      <c r="X96" s="46"/>
      <c r="Y96" s="46"/>
      <c r="Z96" s="46"/>
      <c r="AA96" s="46"/>
      <c r="AB96" s="46"/>
      <c r="AC96" s="46"/>
      <c r="AD96" s="46"/>
      <c r="AE96" s="372" t="s">
        <v>1401</v>
      </c>
      <c r="AF96" s="372" t="s">
        <v>1402</v>
      </c>
      <c r="AG96" s="372" t="s">
        <v>1403</v>
      </c>
      <c r="AH96" s="378" t="s">
        <v>1404</v>
      </c>
      <c r="AI96" s="378" t="s">
        <v>1376</v>
      </c>
      <c r="AJ96" s="265"/>
      <c r="AK96" s="265"/>
      <c r="AL96" s="265"/>
      <c r="AM96" s="265"/>
      <c r="AN96" s="265"/>
      <c r="AO96" s="265"/>
      <c r="AP96" s="265"/>
      <c r="AQ96" s="265"/>
      <c r="AR96" s="265"/>
      <c r="AS96" s="265"/>
      <c r="AT96" s="265"/>
    </row>
    <row r="97">
      <c r="A97" s="265"/>
      <c r="B97" s="265"/>
      <c r="C97" s="265"/>
      <c r="D97" s="265"/>
      <c r="E97" s="369"/>
      <c r="F97" s="265"/>
      <c r="G97" s="265"/>
      <c r="H97" s="265"/>
      <c r="I97" s="265"/>
      <c r="J97" s="265"/>
      <c r="K97" s="265"/>
      <c r="L97" s="265"/>
      <c r="M97" s="265"/>
      <c r="N97" s="265"/>
      <c r="O97" s="265"/>
      <c r="P97" s="265"/>
      <c r="Q97" s="265"/>
      <c r="R97" s="265"/>
      <c r="S97" s="265"/>
      <c r="T97" s="265"/>
      <c r="U97" s="265"/>
      <c r="V97" s="265"/>
      <c r="W97" s="265"/>
      <c r="X97" s="265"/>
      <c r="Y97" s="265"/>
      <c r="Z97" s="265"/>
      <c r="AA97" s="265"/>
      <c r="AB97" s="265"/>
      <c r="AC97" s="265"/>
      <c r="AD97" s="265"/>
      <c r="AE97" s="265"/>
      <c r="AF97" s="265"/>
      <c r="AG97" s="265"/>
      <c r="AH97" s="265"/>
      <c r="AI97" s="265"/>
      <c r="AJ97" s="265"/>
      <c r="AK97" s="265"/>
      <c r="AL97" s="265"/>
      <c r="AM97" s="265"/>
      <c r="AN97" s="265"/>
      <c r="AO97" s="265"/>
      <c r="AP97" s="265"/>
      <c r="AQ97" s="265"/>
      <c r="AR97" s="265"/>
      <c r="AS97" s="265"/>
      <c r="AT97" s="265"/>
    </row>
    <row r="98">
      <c r="A98" s="265"/>
      <c r="J98" s="331" t="s">
        <v>1497</v>
      </c>
      <c r="K98" s="345" t="s">
        <v>389</v>
      </c>
      <c r="L98" s="346" t="s">
        <v>420</v>
      </c>
      <c r="M98" s="347" t="s">
        <v>358</v>
      </c>
      <c r="N98" s="348" t="s">
        <v>363</v>
      </c>
      <c r="O98" s="349" t="s">
        <v>413</v>
      </c>
      <c r="P98" s="350" t="s">
        <v>357</v>
      </c>
      <c r="Q98" s="351" t="s">
        <v>380</v>
      </c>
      <c r="R98" s="352" t="s">
        <v>387</v>
      </c>
      <c r="S98" s="642" t="s">
        <v>1427</v>
      </c>
      <c r="T98" s="643" t="s">
        <v>1190</v>
      </c>
      <c r="U98" s="644" t="s">
        <v>1214</v>
      </c>
      <c r="V98" s="645" t="s">
        <v>1120</v>
      </c>
      <c r="W98" s="646" t="s">
        <v>1188</v>
      </c>
      <c r="X98" s="647" t="s">
        <v>1428</v>
      </c>
      <c r="Y98" s="648" t="s">
        <v>1429</v>
      </c>
      <c r="Z98" s="649" t="s">
        <v>1178</v>
      </c>
      <c r="AA98" s="650" t="s">
        <v>1145</v>
      </c>
      <c r="AB98" s="651" t="s">
        <v>1301</v>
      </c>
      <c r="AC98" s="652" t="s">
        <v>1130</v>
      </c>
      <c r="AD98" s="653" t="s">
        <v>1314</v>
      </c>
      <c r="AE98" s="654" t="s">
        <v>1431</v>
      </c>
      <c r="AF98" s="655" t="s">
        <v>1095</v>
      </c>
      <c r="AG98" s="656" t="s">
        <v>1103</v>
      </c>
      <c r="AH98" s="657" t="s">
        <v>1090</v>
      </c>
      <c r="AI98" s="658" t="s">
        <v>1296</v>
      </c>
      <c r="AJ98" s="659" t="s">
        <v>1270</v>
      </c>
      <c r="AK98" s="660" t="s">
        <v>1115</v>
      </c>
      <c r="AL98" s="661" t="s">
        <v>1089</v>
      </c>
      <c r="AM98" s="662" t="s">
        <v>1182</v>
      </c>
      <c r="AN98" s="663" t="s">
        <v>1298</v>
      </c>
      <c r="AO98" s="664" t="s">
        <v>1163</v>
      </c>
      <c r="AP98" s="665" t="s">
        <v>1223</v>
      </c>
      <c r="AQ98" s="666" t="s">
        <v>1441</v>
      </c>
      <c r="AR98" s="667" t="s">
        <v>1129</v>
      </c>
      <c r="AS98" s="668" t="s">
        <v>1447</v>
      </c>
      <c r="AT98" s="669" t="s">
        <v>1454</v>
      </c>
    </row>
    <row r="99">
      <c r="A99" s="265"/>
      <c r="J99" s="468">
        <f>correl(K99:R99,AK90:AR90)</f>
        <v>0.9852753929</v>
      </c>
      <c r="K99" s="80">
        <f t="shared" ref="K99:R99" si="8">countif(AK2:AK89,"&gt;0")</f>
        <v>6</v>
      </c>
      <c r="L99" s="80">
        <f t="shared" si="8"/>
        <v>6</v>
      </c>
      <c r="M99" s="80">
        <f t="shared" si="8"/>
        <v>7</v>
      </c>
      <c r="N99" s="80">
        <f t="shared" si="8"/>
        <v>2</v>
      </c>
      <c r="O99" s="80">
        <f t="shared" si="8"/>
        <v>11</v>
      </c>
      <c r="P99" s="80">
        <f t="shared" si="8"/>
        <v>6</v>
      </c>
      <c r="Q99" s="80">
        <f t="shared" si="8"/>
        <v>0</v>
      </c>
      <c r="R99" s="80">
        <f t="shared" si="8"/>
        <v>0</v>
      </c>
      <c r="S99" s="670">
        <f t="shared" ref="S99:Y99" si="9">countifs($AK$2:$AK$89,"&gt;0",AL2:AL89,"&gt;0")</f>
        <v>1</v>
      </c>
      <c r="T99" s="670">
        <f t="shared" si="9"/>
        <v>1</v>
      </c>
      <c r="U99" s="670">
        <f t="shared" si="9"/>
        <v>1</v>
      </c>
      <c r="V99" s="670">
        <f t="shared" si="9"/>
        <v>4</v>
      </c>
      <c r="W99" s="670">
        <f t="shared" si="9"/>
        <v>2</v>
      </c>
      <c r="X99" s="80">
        <f t="shared" si="9"/>
        <v>0</v>
      </c>
      <c r="Y99" s="80">
        <f t="shared" si="9"/>
        <v>0</v>
      </c>
      <c r="Z99" s="80">
        <f t="shared" ref="Z99:AE99" si="10">countifs($AL$2:$AL$89,"&gt;0",AM2:AM89,"&gt;0")</f>
        <v>0</v>
      </c>
      <c r="AA99" s="80">
        <f t="shared" si="10"/>
        <v>0</v>
      </c>
      <c r="AB99" s="670">
        <f t="shared" si="10"/>
        <v>2</v>
      </c>
      <c r="AC99" s="670">
        <f t="shared" si="10"/>
        <v>1</v>
      </c>
      <c r="AD99" s="80">
        <f t="shared" si="10"/>
        <v>0</v>
      </c>
      <c r="AE99" s="80">
        <f t="shared" si="10"/>
        <v>0</v>
      </c>
      <c r="AF99" s="80">
        <f t="shared" ref="AF99:AJ99" si="11">countifs($AM$2:$AM$89,"&gt;0",AN2:AN89,"&gt;0")</f>
        <v>0</v>
      </c>
      <c r="AG99" s="670">
        <f t="shared" si="11"/>
        <v>1</v>
      </c>
      <c r="AH99" s="670">
        <f t="shared" si="11"/>
        <v>1</v>
      </c>
      <c r="AI99" s="80">
        <f t="shared" si="11"/>
        <v>0</v>
      </c>
      <c r="AJ99" s="80">
        <f t="shared" si="11"/>
        <v>0</v>
      </c>
      <c r="AK99" s="80">
        <f t="shared" ref="AK99:AN99" si="12">countifs($AN$2:$AN$89,"&gt;0",AO2:AO89,"&gt;0")</f>
        <v>0</v>
      </c>
      <c r="AL99" s="80">
        <f t="shared" si="12"/>
        <v>0</v>
      </c>
      <c r="AM99" s="80">
        <f t="shared" si="12"/>
        <v>0</v>
      </c>
      <c r="AN99" s="80">
        <f t="shared" si="12"/>
        <v>0</v>
      </c>
      <c r="AO99" s="670">
        <f t="shared" ref="AO99:AQ99" si="13">countifs($AO$2:$AO$89,"&gt;0",AP2:AP89,"&gt;0")</f>
        <v>2</v>
      </c>
      <c r="AP99" s="80">
        <f t="shared" si="13"/>
        <v>0</v>
      </c>
      <c r="AQ99" s="80">
        <f t="shared" si="13"/>
        <v>0</v>
      </c>
      <c r="AR99" s="80">
        <f t="shared" ref="AR99:AS99" si="14">countifs($AP$2:$AP$89,"&gt;0",AQ2:AQ89,"&gt;0")</f>
        <v>0</v>
      </c>
      <c r="AS99" s="80">
        <f t="shared" si="14"/>
        <v>0</v>
      </c>
      <c r="AT99" s="80">
        <f>countifs($AQ$2:$AQ$89,"&gt;0",AR2:AR89,"&gt;0")</f>
        <v>0</v>
      </c>
    </row>
    <row r="100">
      <c r="A100" s="265"/>
      <c r="J100" s="468"/>
      <c r="K100" s="76">
        <f t="shared" ref="K100:R100" si="15">K99/sum($K$99:$R$99)</f>
        <v>0.1578947368</v>
      </c>
      <c r="L100" s="76">
        <f t="shared" si="15"/>
        <v>0.1578947368</v>
      </c>
      <c r="M100" s="76">
        <f t="shared" si="15"/>
        <v>0.1842105263</v>
      </c>
      <c r="N100" s="76">
        <f t="shared" si="15"/>
        <v>0.05263157895</v>
      </c>
      <c r="O100" s="76">
        <f t="shared" si="15"/>
        <v>0.2894736842</v>
      </c>
      <c r="P100" s="76">
        <f t="shared" si="15"/>
        <v>0.1578947368</v>
      </c>
      <c r="Q100" s="76">
        <f t="shared" si="15"/>
        <v>0</v>
      </c>
      <c r="R100" s="76">
        <f t="shared" si="15"/>
        <v>0</v>
      </c>
      <c r="S100" s="80"/>
      <c r="T100" s="80"/>
      <c r="U100" s="80"/>
      <c r="V100" s="80"/>
      <c r="W100" s="80"/>
      <c r="X100" s="80"/>
      <c r="Y100" s="80"/>
      <c r="Z100" s="80"/>
      <c r="AA100" s="80"/>
      <c r="AB100" s="80"/>
      <c r="AC100" s="80"/>
      <c r="AD100" s="80"/>
      <c r="AE100" s="80"/>
      <c r="AF100" s="80"/>
      <c r="AG100" s="80"/>
      <c r="AH100" s="80"/>
      <c r="AI100" s="80"/>
      <c r="AJ100" s="80"/>
      <c r="AK100" s="80"/>
      <c r="AL100" s="80"/>
      <c r="AM100" s="80"/>
      <c r="AN100" s="80"/>
      <c r="AO100" s="80"/>
      <c r="AP100" s="80"/>
      <c r="AQ100" s="80"/>
      <c r="AR100" s="80"/>
      <c r="AS100" s="80"/>
      <c r="AT100" s="80"/>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7.29" defaultRowHeight="15.0"/>
  <cols>
    <col customWidth="1" min="3" max="3" width="18.0"/>
    <col customWidth="1" min="4" max="4" width="18.43"/>
    <col customWidth="1" min="15" max="15" width="28.0"/>
    <col customWidth="1" min="16" max="16" width="19.43"/>
    <col customWidth="1" min="17" max="17" width="13.0"/>
    <col customWidth="1" min="18" max="18" width="16.0"/>
    <col customWidth="1" min="19" max="19" width="22.71"/>
    <col customWidth="1" min="20" max="20" width="25.86"/>
    <col customWidth="1" min="21" max="21" width="25.71"/>
    <col customWidth="1" min="22" max="22" width="14.14"/>
    <col customWidth="1" min="23" max="23" width="20.57"/>
    <col customWidth="1" min="24" max="24" width="23.43"/>
    <col customWidth="1" min="25" max="25" width="18.43"/>
    <col customWidth="1" min="26" max="26" width="13.0"/>
    <col customWidth="1" min="27" max="27" width="8.0"/>
    <col customWidth="1" min="28" max="28" width="12.57"/>
    <col customWidth="1" min="29" max="29" width="8.71"/>
    <col customWidth="1" min="30" max="30" width="14.57"/>
    <col customWidth="1" min="31" max="31" width="9.71"/>
    <col customWidth="1" min="32" max="32" width="14.86"/>
    <col customWidth="1" min="33" max="33" width="9.86"/>
    <col customWidth="1" min="34" max="34" width="12.0"/>
    <col customWidth="1" min="35" max="35" width="9.71"/>
    <col customWidth="1" min="36" max="36" width="8.71"/>
    <col customWidth="1" min="37" max="39" width="9.43"/>
    <col customWidth="1" min="40" max="40" width="8.71"/>
    <col customWidth="1" min="41" max="41" width="6.14"/>
    <col customWidth="1" min="42" max="42" width="6.57"/>
    <col customWidth="1" min="43" max="44" width="8.71"/>
    <col customWidth="1" min="45" max="45" width="6.57"/>
    <col customWidth="1" min="46" max="47" width="8.71"/>
    <col customWidth="1" min="48" max="49" width="9.14"/>
    <col customWidth="1" min="50" max="50" width="11.29"/>
  </cols>
  <sheetData>
    <row r="1">
      <c r="A1" s="340" t="s">
        <v>1355</v>
      </c>
      <c r="B1" s="309" t="s">
        <v>1356</v>
      </c>
      <c r="C1" s="309" t="s">
        <v>1246</v>
      </c>
      <c r="D1" s="310" t="s">
        <v>331</v>
      </c>
      <c r="E1" s="340" t="s">
        <v>1357</v>
      </c>
      <c r="F1" s="719" t="s">
        <v>1</v>
      </c>
      <c r="G1" s="372" t="s">
        <v>4</v>
      </c>
      <c r="H1" s="340" t="s">
        <v>1358</v>
      </c>
      <c r="I1" s="310" t="s">
        <v>1359</v>
      </c>
      <c r="J1" s="310" t="s">
        <v>336</v>
      </c>
      <c r="K1" s="310" t="s">
        <v>337</v>
      </c>
      <c r="L1" s="311" t="s">
        <v>338</v>
      </c>
      <c r="M1" s="311" t="s">
        <v>332</v>
      </c>
      <c r="N1" s="543" t="s">
        <v>1360</v>
      </c>
      <c r="O1" s="543" t="s">
        <v>339</v>
      </c>
      <c r="P1" s="339" t="s">
        <v>1361</v>
      </c>
      <c r="Q1" s="339" t="s">
        <v>1596</v>
      </c>
      <c r="R1" s="339" t="s">
        <v>1362</v>
      </c>
      <c r="S1" s="339" t="s">
        <v>1363</v>
      </c>
      <c r="T1" s="339" t="s">
        <v>1627</v>
      </c>
      <c r="U1" s="339" t="s">
        <v>1628</v>
      </c>
      <c r="V1" s="339" t="s">
        <v>1364</v>
      </c>
      <c r="W1" s="340" t="s">
        <v>1407</v>
      </c>
      <c r="X1" s="340" t="s">
        <v>1366</v>
      </c>
      <c r="Y1" s="340" t="s">
        <v>1367</v>
      </c>
      <c r="Z1" s="339" t="s">
        <v>1597</v>
      </c>
      <c r="AA1" s="339" t="s">
        <v>1598</v>
      </c>
      <c r="AB1" s="340" t="s">
        <v>1784</v>
      </c>
      <c r="AC1" s="340" t="s">
        <v>1785</v>
      </c>
      <c r="AD1" s="671" t="s">
        <v>1368</v>
      </c>
      <c r="AE1" s="671" t="s">
        <v>1369</v>
      </c>
      <c r="AF1" s="672" t="s">
        <v>1370</v>
      </c>
      <c r="AG1" s="672" t="s">
        <v>1371</v>
      </c>
      <c r="AH1" s="343" t="s">
        <v>1372</v>
      </c>
      <c r="AI1" s="344" t="s">
        <v>1373</v>
      </c>
      <c r="AJ1" s="378" t="s">
        <v>1374</v>
      </c>
      <c r="AK1" s="544"/>
      <c r="AL1" s="544"/>
      <c r="AM1" s="544"/>
      <c r="AN1" s="265"/>
      <c r="AO1" s="345" t="s">
        <v>389</v>
      </c>
      <c r="AP1" s="346" t="s">
        <v>420</v>
      </c>
      <c r="AQ1" s="347" t="s">
        <v>358</v>
      </c>
      <c r="AR1" s="348" t="s">
        <v>363</v>
      </c>
      <c r="AS1" s="349" t="s">
        <v>413</v>
      </c>
      <c r="AT1" s="350" t="s">
        <v>357</v>
      </c>
      <c r="AU1" s="351" t="s">
        <v>380</v>
      </c>
      <c r="AV1" s="352" t="s">
        <v>387</v>
      </c>
      <c r="AW1" s="353" t="s">
        <v>1375</v>
      </c>
      <c r="AX1" s="353" t="s">
        <v>1376</v>
      </c>
    </row>
    <row r="2">
      <c r="A2" s="49">
        <v>9.0</v>
      </c>
      <c r="B2" s="49" t="s">
        <v>842</v>
      </c>
      <c r="C2" s="49" t="s">
        <v>835</v>
      </c>
      <c r="D2" s="18" t="s">
        <v>1661</v>
      </c>
      <c r="E2" s="720">
        <v>40939.0</v>
      </c>
      <c r="F2" s="47" t="s">
        <v>354</v>
      </c>
      <c r="G2" s="49" t="s">
        <v>67</v>
      </c>
      <c r="H2" s="49" t="s">
        <v>7</v>
      </c>
      <c r="I2" s="235" t="s">
        <v>354</v>
      </c>
      <c r="J2" s="235" t="s">
        <v>354</v>
      </c>
      <c r="K2" s="235" t="s">
        <v>354</v>
      </c>
      <c r="L2" s="235"/>
      <c r="M2" s="235" t="s">
        <v>354</v>
      </c>
      <c r="N2" s="235"/>
      <c r="O2" s="235" t="s">
        <v>354</v>
      </c>
      <c r="P2" s="721">
        <v>34.2215503792788</v>
      </c>
      <c r="Q2" s="722" t="s">
        <v>361</v>
      </c>
      <c r="R2" s="49">
        <v>0.0</v>
      </c>
      <c r="S2" s="551" t="s">
        <v>354</v>
      </c>
      <c r="T2" s="551" t="s">
        <v>354</v>
      </c>
      <c r="U2" s="551" t="s">
        <v>354</v>
      </c>
      <c r="V2" s="49">
        <v>0.0</v>
      </c>
      <c r="W2" s="723">
        <v>0.0</v>
      </c>
      <c r="X2" s="551" t="s">
        <v>354</v>
      </c>
      <c r="Y2" s="551" t="s">
        <v>354</v>
      </c>
      <c r="Z2" s="49" t="s">
        <v>356</v>
      </c>
      <c r="AA2" s="166" t="s">
        <v>354</v>
      </c>
      <c r="AB2" s="56" t="s">
        <v>365</v>
      </c>
      <c r="AC2" s="44" t="s">
        <v>1786</v>
      </c>
      <c r="AD2" s="724" t="s">
        <v>365</v>
      </c>
      <c r="AE2" s="44" t="s">
        <v>1786</v>
      </c>
      <c r="AF2" s="725" t="s">
        <v>356</v>
      </c>
      <c r="AG2" s="725" t="s">
        <v>354</v>
      </c>
      <c r="AH2" s="726" t="s">
        <v>365</v>
      </c>
      <c r="AI2" s="44" t="s">
        <v>1786</v>
      </c>
      <c r="AJ2" s="357">
        <f t="shared" ref="AJ2:AJ93" si="1">sum(COUNTIF(AD2:AI2,"POS"),countif(P2,"&gt;0"))</f>
        <v>3</v>
      </c>
      <c r="AK2" s="46"/>
      <c r="AL2" s="46"/>
      <c r="AM2" s="46"/>
      <c r="AN2" s="265"/>
      <c r="AO2" s="80">
        <v>0.0</v>
      </c>
      <c r="AP2" s="224">
        <v>2.0</v>
      </c>
      <c r="AQ2" s="80">
        <v>0.0</v>
      </c>
      <c r="AR2" s="224">
        <v>0.0</v>
      </c>
      <c r="AS2" s="80">
        <v>0.0</v>
      </c>
      <c r="AT2" s="224">
        <v>0.0</v>
      </c>
      <c r="AU2" s="80">
        <v>0.0</v>
      </c>
      <c r="AV2" s="80">
        <v>0.0</v>
      </c>
      <c r="AW2" s="358">
        <f t="shared" ref="AW2:AW93" si="2">sum(AO2:AV2)</f>
        <v>2</v>
      </c>
      <c r="AX2" s="358">
        <f t="shared" ref="AX2:AX91" si="3">countif(AO2:AV2,"&gt;0")</f>
        <v>1</v>
      </c>
    </row>
    <row r="3">
      <c r="A3" s="235">
        <v>21.0</v>
      </c>
      <c r="B3" s="690" t="s">
        <v>961</v>
      </c>
      <c r="C3" s="41" t="s">
        <v>959</v>
      </c>
      <c r="D3" s="687" t="s">
        <v>960</v>
      </c>
      <c r="E3" s="720">
        <v>40939.0</v>
      </c>
      <c r="F3" s="47" t="s">
        <v>354</v>
      </c>
      <c r="G3" s="235">
        <v>5.0</v>
      </c>
      <c r="H3" s="235" t="s">
        <v>1787</v>
      </c>
      <c r="I3" s="235" t="s">
        <v>354</v>
      </c>
      <c r="J3" s="235" t="s">
        <v>354</v>
      </c>
      <c r="K3" s="184">
        <v>0.0</v>
      </c>
      <c r="L3" s="184" t="s">
        <v>354</v>
      </c>
      <c r="M3" s="265"/>
      <c r="N3" s="265"/>
      <c r="O3" s="184" t="s">
        <v>371</v>
      </c>
      <c r="P3" s="723">
        <v>0.0</v>
      </c>
      <c r="Q3" s="166" t="s">
        <v>356</v>
      </c>
      <c r="R3" s="49">
        <v>0.0</v>
      </c>
      <c r="S3" s="551" t="s">
        <v>354</v>
      </c>
      <c r="T3" s="551" t="s">
        <v>354</v>
      </c>
      <c r="U3" s="551" t="s">
        <v>354</v>
      </c>
      <c r="V3" s="49">
        <v>0.0</v>
      </c>
      <c r="W3" s="723">
        <v>0.0</v>
      </c>
      <c r="X3" s="551" t="s">
        <v>354</v>
      </c>
      <c r="Y3" s="551" t="s">
        <v>354</v>
      </c>
      <c r="Z3" s="49" t="s">
        <v>356</v>
      </c>
      <c r="AA3" s="166" t="s">
        <v>354</v>
      </c>
      <c r="AB3" s="49" t="s">
        <v>356</v>
      </c>
      <c r="AC3" s="49" t="s">
        <v>354</v>
      </c>
      <c r="AD3" s="727" t="s">
        <v>356</v>
      </c>
      <c r="AE3" s="727" t="s">
        <v>354</v>
      </c>
      <c r="AF3" s="725" t="s">
        <v>356</v>
      </c>
      <c r="AG3" s="725" t="s">
        <v>354</v>
      </c>
      <c r="AH3" s="728" t="s">
        <v>356</v>
      </c>
      <c r="AI3" s="728" t="s">
        <v>354</v>
      </c>
      <c r="AJ3" s="46">
        <f t="shared" si="1"/>
        <v>0</v>
      </c>
      <c r="AK3" s="46"/>
      <c r="AL3" s="46"/>
      <c r="AM3" s="46"/>
      <c r="AN3" s="265"/>
      <c r="AO3" s="80">
        <v>0.0</v>
      </c>
      <c r="AP3" s="80">
        <v>0.0</v>
      </c>
      <c r="AQ3" s="80">
        <v>0.0</v>
      </c>
      <c r="AR3" s="224">
        <v>0.0</v>
      </c>
      <c r="AS3" s="80">
        <v>0.0</v>
      </c>
      <c r="AT3" s="224">
        <v>0.0</v>
      </c>
      <c r="AU3" s="80">
        <v>0.0</v>
      </c>
      <c r="AV3" s="80">
        <v>0.0</v>
      </c>
      <c r="AW3" s="182">
        <f t="shared" si="2"/>
        <v>0</v>
      </c>
      <c r="AX3" s="182">
        <f t="shared" si="3"/>
        <v>0</v>
      </c>
    </row>
    <row r="4">
      <c r="A4" s="235">
        <v>25.0</v>
      </c>
      <c r="B4" s="690" t="s">
        <v>820</v>
      </c>
      <c r="C4" s="41" t="s">
        <v>816</v>
      </c>
      <c r="D4" s="687" t="s">
        <v>817</v>
      </c>
      <c r="E4" s="545">
        <v>40939.0</v>
      </c>
      <c r="F4" s="47" t="s">
        <v>354</v>
      </c>
      <c r="G4" s="235" t="s">
        <v>67</v>
      </c>
      <c r="H4" s="235" t="s">
        <v>7</v>
      </c>
      <c r="I4" s="235" t="s">
        <v>354</v>
      </c>
      <c r="J4" s="235" t="s">
        <v>354</v>
      </c>
      <c r="K4" s="184">
        <v>0.0</v>
      </c>
      <c r="L4" s="184" t="s">
        <v>354</v>
      </c>
      <c r="M4" s="265"/>
      <c r="N4" s="265"/>
      <c r="O4" s="184" t="s">
        <v>371</v>
      </c>
      <c r="P4" s="723">
        <v>0.0</v>
      </c>
      <c r="Q4" s="722" t="s">
        <v>1788</v>
      </c>
      <c r="R4" s="49">
        <v>0.0</v>
      </c>
      <c r="S4" s="551" t="s">
        <v>354</v>
      </c>
      <c r="T4" s="551" t="s">
        <v>354</v>
      </c>
      <c r="U4" s="551" t="s">
        <v>354</v>
      </c>
      <c r="V4" s="49">
        <v>0.0</v>
      </c>
      <c r="W4" s="723">
        <v>0.0</v>
      </c>
      <c r="X4" s="551" t="s">
        <v>354</v>
      </c>
      <c r="Y4" s="551" t="s">
        <v>354</v>
      </c>
      <c r="Z4" s="49" t="s">
        <v>356</v>
      </c>
      <c r="AA4" s="166" t="s">
        <v>354</v>
      </c>
      <c r="AB4" s="49" t="s">
        <v>356</v>
      </c>
      <c r="AC4" s="49" t="s">
        <v>354</v>
      </c>
      <c r="AD4" s="727" t="s">
        <v>356</v>
      </c>
      <c r="AE4" s="727" t="s">
        <v>354</v>
      </c>
      <c r="AF4" s="725" t="s">
        <v>356</v>
      </c>
      <c r="AG4" s="725" t="s">
        <v>354</v>
      </c>
      <c r="AH4" s="728" t="s">
        <v>356</v>
      </c>
      <c r="AI4" s="728" t="s">
        <v>354</v>
      </c>
      <c r="AJ4" s="46">
        <f t="shared" si="1"/>
        <v>0</v>
      </c>
      <c r="AK4" s="182"/>
      <c r="AL4" s="182"/>
      <c r="AM4" s="182"/>
      <c r="AN4" s="265"/>
      <c r="AO4" s="80">
        <v>0.0</v>
      </c>
      <c r="AP4" s="80">
        <v>0.0</v>
      </c>
      <c r="AQ4" s="80">
        <v>0.0</v>
      </c>
      <c r="AR4" s="224">
        <v>0.0</v>
      </c>
      <c r="AS4" s="80">
        <v>0.0</v>
      </c>
      <c r="AT4" s="224">
        <v>0.0</v>
      </c>
      <c r="AU4" s="80">
        <v>0.0</v>
      </c>
      <c r="AV4" s="80">
        <v>0.0</v>
      </c>
      <c r="AW4" s="182">
        <f t="shared" si="2"/>
        <v>0</v>
      </c>
      <c r="AX4" s="182">
        <f t="shared" si="3"/>
        <v>0</v>
      </c>
    </row>
    <row r="5">
      <c r="A5" s="235">
        <v>30.0</v>
      </c>
      <c r="B5" s="690" t="s">
        <v>75</v>
      </c>
      <c r="C5" s="271" t="s">
        <v>71</v>
      </c>
      <c r="D5" s="687" t="s">
        <v>459</v>
      </c>
      <c r="E5" s="545">
        <v>40939.0</v>
      </c>
      <c r="F5" s="47" t="s">
        <v>354</v>
      </c>
      <c r="G5" s="235" t="s">
        <v>8</v>
      </c>
      <c r="H5" s="235" t="s">
        <v>7</v>
      </c>
      <c r="I5" s="235" t="s">
        <v>354</v>
      </c>
      <c r="J5" s="235" t="s">
        <v>354</v>
      </c>
      <c r="K5" s="184">
        <v>0.0</v>
      </c>
      <c r="L5" s="184" t="s">
        <v>354</v>
      </c>
      <c r="M5" s="265"/>
      <c r="N5" s="265"/>
      <c r="O5" s="184" t="s">
        <v>371</v>
      </c>
      <c r="P5" s="723">
        <v>0.0</v>
      </c>
      <c r="Q5" s="166" t="s">
        <v>356</v>
      </c>
      <c r="R5" s="49">
        <v>0.0</v>
      </c>
      <c r="S5" s="551" t="s">
        <v>354</v>
      </c>
      <c r="T5" s="551" t="s">
        <v>354</v>
      </c>
      <c r="U5" s="551" t="s">
        <v>354</v>
      </c>
      <c r="V5" s="49">
        <v>0.0</v>
      </c>
      <c r="W5" s="723">
        <v>0.0</v>
      </c>
      <c r="X5" s="551" t="s">
        <v>354</v>
      </c>
      <c r="Y5" s="551" t="s">
        <v>354</v>
      </c>
      <c r="Z5" s="49" t="s">
        <v>356</v>
      </c>
      <c r="AA5" s="166" t="s">
        <v>354</v>
      </c>
      <c r="AB5" s="49" t="s">
        <v>354</v>
      </c>
      <c r="AC5" s="49" t="s">
        <v>354</v>
      </c>
      <c r="AD5" s="729" t="s">
        <v>361</v>
      </c>
      <c r="AE5" s="729" t="s">
        <v>361</v>
      </c>
      <c r="AF5" s="730" t="s">
        <v>361</v>
      </c>
      <c r="AG5" s="730" t="s">
        <v>361</v>
      </c>
      <c r="AH5" s="728" t="s">
        <v>356</v>
      </c>
      <c r="AI5" s="728" t="s">
        <v>354</v>
      </c>
      <c r="AJ5" s="46">
        <f t="shared" si="1"/>
        <v>0</v>
      </c>
      <c r="AN5" s="265"/>
      <c r="AO5" s="80">
        <v>0.0</v>
      </c>
      <c r="AP5" s="80">
        <v>0.0</v>
      </c>
      <c r="AQ5" s="80">
        <v>0.0</v>
      </c>
      <c r="AR5" s="224">
        <v>0.0</v>
      </c>
      <c r="AS5" s="80">
        <v>0.0</v>
      </c>
      <c r="AT5" s="224">
        <v>0.0</v>
      </c>
      <c r="AU5" s="80">
        <v>0.0</v>
      </c>
      <c r="AV5" s="80">
        <v>0.0</v>
      </c>
      <c r="AW5" s="182">
        <f t="shared" si="2"/>
        <v>0</v>
      </c>
      <c r="AX5" s="182">
        <f t="shared" si="3"/>
        <v>0</v>
      </c>
    </row>
    <row r="6">
      <c r="A6" s="235">
        <v>36.0</v>
      </c>
      <c r="B6" s="690" t="s">
        <v>1789</v>
      </c>
      <c r="C6" s="271" t="s">
        <v>80</v>
      </c>
      <c r="D6" s="687" t="s">
        <v>467</v>
      </c>
      <c r="E6" s="545">
        <v>40939.0</v>
      </c>
      <c r="F6" s="47" t="s">
        <v>354</v>
      </c>
      <c r="G6" s="46" t="s">
        <v>8</v>
      </c>
      <c r="H6" s="48" t="s">
        <v>7</v>
      </c>
      <c r="I6" s="235" t="s">
        <v>354</v>
      </c>
      <c r="J6" s="235" t="s">
        <v>354</v>
      </c>
      <c r="K6" s="184">
        <v>0.0</v>
      </c>
      <c r="L6" s="184" t="s">
        <v>354</v>
      </c>
      <c r="M6" s="265"/>
      <c r="N6" s="265"/>
      <c r="O6" s="184" t="s">
        <v>371</v>
      </c>
      <c r="P6" s="723">
        <v>0.0</v>
      </c>
      <c r="Q6" s="166" t="s">
        <v>356</v>
      </c>
      <c r="R6" s="49">
        <v>0.0</v>
      </c>
      <c r="S6" s="551" t="s">
        <v>354</v>
      </c>
      <c r="T6" s="551" t="s">
        <v>354</v>
      </c>
      <c r="U6" s="551" t="s">
        <v>354</v>
      </c>
      <c r="V6" s="49">
        <v>0.0</v>
      </c>
      <c r="W6" s="723">
        <v>0.0</v>
      </c>
      <c r="X6" s="551" t="s">
        <v>354</v>
      </c>
      <c r="Y6" s="551" t="s">
        <v>354</v>
      </c>
      <c r="Z6" s="49" t="s">
        <v>356</v>
      </c>
      <c r="AA6" s="166" t="s">
        <v>354</v>
      </c>
      <c r="AB6" s="49" t="s">
        <v>356</v>
      </c>
      <c r="AC6" s="49" t="s">
        <v>354</v>
      </c>
      <c r="AD6" s="729" t="s">
        <v>361</v>
      </c>
      <c r="AE6" s="729" t="s">
        <v>361</v>
      </c>
      <c r="AF6" s="730" t="s">
        <v>361</v>
      </c>
      <c r="AG6" s="730" t="s">
        <v>361</v>
      </c>
      <c r="AH6" s="726" t="s">
        <v>365</v>
      </c>
      <c r="AI6" s="731" t="s">
        <v>1602</v>
      </c>
      <c r="AJ6" s="367">
        <f t="shared" si="1"/>
        <v>1</v>
      </c>
      <c r="AN6" s="265"/>
      <c r="AO6" s="80">
        <v>0.0</v>
      </c>
      <c r="AP6" s="80">
        <v>0.0</v>
      </c>
      <c r="AQ6" s="224">
        <v>1.0</v>
      </c>
      <c r="AR6" s="224">
        <v>0.0</v>
      </c>
      <c r="AS6" s="80">
        <v>0.0</v>
      </c>
      <c r="AT6" s="224">
        <v>0.0</v>
      </c>
      <c r="AU6" s="80">
        <v>0.0</v>
      </c>
      <c r="AV6" s="80">
        <v>0.0</v>
      </c>
      <c r="AW6" s="363">
        <f t="shared" si="2"/>
        <v>1</v>
      </c>
      <c r="AX6" s="363">
        <f t="shared" si="3"/>
        <v>1</v>
      </c>
    </row>
    <row r="7">
      <c r="A7" s="235">
        <v>53.0</v>
      </c>
      <c r="B7" s="717" t="s">
        <v>216</v>
      </c>
      <c r="C7" s="702" t="s">
        <v>216</v>
      </c>
      <c r="D7" s="692" t="s">
        <v>764</v>
      </c>
      <c r="E7" s="545">
        <v>40939.0</v>
      </c>
      <c r="F7" s="47" t="s">
        <v>354</v>
      </c>
      <c r="G7" s="46" t="s">
        <v>67</v>
      </c>
      <c r="H7" s="63" t="s">
        <v>7</v>
      </c>
      <c r="I7" s="235" t="s">
        <v>354</v>
      </c>
      <c r="J7" s="235" t="s">
        <v>354</v>
      </c>
      <c r="K7" s="158">
        <v>3.0</v>
      </c>
      <c r="L7" s="158" t="s">
        <v>766</v>
      </c>
      <c r="M7" s="265"/>
      <c r="N7" s="265"/>
      <c r="O7" s="158" t="s">
        <v>600</v>
      </c>
      <c r="P7" s="723">
        <v>0.0</v>
      </c>
      <c r="Q7" s="481" t="s">
        <v>356</v>
      </c>
      <c r="R7" s="49">
        <v>0.0</v>
      </c>
      <c r="S7" s="551" t="s">
        <v>354</v>
      </c>
      <c r="T7" s="551" t="s">
        <v>354</v>
      </c>
      <c r="U7" s="551" t="s">
        <v>354</v>
      </c>
      <c r="V7" s="49">
        <v>0.0</v>
      </c>
      <c r="W7" s="723">
        <v>0.0</v>
      </c>
      <c r="X7" s="551" t="s">
        <v>354</v>
      </c>
      <c r="Y7" s="551" t="s">
        <v>354</v>
      </c>
      <c r="Z7" s="49" t="s">
        <v>356</v>
      </c>
      <c r="AA7" s="166" t="s">
        <v>354</v>
      </c>
      <c r="AB7" s="49" t="s">
        <v>356</v>
      </c>
      <c r="AC7" s="49" t="s">
        <v>354</v>
      </c>
      <c r="AD7" s="727" t="s">
        <v>356</v>
      </c>
      <c r="AE7" s="727" t="s">
        <v>354</v>
      </c>
      <c r="AF7" s="730" t="s">
        <v>361</v>
      </c>
      <c r="AG7" s="730" t="s">
        <v>361</v>
      </c>
      <c r="AH7" s="728" t="s">
        <v>356</v>
      </c>
      <c r="AI7" s="728" t="s">
        <v>354</v>
      </c>
      <c r="AJ7" s="46">
        <f t="shared" si="1"/>
        <v>0</v>
      </c>
      <c r="AK7" s="182"/>
      <c r="AL7" s="182"/>
      <c r="AM7" s="182"/>
      <c r="AN7" s="265"/>
      <c r="AO7" s="80">
        <v>0.0</v>
      </c>
      <c r="AP7" s="80">
        <v>0.0</v>
      </c>
      <c r="AQ7" s="80">
        <v>0.0</v>
      </c>
      <c r="AR7" s="224">
        <v>0.0</v>
      </c>
      <c r="AS7" s="80">
        <v>0.0</v>
      </c>
      <c r="AT7" s="224">
        <v>0.0</v>
      </c>
      <c r="AU7" s="80">
        <v>0.0</v>
      </c>
      <c r="AV7" s="80">
        <v>0.0</v>
      </c>
      <c r="AW7" s="182">
        <f t="shared" si="2"/>
        <v>0</v>
      </c>
      <c r="AX7" s="182">
        <f t="shared" si="3"/>
        <v>0</v>
      </c>
    </row>
    <row r="8">
      <c r="A8" s="235">
        <v>55.0</v>
      </c>
      <c r="B8" s="717" t="s">
        <v>225</v>
      </c>
      <c r="C8" s="702" t="s">
        <v>225</v>
      </c>
      <c r="D8" s="698" t="s">
        <v>789</v>
      </c>
      <c r="E8" s="545">
        <v>40939.0</v>
      </c>
      <c r="F8" s="47" t="s">
        <v>354</v>
      </c>
      <c r="G8" s="46" t="s">
        <v>67</v>
      </c>
      <c r="H8" s="48" t="s">
        <v>7</v>
      </c>
      <c r="I8" s="235" t="s">
        <v>354</v>
      </c>
      <c r="J8" s="235" t="s">
        <v>354</v>
      </c>
      <c r="K8" s="158">
        <v>3.0</v>
      </c>
      <c r="L8" s="158" t="s">
        <v>794</v>
      </c>
      <c r="M8" s="265"/>
      <c r="N8" s="265"/>
      <c r="O8" s="158" t="s">
        <v>600</v>
      </c>
      <c r="P8" s="723">
        <v>0.0</v>
      </c>
      <c r="Q8" s="481" t="s">
        <v>356</v>
      </c>
      <c r="R8" s="49">
        <v>0.0</v>
      </c>
      <c r="S8" s="551" t="s">
        <v>354</v>
      </c>
      <c r="T8" s="551" t="s">
        <v>354</v>
      </c>
      <c r="U8" s="551" t="s">
        <v>354</v>
      </c>
      <c r="V8" s="49">
        <v>0.0</v>
      </c>
      <c r="W8" s="723">
        <v>0.0</v>
      </c>
      <c r="X8" s="551" t="s">
        <v>354</v>
      </c>
      <c r="Y8" s="551" t="s">
        <v>354</v>
      </c>
      <c r="Z8" s="49" t="s">
        <v>356</v>
      </c>
      <c r="AA8" s="166" t="s">
        <v>354</v>
      </c>
      <c r="AB8" s="49" t="s">
        <v>356</v>
      </c>
      <c r="AC8" s="49" t="s">
        <v>354</v>
      </c>
      <c r="AD8" s="729" t="s">
        <v>361</v>
      </c>
      <c r="AE8" s="729" t="s">
        <v>361</v>
      </c>
      <c r="AF8" s="730" t="s">
        <v>361</v>
      </c>
      <c r="AG8" s="730" t="s">
        <v>361</v>
      </c>
      <c r="AH8" s="728" t="s">
        <v>356</v>
      </c>
      <c r="AI8" s="728" t="s">
        <v>354</v>
      </c>
      <c r="AJ8" s="46">
        <f t="shared" si="1"/>
        <v>0</v>
      </c>
      <c r="AN8" s="265"/>
      <c r="AO8" s="80">
        <v>0.0</v>
      </c>
      <c r="AP8" s="80">
        <v>0.0</v>
      </c>
      <c r="AQ8" s="80">
        <v>0.0</v>
      </c>
      <c r="AR8" s="224">
        <v>0.0</v>
      </c>
      <c r="AS8" s="80">
        <v>0.0</v>
      </c>
      <c r="AT8" s="224">
        <v>0.0</v>
      </c>
      <c r="AU8" s="80">
        <v>0.0</v>
      </c>
      <c r="AV8" s="80">
        <v>0.0</v>
      </c>
      <c r="AW8" s="182">
        <f t="shared" si="2"/>
        <v>0</v>
      </c>
      <c r="AX8" s="182">
        <f t="shared" si="3"/>
        <v>0</v>
      </c>
    </row>
    <row r="9">
      <c r="A9" s="235">
        <v>70.0</v>
      </c>
      <c r="B9" s="690" t="s">
        <v>42</v>
      </c>
      <c r="C9" s="184" t="s">
        <v>1672</v>
      </c>
      <c r="D9" s="687" t="s">
        <v>421</v>
      </c>
      <c r="E9" s="545">
        <v>40939.0</v>
      </c>
      <c r="F9" s="47" t="s">
        <v>354</v>
      </c>
      <c r="G9" s="46" t="s">
        <v>8</v>
      </c>
      <c r="H9" s="48" t="s">
        <v>7</v>
      </c>
      <c r="I9" s="235" t="s">
        <v>354</v>
      </c>
      <c r="J9" s="235" t="s">
        <v>354</v>
      </c>
      <c r="K9" s="184">
        <v>0.0</v>
      </c>
      <c r="L9" s="184" t="s">
        <v>354</v>
      </c>
      <c r="M9" s="265"/>
      <c r="N9" s="265"/>
      <c r="O9" s="184" t="s">
        <v>371</v>
      </c>
      <c r="P9" s="723">
        <v>0.0</v>
      </c>
      <c r="Q9" s="481" t="s">
        <v>356</v>
      </c>
      <c r="R9" s="49">
        <v>0.0</v>
      </c>
      <c r="S9" s="551" t="s">
        <v>354</v>
      </c>
      <c r="T9" s="551" t="s">
        <v>354</v>
      </c>
      <c r="U9" s="551" t="s">
        <v>354</v>
      </c>
      <c r="V9" s="49">
        <v>0.0</v>
      </c>
      <c r="W9" s="723">
        <v>0.0</v>
      </c>
      <c r="X9" s="551" t="s">
        <v>354</v>
      </c>
      <c r="Y9" s="551" t="s">
        <v>354</v>
      </c>
      <c r="Z9" s="49" t="s">
        <v>356</v>
      </c>
      <c r="AA9" s="166" t="s">
        <v>354</v>
      </c>
      <c r="AB9" s="49" t="s">
        <v>356</v>
      </c>
      <c r="AC9" s="49" t="s">
        <v>354</v>
      </c>
      <c r="AD9" s="727" t="s">
        <v>356</v>
      </c>
      <c r="AE9" s="727" t="s">
        <v>354</v>
      </c>
      <c r="AF9" s="730" t="s">
        <v>361</v>
      </c>
      <c r="AG9" s="730" t="s">
        <v>361</v>
      </c>
      <c r="AH9" s="728" t="s">
        <v>356</v>
      </c>
      <c r="AI9" s="728" t="s">
        <v>354</v>
      </c>
      <c r="AJ9" s="46">
        <f t="shared" si="1"/>
        <v>0</v>
      </c>
      <c r="AK9" s="182"/>
      <c r="AL9" s="182"/>
      <c r="AM9" s="182"/>
      <c r="AN9" s="265"/>
      <c r="AO9" s="80">
        <v>0.0</v>
      </c>
      <c r="AP9" s="80">
        <v>0.0</v>
      </c>
      <c r="AQ9" s="80">
        <v>0.0</v>
      </c>
      <c r="AR9" s="224">
        <v>0.0</v>
      </c>
      <c r="AS9" s="80">
        <v>0.0</v>
      </c>
      <c r="AT9" s="224">
        <v>0.0</v>
      </c>
      <c r="AU9" s="80">
        <v>0.0</v>
      </c>
      <c r="AV9" s="80">
        <v>0.0</v>
      </c>
      <c r="AW9" s="182">
        <f t="shared" si="2"/>
        <v>0</v>
      </c>
      <c r="AX9" s="182">
        <f t="shared" si="3"/>
        <v>0</v>
      </c>
    </row>
    <row r="10">
      <c r="A10" s="235">
        <v>75.0</v>
      </c>
      <c r="B10" s="690" t="s">
        <v>6</v>
      </c>
      <c r="C10" s="271" t="s">
        <v>6</v>
      </c>
      <c r="D10" s="687" t="s">
        <v>1599</v>
      </c>
      <c r="E10" s="545">
        <v>40939.0</v>
      </c>
      <c r="F10" s="47" t="s">
        <v>354</v>
      </c>
      <c r="G10" s="46" t="s">
        <v>8</v>
      </c>
      <c r="H10" s="48" t="s">
        <v>7</v>
      </c>
      <c r="I10" s="235" t="s">
        <v>354</v>
      </c>
      <c r="J10" s="235" t="s">
        <v>354</v>
      </c>
      <c r="K10" s="184">
        <v>0.0</v>
      </c>
      <c r="L10" s="184" t="s">
        <v>354</v>
      </c>
      <c r="M10" s="265"/>
      <c r="N10" s="265"/>
      <c r="O10" s="184" t="s">
        <v>371</v>
      </c>
      <c r="P10" s="723">
        <v>0.0</v>
      </c>
      <c r="Q10" s="42" t="s">
        <v>357</v>
      </c>
      <c r="R10" s="49">
        <v>0.0</v>
      </c>
      <c r="S10" s="551" t="s">
        <v>354</v>
      </c>
      <c r="T10" s="551" t="s">
        <v>354</v>
      </c>
      <c r="U10" s="551" t="s">
        <v>354</v>
      </c>
      <c r="V10" s="63">
        <v>0.0</v>
      </c>
      <c r="W10" s="723">
        <v>0.0</v>
      </c>
      <c r="X10" s="551" t="s">
        <v>354</v>
      </c>
      <c r="Y10" s="551" t="s">
        <v>354</v>
      </c>
      <c r="Z10" s="49" t="s">
        <v>356</v>
      </c>
      <c r="AA10" s="166" t="s">
        <v>354</v>
      </c>
      <c r="AB10" s="49" t="s">
        <v>356</v>
      </c>
      <c r="AC10" s="49" t="s">
        <v>354</v>
      </c>
      <c r="AD10" s="724" t="s">
        <v>365</v>
      </c>
      <c r="AE10" s="26" t="s">
        <v>1790</v>
      </c>
      <c r="AF10" s="730" t="s">
        <v>361</v>
      </c>
      <c r="AG10" s="730" t="s">
        <v>361</v>
      </c>
      <c r="AH10" s="726" t="s">
        <v>365</v>
      </c>
      <c r="AI10" s="42" t="s">
        <v>1791</v>
      </c>
      <c r="AJ10" s="357">
        <f t="shared" si="1"/>
        <v>2</v>
      </c>
      <c r="AN10" s="265"/>
      <c r="AO10" s="80">
        <v>0.0</v>
      </c>
      <c r="AP10" s="80">
        <v>0.0</v>
      </c>
      <c r="AQ10" s="80">
        <v>0.0</v>
      </c>
      <c r="AR10" s="224">
        <v>0.0</v>
      </c>
      <c r="AS10" s="80">
        <v>0.0</v>
      </c>
      <c r="AT10" s="224">
        <v>2.0</v>
      </c>
      <c r="AU10" s="80">
        <v>0.0</v>
      </c>
      <c r="AV10" s="80">
        <v>0.0</v>
      </c>
      <c r="AW10" s="358">
        <f t="shared" si="2"/>
        <v>2</v>
      </c>
      <c r="AX10" s="358">
        <f t="shared" si="3"/>
        <v>1</v>
      </c>
    </row>
    <row r="11">
      <c r="A11" s="157" t="s">
        <v>1020</v>
      </c>
      <c r="B11" s="184" t="s">
        <v>988</v>
      </c>
      <c r="C11" s="41" t="s">
        <v>988</v>
      </c>
      <c r="D11" s="687" t="s">
        <v>985</v>
      </c>
      <c r="E11" s="545">
        <v>40939.0</v>
      </c>
      <c r="F11" s="47" t="s">
        <v>354</v>
      </c>
      <c r="G11" s="47" t="s">
        <v>354</v>
      </c>
      <c r="H11" s="47" t="s">
        <v>354</v>
      </c>
      <c r="I11" s="47" t="s">
        <v>354</v>
      </c>
      <c r="J11" s="47" t="s">
        <v>354</v>
      </c>
      <c r="K11" s="184">
        <v>0.0</v>
      </c>
      <c r="L11" s="184" t="s">
        <v>354</v>
      </c>
      <c r="M11" s="265"/>
      <c r="N11" s="265"/>
      <c r="O11" s="184" t="s">
        <v>371</v>
      </c>
      <c r="P11" s="723">
        <v>0.0</v>
      </c>
      <c r="Q11" s="157" t="s">
        <v>354</v>
      </c>
      <c r="R11" s="723">
        <v>0.0</v>
      </c>
      <c r="S11" s="551" t="s">
        <v>354</v>
      </c>
      <c r="T11" s="551" t="s">
        <v>354</v>
      </c>
      <c r="U11" s="551" t="s">
        <v>354</v>
      </c>
      <c r="V11" s="723">
        <v>0.0</v>
      </c>
      <c r="W11" s="723">
        <v>0.0</v>
      </c>
      <c r="X11" s="551" t="s">
        <v>354</v>
      </c>
      <c r="Y11" s="551" t="s">
        <v>354</v>
      </c>
      <c r="Z11" s="157" t="s">
        <v>354</v>
      </c>
      <c r="AA11" s="157" t="s">
        <v>354</v>
      </c>
      <c r="AB11" s="157" t="s">
        <v>354</v>
      </c>
      <c r="AC11" s="157" t="s">
        <v>354</v>
      </c>
      <c r="AD11" s="732" t="s">
        <v>356</v>
      </c>
      <c r="AE11" s="732" t="s">
        <v>354</v>
      </c>
      <c r="AF11" s="675" t="s">
        <v>356</v>
      </c>
      <c r="AG11" s="675" t="s">
        <v>354</v>
      </c>
      <c r="AH11" s="733" t="s">
        <v>356</v>
      </c>
      <c r="AI11" s="733" t="s">
        <v>354</v>
      </c>
      <c r="AJ11" s="46">
        <f t="shared" si="1"/>
        <v>0</v>
      </c>
      <c r="AN11" s="265"/>
      <c r="AO11" s="80">
        <v>0.0</v>
      </c>
      <c r="AP11" s="80">
        <v>0.0</v>
      </c>
      <c r="AQ11" s="80">
        <v>0.0</v>
      </c>
      <c r="AR11" s="224">
        <v>0.0</v>
      </c>
      <c r="AS11" s="80">
        <v>0.0</v>
      </c>
      <c r="AT11" s="224">
        <v>0.0</v>
      </c>
      <c r="AU11" s="80">
        <v>0.0</v>
      </c>
      <c r="AV11" s="80">
        <v>0.0</v>
      </c>
      <c r="AW11" s="182">
        <f t="shared" si="2"/>
        <v>0</v>
      </c>
      <c r="AX11" s="182">
        <f t="shared" si="3"/>
        <v>0</v>
      </c>
    </row>
    <row r="12">
      <c r="A12" s="157" t="s">
        <v>997</v>
      </c>
      <c r="B12" s="158" t="s">
        <v>135</v>
      </c>
      <c r="C12" s="702" t="s">
        <v>135</v>
      </c>
      <c r="D12" s="692" t="s">
        <v>596</v>
      </c>
      <c r="E12" s="545">
        <v>40939.0</v>
      </c>
      <c r="F12" s="47" t="s">
        <v>354</v>
      </c>
      <c r="G12" s="47" t="s">
        <v>354</v>
      </c>
      <c r="H12" s="47" t="s">
        <v>354</v>
      </c>
      <c r="I12" s="47" t="s">
        <v>354</v>
      </c>
      <c r="J12" s="47" t="s">
        <v>354</v>
      </c>
      <c r="K12" s="158">
        <v>3.0</v>
      </c>
      <c r="L12" s="158" t="s">
        <v>601</v>
      </c>
      <c r="M12" s="265"/>
      <c r="N12" s="265"/>
      <c r="O12" s="158" t="s">
        <v>600</v>
      </c>
      <c r="P12" s="723">
        <v>0.0</v>
      </c>
      <c r="Q12" s="157" t="s">
        <v>354</v>
      </c>
      <c r="R12" s="723">
        <v>0.0</v>
      </c>
      <c r="S12" s="551" t="s">
        <v>354</v>
      </c>
      <c r="T12" s="551" t="s">
        <v>354</v>
      </c>
      <c r="U12" s="551" t="s">
        <v>354</v>
      </c>
      <c r="V12" s="723">
        <v>0.0</v>
      </c>
      <c r="W12" s="723">
        <v>0.0</v>
      </c>
      <c r="X12" s="551" t="s">
        <v>354</v>
      </c>
      <c r="Y12" s="551" t="s">
        <v>354</v>
      </c>
      <c r="Z12" s="157" t="s">
        <v>354</v>
      </c>
      <c r="AA12" s="157" t="s">
        <v>354</v>
      </c>
      <c r="AB12" s="157" t="s">
        <v>354</v>
      </c>
      <c r="AC12" s="157" t="s">
        <v>354</v>
      </c>
      <c r="AD12" s="732" t="s">
        <v>356</v>
      </c>
      <c r="AE12" s="732" t="s">
        <v>354</v>
      </c>
      <c r="AF12" s="675" t="s">
        <v>356</v>
      </c>
      <c r="AG12" s="675" t="s">
        <v>354</v>
      </c>
      <c r="AH12" s="733" t="s">
        <v>356</v>
      </c>
      <c r="AI12" s="733" t="s">
        <v>354</v>
      </c>
      <c r="AJ12" s="46">
        <f t="shared" si="1"/>
        <v>0</v>
      </c>
      <c r="AN12" s="265"/>
      <c r="AO12" s="80">
        <v>0.0</v>
      </c>
      <c r="AP12" s="80">
        <v>0.0</v>
      </c>
      <c r="AQ12" s="80">
        <v>0.0</v>
      </c>
      <c r="AR12" s="224">
        <v>0.0</v>
      </c>
      <c r="AS12" s="80">
        <v>0.0</v>
      </c>
      <c r="AT12" s="224">
        <v>0.0</v>
      </c>
      <c r="AU12" s="80">
        <v>0.0</v>
      </c>
      <c r="AV12" s="80">
        <v>0.0</v>
      </c>
      <c r="AW12" s="182">
        <f t="shared" si="2"/>
        <v>0</v>
      </c>
      <c r="AX12" s="182">
        <f t="shared" si="3"/>
        <v>0</v>
      </c>
    </row>
    <row r="13">
      <c r="A13" s="157" t="s">
        <v>981</v>
      </c>
      <c r="B13" s="158" t="s">
        <v>994</v>
      </c>
      <c r="C13" s="78" t="s">
        <v>994</v>
      </c>
      <c r="D13" s="692" t="s">
        <v>991</v>
      </c>
      <c r="E13" s="545">
        <v>40939.0</v>
      </c>
      <c r="F13" s="47" t="s">
        <v>354</v>
      </c>
      <c r="G13" s="47" t="s">
        <v>354</v>
      </c>
      <c r="H13" s="47" t="s">
        <v>354</v>
      </c>
      <c r="I13" s="47" t="s">
        <v>354</v>
      </c>
      <c r="J13" s="47" t="s">
        <v>354</v>
      </c>
      <c r="K13" s="158">
        <v>2.0</v>
      </c>
      <c r="L13" s="158" t="s">
        <v>993</v>
      </c>
      <c r="M13" s="265"/>
      <c r="N13" s="265"/>
      <c r="O13" s="158" t="s">
        <v>398</v>
      </c>
      <c r="P13" s="723">
        <v>0.0</v>
      </c>
      <c r="Q13" s="157" t="s">
        <v>354</v>
      </c>
      <c r="R13" s="723">
        <v>0.0</v>
      </c>
      <c r="S13" s="551" t="s">
        <v>354</v>
      </c>
      <c r="T13" s="551" t="s">
        <v>354</v>
      </c>
      <c r="U13" s="551" t="s">
        <v>354</v>
      </c>
      <c r="V13" s="723">
        <v>0.0</v>
      </c>
      <c r="W13" s="723">
        <v>0.0</v>
      </c>
      <c r="X13" s="551" t="s">
        <v>354</v>
      </c>
      <c r="Y13" s="551" t="s">
        <v>354</v>
      </c>
      <c r="Z13" s="157" t="s">
        <v>354</v>
      </c>
      <c r="AA13" s="157" t="s">
        <v>354</v>
      </c>
      <c r="AB13" s="157" t="s">
        <v>354</v>
      </c>
      <c r="AC13" s="157" t="s">
        <v>354</v>
      </c>
      <c r="AD13" s="732" t="s">
        <v>356</v>
      </c>
      <c r="AE13" s="732" t="s">
        <v>354</v>
      </c>
      <c r="AF13" s="675" t="s">
        <v>356</v>
      </c>
      <c r="AG13" s="675" t="s">
        <v>354</v>
      </c>
      <c r="AH13" s="733" t="s">
        <v>356</v>
      </c>
      <c r="AI13" s="733" t="s">
        <v>354</v>
      </c>
      <c r="AJ13" s="46">
        <f t="shared" si="1"/>
        <v>0</v>
      </c>
      <c r="AN13" s="265"/>
      <c r="AO13" s="80">
        <v>0.0</v>
      </c>
      <c r="AP13" s="80">
        <v>0.0</v>
      </c>
      <c r="AQ13" s="80">
        <v>0.0</v>
      </c>
      <c r="AR13" s="224">
        <v>0.0</v>
      </c>
      <c r="AS13" s="80">
        <v>0.0</v>
      </c>
      <c r="AT13" s="224">
        <v>0.0</v>
      </c>
      <c r="AU13" s="80">
        <v>0.0</v>
      </c>
      <c r="AV13" s="80">
        <v>0.0</v>
      </c>
      <c r="AW13" s="182">
        <f t="shared" si="2"/>
        <v>0</v>
      </c>
      <c r="AX13" s="182">
        <f t="shared" si="3"/>
        <v>0</v>
      </c>
    </row>
    <row r="14">
      <c r="A14" s="157" t="s">
        <v>1025</v>
      </c>
      <c r="B14" s="158" t="s">
        <v>231</v>
      </c>
      <c r="C14" s="702" t="s">
        <v>231</v>
      </c>
      <c r="D14" s="692" t="s">
        <v>808</v>
      </c>
      <c r="E14" s="545">
        <v>40939.0</v>
      </c>
      <c r="F14" s="47" t="s">
        <v>354</v>
      </c>
      <c r="G14" s="47" t="s">
        <v>354</v>
      </c>
      <c r="H14" s="47" t="s">
        <v>354</v>
      </c>
      <c r="I14" s="47" t="s">
        <v>354</v>
      </c>
      <c r="J14" s="47" t="s">
        <v>354</v>
      </c>
      <c r="K14" s="158">
        <v>2.0</v>
      </c>
      <c r="L14" s="158" t="s">
        <v>815</v>
      </c>
      <c r="M14" s="265"/>
      <c r="N14" s="265"/>
      <c r="O14" s="158" t="s">
        <v>398</v>
      </c>
      <c r="P14" s="723">
        <v>0.0</v>
      </c>
      <c r="Q14" s="157" t="s">
        <v>354</v>
      </c>
      <c r="R14" s="723">
        <v>0.0</v>
      </c>
      <c r="S14" s="551" t="s">
        <v>354</v>
      </c>
      <c r="T14" s="551" t="s">
        <v>354</v>
      </c>
      <c r="U14" s="551" t="s">
        <v>354</v>
      </c>
      <c r="V14" s="723">
        <v>0.0</v>
      </c>
      <c r="W14" s="723">
        <v>0.0</v>
      </c>
      <c r="X14" s="551" t="s">
        <v>354</v>
      </c>
      <c r="Y14" s="551" t="s">
        <v>354</v>
      </c>
      <c r="Z14" s="157" t="s">
        <v>354</v>
      </c>
      <c r="AA14" s="157" t="s">
        <v>354</v>
      </c>
      <c r="AB14" s="157" t="s">
        <v>354</v>
      </c>
      <c r="AC14" s="157" t="s">
        <v>354</v>
      </c>
      <c r="AD14" s="732" t="s">
        <v>356</v>
      </c>
      <c r="AE14" s="732" t="s">
        <v>354</v>
      </c>
      <c r="AF14" s="675" t="s">
        <v>356</v>
      </c>
      <c r="AG14" s="675" t="s">
        <v>354</v>
      </c>
      <c r="AH14" s="733" t="s">
        <v>356</v>
      </c>
      <c r="AI14" s="733" t="s">
        <v>354</v>
      </c>
      <c r="AJ14" s="46">
        <f t="shared" si="1"/>
        <v>0</v>
      </c>
      <c r="AN14" s="265"/>
      <c r="AO14" s="80">
        <v>0.0</v>
      </c>
      <c r="AP14" s="80">
        <v>0.0</v>
      </c>
      <c r="AQ14" s="80">
        <v>0.0</v>
      </c>
      <c r="AR14" s="224">
        <v>0.0</v>
      </c>
      <c r="AS14" s="80">
        <v>0.0</v>
      </c>
      <c r="AT14" s="224">
        <v>0.0</v>
      </c>
      <c r="AU14" s="80">
        <v>0.0</v>
      </c>
      <c r="AV14" s="80">
        <v>0.0</v>
      </c>
      <c r="AW14" s="182">
        <f t="shared" si="2"/>
        <v>0</v>
      </c>
      <c r="AX14" s="182">
        <f t="shared" si="3"/>
        <v>0</v>
      </c>
    </row>
    <row r="15">
      <c r="A15" s="157" t="s">
        <v>1034</v>
      </c>
      <c r="B15" s="184" t="s">
        <v>168</v>
      </c>
      <c r="C15" s="271" t="s">
        <v>168</v>
      </c>
      <c r="D15" s="687" t="s">
        <v>656</v>
      </c>
      <c r="E15" s="545">
        <v>40939.0</v>
      </c>
      <c r="F15" s="47" t="s">
        <v>354</v>
      </c>
      <c r="G15" s="47" t="s">
        <v>354</v>
      </c>
      <c r="H15" s="47" t="s">
        <v>354</v>
      </c>
      <c r="I15" s="47" t="s">
        <v>354</v>
      </c>
      <c r="J15" s="47" t="s">
        <v>354</v>
      </c>
      <c r="K15" s="184">
        <v>0.0</v>
      </c>
      <c r="L15" s="184" t="s">
        <v>354</v>
      </c>
      <c r="M15" s="265"/>
      <c r="N15" s="265"/>
      <c r="O15" s="184" t="s">
        <v>371</v>
      </c>
      <c r="P15" s="723">
        <v>0.0</v>
      </c>
      <c r="Q15" s="157" t="s">
        <v>354</v>
      </c>
      <c r="R15" s="723">
        <v>0.0</v>
      </c>
      <c r="S15" s="551" t="s">
        <v>354</v>
      </c>
      <c r="T15" s="551" t="s">
        <v>354</v>
      </c>
      <c r="U15" s="551" t="s">
        <v>354</v>
      </c>
      <c r="V15" s="723">
        <v>0.0</v>
      </c>
      <c r="W15" s="723">
        <v>0.0</v>
      </c>
      <c r="X15" s="551" t="s">
        <v>354</v>
      </c>
      <c r="Y15" s="551" t="s">
        <v>354</v>
      </c>
      <c r="Z15" s="157" t="s">
        <v>354</v>
      </c>
      <c r="AA15" s="157" t="s">
        <v>354</v>
      </c>
      <c r="AB15" s="157" t="s">
        <v>354</v>
      </c>
      <c r="AC15" s="157" t="s">
        <v>354</v>
      </c>
      <c r="AD15" s="732" t="s">
        <v>356</v>
      </c>
      <c r="AE15" s="732" t="s">
        <v>354</v>
      </c>
      <c r="AF15" s="675" t="s">
        <v>356</v>
      </c>
      <c r="AG15" s="675" t="s">
        <v>354</v>
      </c>
      <c r="AH15" s="733" t="s">
        <v>356</v>
      </c>
      <c r="AI15" s="733" t="s">
        <v>354</v>
      </c>
      <c r="AJ15" s="46">
        <f t="shared" si="1"/>
        <v>0</v>
      </c>
      <c r="AN15" s="265"/>
      <c r="AO15" s="80">
        <v>0.0</v>
      </c>
      <c r="AP15" s="80">
        <v>0.0</v>
      </c>
      <c r="AQ15" s="80">
        <v>0.0</v>
      </c>
      <c r="AR15" s="224">
        <v>0.0</v>
      </c>
      <c r="AS15" s="80">
        <v>0.0</v>
      </c>
      <c r="AT15" s="224">
        <v>0.0</v>
      </c>
      <c r="AU15" s="80">
        <v>0.0</v>
      </c>
      <c r="AV15" s="80">
        <v>0.0</v>
      </c>
      <c r="AW15" s="182">
        <f t="shared" si="2"/>
        <v>0</v>
      </c>
      <c r="AX15" s="182">
        <f t="shared" si="3"/>
        <v>0</v>
      </c>
    </row>
    <row r="16">
      <c r="A16" s="157" t="s">
        <v>1792</v>
      </c>
      <c r="B16" s="158" t="s">
        <v>867</v>
      </c>
      <c r="C16" s="78" t="s">
        <v>863</v>
      </c>
      <c r="D16" s="692" t="s">
        <v>864</v>
      </c>
      <c r="E16" s="545">
        <v>40939.0</v>
      </c>
      <c r="F16" s="47" t="s">
        <v>354</v>
      </c>
      <c r="G16" s="47" t="s">
        <v>354</v>
      </c>
      <c r="H16" s="47" t="s">
        <v>354</v>
      </c>
      <c r="I16" s="47" t="s">
        <v>354</v>
      </c>
      <c r="J16" s="47" t="s">
        <v>354</v>
      </c>
      <c r="K16" s="158">
        <v>3.0</v>
      </c>
      <c r="L16" s="158" t="s">
        <v>868</v>
      </c>
      <c r="M16" s="265"/>
      <c r="N16" s="265"/>
      <c r="O16" s="158" t="s">
        <v>600</v>
      </c>
      <c r="P16" s="723">
        <v>0.0</v>
      </c>
      <c r="Q16" s="157" t="s">
        <v>354</v>
      </c>
      <c r="R16" s="723">
        <v>0.0</v>
      </c>
      <c r="S16" s="551" t="s">
        <v>354</v>
      </c>
      <c r="T16" s="551" t="s">
        <v>354</v>
      </c>
      <c r="U16" s="551" t="s">
        <v>354</v>
      </c>
      <c r="V16" s="723">
        <v>0.0</v>
      </c>
      <c r="W16" s="723">
        <v>0.0</v>
      </c>
      <c r="X16" s="551" t="s">
        <v>354</v>
      </c>
      <c r="Y16" s="551" t="s">
        <v>354</v>
      </c>
      <c r="Z16" s="157" t="s">
        <v>354</v>
      </c>
      <c r="AA16" s="157" t="s">
        <v>354</v>
      </c>
      <c r="AB16" s="157" t="s">
        <v>354</v>
      </c>
      <c r="AC16" s="157" t="s">
        <v>354</v>
      </c>
      <c r="AD16" s="732" t="s">
        <v>356</v>
      </c>
      <c r="AE16" s="732" t="s">
        <v>354</v>
      </c>
      <c r="AF16" s="734" t="s">
        <v>365</v>
      </c>
      <c r="AG16" s="181" t="s">
        <v>389</v>
      </c>
      <c r="AH16" s="735" t="s">
        <v>365</v>
      </c>
      <c r="AI16" s="181" t="s">
        <v>389</v>
      </c>
      <c r="AJ16" s="357">
        <f t="shared" si="1"/>
        <v>2</v>
      </c>
      <c r="AN16" s="265"/>
      <c r="AO16" s="224">
        <v>2.0</v>
      </c>
      <c r="AP16" s="80">
        <v>0.0</v>
      </c>
      <c r="AQ16" s="80">
        <v>0.0</v>
      </c>
      <c r="AR16" s="224">
        <v>0.0</v>
      </c>
      <c r="AS16" s="80">
        <v>0.0</v>
      </c>
      <c r="AT16" s="224">
        <v>0.0</v>
      </c>
      <c r="AU16" s="80">
        <v>0.0</v>
      </c>
      <c r="AV16" s="80">
        <v>0.0</v>
      </c>
      <c r="AW16" s="358">
        <f t="shared" si="2"/>
        <v>2</v>
      </c>
      <c r="AX16" s="358">
        <f t="shared" si="3"/>
        <v>1</v>
      </c>
    </row>
    <row r="17">
      <c r="A17" s="157" t="s">
        <v>1043</v>
      </c>
      <c r="B17" s="184" t="s">
        <v>141</v>
      </c>
      <c r="C17" s="271" t="s">
        <v>141</v>
      </c>
      <c r="D17" s="687" t="s">
        <v>609</v>
      </c>
      <c r="E17" s="545">
        <v>40939.0</v>
      </c>
      <c r="F17" s="47" t="s">
        <v>354</v>
      </c>
      <c r="G17" s="47" t="s">
        <v>354</v>
      </c>
      <c r="H17" s="47" t="s">
        <v>354</v>
      </c>
      <c r="I17" s="47" t="s">
        <v>354</v>
      </c>
      <c r="J17" s="47" t="s">
        <v>354</v>
      </c>
      <c r="K17" s="184">
        <v>0.0</v>
      </c>
      <c r="L17" s="184" t="s">
        <v>354</v>
      </c>
      <c r="M17" s="265"/>
      <c r="N17" s="265"/>
      <c r="O17" s="184" t="s">
        <v>371</v>
      </c>
      <c r="P17" s="723">
        <v>0.0</v>
      </c>
      <c r="Q17" s="157" t="s">
        <v>354</v>
      </c>
      <c r="R17" s="723">
        <v>0.0</v>
      </c>
      <c r="S17" s="551" t="s">
        <v>354</v>
      </c>
      <c r="T17" s="551" t="s">
        <v>354</v>
      </c>
      <c r="U17" s="551" t="s">
        <v>354</v>
      </c>
      <c r="V17" s="723">
        <v>0.0</v>
      </c>
      <c r="W17" s="723">
        <v>0.0</v>
      </c>
      <c r="X17" s="551" t="s">
        <v>354</v>
      </c>
      <c r="Y17" s="551" t="s">
        <v>354</v>
      </c>
      <c r="Z17" s="157" t="s">
        <v>354</v>
      </c>
      <c r="AA17" s="157" t="s">
        <v>354</v>
      </c>
      <c r="AB17" s="157" t="s">
        <v>354</v>
      </c>
      <c r="AC17" s="157" t="s">
        <v>354</v>
      </c>
      <c r="AD17" s="732" t="s">
        <v>356</v>
      </c>
      <c r="AE17" s="732" t="s">
        <v>354</v>
      </c>
      <c r="AF17" s="675" t="s">
        <v>356</v>
      </c>
      <c r="AG17" s="675" t="s">
        <v>354</v>
      </c>
      <c r="AH17" s="733" t="s">
        <v>356</v>
      </c>
      <c r="AI17" s="733" t="s">
        <v>354</v>
      </c>
      <c r="AJ17" s="46">
        <f t="shared" si="1"/>
        <v>0</v>
      </c>
      <c r="AN17" s="265"/>
      <c r="AO17" s="80">
        <v>0.0</v>
      </c>
      <c r="AP17" s="80">
        <v>0.0</v>
      </c>
      <c r="AQ17" s="80">
        <v>0.0</v>
      </c>
      <c r="AR17" s="224">
        <v>0.0</v>
      </c>
      <c r="AS17" s="80">
        <v>0.0</v>
      </c>
      <c r="AT17" s="224">
        <v>0.0</v>
      </c>
      <c r="AU17" s="80">
        <v>0.0</v>
      </c>
      <c r="AV17" s="80">
        <v>0.0</v>
      </c>
      <c r="AW17" s="182">
        <f t="shared" si="2"/>
        <v>0</v>
      </c>
      <c r="AX17" s="182">
        <f t="shared" si="3"/>
        <v>0</v>
      </c>
    </row>
    <row r="18">
      <c r="A18" s="157" t="s">
        <v>1039</v>
      </c>
      <c r="B18" s="157" t="s">
        <v>1022</v>
      </c>
      <c r="C18" s="157" t="s">
        <v>1022</v>
      </c>
      <c r="D18" s="273" t="s">
        <v>1022</v>
      </c>
      <c r="E18" s="545">
        <v>40939.0</v>
      </c>
      <c r="F18" s="47" t="s">
        <v>354</v>
      </c>
      <c r="G18" s="47" t="s">
        <v>354</v>
      </c>
      <c r="H18" s="47" t="s">
        <v>354</v>
      </c>
      <c r="I18" s="47" t="s">
        <v>354</v>
      </c>
      <c r="J18" s="47" t="s">
        <v>354</v>
      </c>
      <c r="K18" s="47" t="s">
        <v>354</v>
      </c>
      <c r="L18" s="47"/>
      <c r="M18" s="47" t="s">
        <v>354</v>
      </c>
      <c r="N18" s="235"/>
      <c r="O18" s="235" t="s">
        <v>354</v>
      </c>
      <c r="P18" s="154">
        <v>38.2992261667104</v>
      </c>
      <c r="Q18" s="157" t="s">
        <v>354</v>
      </c>
      <c r="R18" s="723">
        <v>0.0</v>
      </c>
      <c r="S18" s="551" t="s">
        <v>354</v>
      </c>
      <c r="T18" s="551" t="s">
        <v>354</v>
      </c>
      <c r="U18" s="551" t="s">
        <v>354</v>
      </c>
      <c r="V18" s="723">
        <v>0.0</v>
      </c>
      <c r="W18" s="723">
        <v>0.0</v>
      </c>
      <c r="X18" s="551" t="s">
        <v>354</v>
      </c>
      <c r="Y18" s="551" t="s">
        <v>354</v>
      </c>
      <c r="Z18" s="157" t="s">
        <v>354</v>
      </c>
      <c r="AA18" s="157" t="s">
        <v>354</v>
      </c>
      <c r="AB18" s="157" t="s">
        <v>354</v>
      </c>
      <c r="AC18" s="157" t="s">
        <v>354</v>
      </c>
      <c r="AD18" s="724" t="s">
        <v>365</v>
      </c>
      <c r="AE18" s="181" t="s">
        <v>389</v>
      </c>
      <c r="AF18" s="730" t="s">
        <v>361</v>
      </c>
      <c r="AG18" s="730" t="s">
        <v>361</v>
      </c>
      <c r="AH18" s="735" t="s">
        <v>365</v>
      </c>
      <c r="AI18" s="181" t="s">
        <v>389</v>
      </c>
      <c r="AJ18" s="357">
        <f t="shared" si="1"/>
        <v>3</v>
      </c>
      <c r="AN18" s="265"/>
      <c r="AO18" s="224">
        <v>2.0</v>
      </c>
      <c r="AP18" s="80">
        <v>0.0</v>
      </c>
      <c r="AQ18" s="80">
        <v>0.0</v>
      </c>
      <c r="AR18" s="224">
        <v>0.0</v>
      </c>
      <c r="AS18" s="80">
        <v>0.0</v>
      </c>
      <c r="AT18" s="224">
        <v>0.0</v>
      </c>
      <c r="AU18" s="80">
        <v>0.0</v>
      </c>
      <c r="AV18" s="80">
        <v>0.0</v>
      </c>
      <c r="AW18" s="358">
        <f t="shared" si="2"/>
        <v>2</v>
      </c>
      <c r="AX18" s="358">
        <f t="shared" si="3"/>
        <v>1</v>
      </c>
    </row>
    <row r="19">
      <c r="A19" s="157" t="s">
        <v>1015</v>
      </c>
      <c r="B19" s="184" t="s">
        <v>496</v>
      </c>
      <c r="C19" s="41" t="s">
        <v>488</v>
      </c>
      <c r="D19" s="687" t="s">
        <v>489</v>
      </c>
      <c r="E19" s="545">
        <v>40939.0</v>
      </c>
      <c r="F19" s="47" t="s">
        <v>354</v>
      </c>
      <c r="G19" s="47" t="s">
        <v>354</v>
      </c>
      <c r="H19" s="47" t="s">
        <v>354</v>
      </c>
      <c r="I19" s="47" t="s">
        <v>354</v>
      </c>
      <c r="J19" s="47" t="s">
        <v>354</v>
      </c>
      <c r="K19" s="184">
        <v>0.0</v>
      </c>
      <c r="L19" s="184" t="s">
        <v>354</v>
      </c>
      <c r="M19" s="265"/>
      <c r="N19" s="265"/>
      <c r="O19" s="184" t="s">
        <v>371</v>
      </c>
      <c r="P19" s="154">
        <v>34.5377524754829</v>
      </c>
      <c r="Q19" s="157" t="s">
        <v>354</v>
      </c>
      <c r="R19" s="723">
        <v>0.0</v>
      </c>
      <c r="S19" s="551" t="s">
        <v>354</v>
      </c>
      <c r="T19" s="551" t="s">
        <v>354</v>
      </c>
      <c r="U19" s="551" t="s">
        <v>354</v>
      </c>
      <c r="V19" s="723">
        <v>0.0</v>
      </c>
      <c r="W19" s="723">
        <v>0.0</v>
      </c>
      <c r="X19" s="551" t="s">
        <v>354</v>
      </c>
      <c r="Y19" s="551" t="s">
        <v>354</v>
      </c>
      <c r="Z19" s="157" t="s">
        <v>354</v>
      </c>
      <c r="AA19" s="157" t="s">
        <v>354</v>
      </c>
      <c r="AB19" s="157" t="s">
        <v>354</v>
      </c>
      <c r="AC19" s="157" t="s">
        <v>354</v>
      </c>
      <c r="AD19" s="729" t="s">
        <v>361</v>
      </c>
      <c r="AE19" s="729" t="s">
        <v>361</v>
      </c>
      <c r="AF19" s="734" t="s">
        <v>365</v>
      </c>
      <c r="AG19" s="315" t="s">
        <v>420</v>
      </c>
      <c r="AH19" s="726" t="s">
        <v>365</v>
      </c>
      <c r="AI19" s="44" t="s">
        <v>420</v>
      </c>
      <c r="AJ19" s="357">
        <f t="shared" si="1"/>
        <v>3</v>
      </c>
      <c r="AN19" s="265"/>
      <c r="AO19" s="80">
        <v>0.0</v>
      </c>
      <c r="AP19" s="224">
        <v>2.0</v>
      </c>
      <c r="AQ19" s="80">
        <v>0.0</v>
      </c>
      <c r="AR19" s="224">
        <v>0.0</v>
      </c>
      <c r="AS19" s="80">
        <v>0.0</v>
      </c>
      <c r="AT19" s="224">
        <v>0.0</v>
      </c>
      <c r="AU19" s="80">
        <v>0.0</v>
      </c>
      <c r="AV19" s="80">
        <v>0.0</v>
      </c>
      <c r="AW19" s="358">
        <f t="shared" si="2"/>
        <v>2</v>
      </c>
      <c r="AX19" s="358">
        <f t="shared" si="3"/>
        <v>1</v>
      </c>
    </row>
    <row r="20">
      <c r="A20" s="157" t="s">
        <v>1004</v>
      </c>
      <c r="B20" s="157" t="s">
        <v>719</v>
      </c>
      <c r="C20" s="49" t="s">
        <v>712</v>
      </c>
      <c r="D20" s="18" t="s">
        <v>1171</v>
      </c>
      <c r="E20" s="545">
        <v>40939.0</v>
      </c>
      <c r="F20" s="47" t="s">
        <v>354</v>
      </c>
      <c r="G20" s="47" t="s">
        <v>354</v>
      </c>
      <c r="H20" s="47" t="s">
        <v>354</v>
      </c>
      <c r="I20" s="47" t="s">
        <v>354</v>
      </c>
      <c r="J20" s="47" t="s">
        <v>354</v>
      </c>
      <c r="K20" s="47" t="s">
        <v>354</v>
      </c>
      <c r="L20" s="47"/>
      <c r="M20" s="47" t="s">
        <v>354</v>
      </c>
      <c r="N20" s="235"/>
      <c r="O20" s="235" t="s">
        <v>354</v>
      </c>
      <c r="P20" s="723">
        <v>0.0</v>
      </c>
      <c r="Q20" s="157" t="s">
        <v>354</v>
      </c>
      <c r="R20" s="154">
        <v>16.1528481305973</v>
      </c>
      <c r="S20" s="551" t="s">
        <v>356</v>
      </c>
      <c r="T20" s="551" t="s">
        <v>356</v>
      </c>
      <c r="U20" s="551" t="s">
        <v>356</v>
      </c>
      <c r="V20" s="723">
        <v>0.0</v>
      </c>
      <c r="W20" s="723">
        <v>0.0</v>
      </c>
      <c r="X20" s="551" t="s">
        <v>354</v>
      </c>
      <c r="Y20" s="551" t="s">
        <v>354</v>
      </c>
      <c r="Z20" s="157" t="s">
        <v>354</v>
      </c>
      <c r="AA20" s="157" t="s">
        <v>354</v>
      </c>
      <c r="AB20" s="157" t="s">
        <v>354</v>
      </c>
      <c r="AC20" s="157" t="s">
        <v>354</v>
      </c>
      <c r="AD20" s="732" t="s">
        <v>356</v>
      </c>
      <c r="AE20" s="732" t="s">
        <v>354</v>
      </c>
      <c r="AF20" s="675" t="s">
        <v>356</v>
      </c>
      <c r="AG20" s="675" t="s">
        <v>354</v>
      </c>
      <c r="AH20" s="733" t="s">
        <v>356</v>
      </c>
      <c r="AI20" s="733" t="s">
        <v>354</v>
      </c>
      <c r="AJ20" s="46">
        <f t="shared" si="1"/>
        <v>0</v>
      </c>
      <c r="AN20" s="265"/>
      <c r="AO20" s="80">
        <v>0.0</v>
      </c>
      <c r="AP20" s="80">
        <v>0.0</v>
      </c>
      <c r="AQ20" s="80">
        <v>0.0</v>
      </c>
      <c r="AR20" s="224">
        <v>0.0</v>
      </c>
      <c r="AS20" s="80">
        <v>0.0</v>
      </c>
      <c r="AT20" s="224">
        <v>0.0</v>
      </c>
      <c r="AU20" s="80">
        <v>0.0</v>
      </c>
      <c r="AV20" s="80">
        <v>0.0</v>
      </c>
      <c r="AW20" s="182">
        <f t="shared" si="2"/>
        <v>0</v>
      </c>
      <c r="AX20" s="182">
        <f t="shared" si="3"/>
        <v>0</v>
      </c>
    </row>
    <row r="21">
      <c r="A21" s="157" t="s">
        <v>992</v>
      </c>
      <c r="B21" s="184" t="s">
        <v>1005</v>
      </c>
      <c r="C21" s="41" t="s">
        <v>1005</v>
      </c>
      <c r="D21" s="687" t="s">
        <v>1003</v>
      </c>
      <c r="E21" s="545">
        <v>40939.0</v>
      </c>
      <c r="F21" s="47" t="s">
        <v>354</v>
      </c>
      <c r="G21" s="47" t="s">
        <v>354</v>
      </c>
      <c r="H21" s="47" t="s">
        <v>354</v>
      </c>
      <c r="I21" s="47" t="s">
        <v>354</v>
      </c>
      <c r="J21" s="47" t="s">
        <v>354</v>
      </c>
      <c r="K21" s="184">
        <v>0.0</v>
      </c>
      <c r="L21" s="184" t="s">
        <v>354</v>
      </c>
      <c r="M21" s="265"/>
      <c r="N21" s="265"/>
      <c r="O21" s="184" t="s">
        <v>371</v>
      </c>
      <c r="P21" s="723">
        <v>0.0</v>
      </c>
      <c r="Q21" s="157" t="s">
        <v>354</v>
      </c>
      <c r="R21" s="723">
        <v>0.0</v>
      </c>
      <c r="S21" s="551" t="s">
        <v>354</v>
      </c>
      <c r="T21" s="551" t="s">
        <v>354</v>
      </c>
      <c r="U21" s="551" t="s">
        <v>354</v>
      </c>
      <c r="V21" s="723">
        <v>0.0</v>
      </c>
      <c r="W21" s="723">
        <v>0.0</v>
      </c>
      <c r="X21" s="551" t="s">
        <v>354</v>
      </c>
      <c r="Y21" s="551" t="s">
        <v>354</v>
      </c>
      <c r="Z21" s="157" t="s">
        <v>354</v>
      </c>
      <c r="AA21" s="157" t="s">
        <v>354</v>
      </c>
      <c r="AB21" s="157" t="s">
        <v>354</v>
      </c>
      <c r="AC21" s="157" t="s">
        <v>354</v>
      </c>
      <c r="AD21" s="732" t="s">
        <v>356</v>
      </c>
      <c r="AE21" s="732" t="s">
        <v>354</v>
      </c>
      <c r="AF21" s="675" t="s">
        <v>356</v>
      </c>
      <c r="AG21" s="675" t="s">
        <v>354</v>
      </c>
      <c r="AH21" s="733" t="s">
        <v>356</v>
      </c>
      <c r="AI21" s="733" t="s">
        <v>354</v>
      </c>
      <c r="AJ21" s="46">
        <f t="shared" si="1"/>
        <v>0</v>
      </c>
      <c r="AN21" s="265"/>
      <c r="AO21" s="80">
        <v>0.0</v>
      </c>
      <c r="AP21" s="80">
        <v>0.0</v>
      </c>
      <c r="AQ21" s="80">
        <v>0.0</v>
      </c>
      <c r="AR21" s="224">
        <v>0.0</v>
      </c>
      <c r="AS21" s="80">
        <v>0.0</v>
      </c>
      <c r="AT21" s="224">
        <v>0.0</v>
      </c>
      <c r="AU21" s="80">
        <v>0.0</v>
      </c>
      <c r="AV21" s="80">
        <v>0.0</v>
      </c>
      <c r="AW21" s="182">
        <f t="shared" si="2"/>
        <v>0</v>
      </c>
      <c r="AX21" s="182">
        <f t="shared" si="3"/>
        <v>0</v>
      </c>
    </row>
    <row r="22">
      <c r="A22" s="157" t="s">
        <v>986</v>
      </c>
      <c r="B22" s="158" t="s">
        <v>204</v>
      </c>
      <c r="C22" s="702" t="s">
        <v>204</v>
      </c>
      <c r="D22" s="692" t="s">
        <v>725</v>
      </c>
      <c r="E22" s="545">
        <v>40939.0</v>
      </c>
      <c r="F22" s="47" t="s">
        <v>354</v>
      </c>
      <c r="G22" s="47" t="s">
        <v>354</v>
      </c>
      <c r="H22" s="47" t="s">
        <v>354</v>
      </c>
      <c r="I22" s="47" t="s">
        <v>354</v>
      </c>
      <c r="J22" s="47" t="s">
        <v>354</v>
      </c>
      <c r="K22" s="158">
        <v>3.0</v>
      </c>
      <c r="L22" s="158" t="s">
        <v>733</v>
      </c>
      <c r="M22" s="265"/>
      <c r="N22" s="265"/>
      <c r="O22" s="158" t="s">
        <v>600</v>
      </c>
      <c r="P22" s="154">
        <v>34.4000154733955</v>
      </c>
      <c r="Q22" s="157" t="s">
        <v>354</v>
      </c>
      <c r="R22" s="723">
        <v>0.0</v>
      </c>
      <c r="S22" s="551" t="s">
        <v>354</v>
      </c>
      <c r="T22" s="551" t="s">
        <v>354</v>
      </c>
      <c r="U22" s="551" t="s">
        <v>354</v>
      </c>
      <c r="V22" s="723">
        <v>0.0</v>
      </c>
      <c r="W22" s="723">
        <v>0.0</v>
      </c>
      <c r="X22" s="551" t="s">
        <v>354</v>
      </c>
      <c r="Y22" s="551" t="s">
        <v>354</v>
      </c>
      <c r="Z22" s="157" t="s">
        <v>354</v>
      </c>
      <c r="AA22" s="157" t="s">
        <v>354</v>
      </c>
      <c r="AB22" s="157" t="s">
        <v>354</v>
      </c>
      <c r="AC22" s="157" t="s">
        <v>354</v>
      </c>
      <c r="AD22" s="724" t="s">
        <v>365</v>
      </c>
      <c r="AE22" s="90" t="s">
        <v>413</v>
      </c>
      <c r="AF22" s="734" t="s">
        <v>365</v>
      </c>
      <c r="AG22" s="143" t="s">
        <v>358</v>
      </c>
      <c r="AH22" s="726" t="s">
        <v>365</v>
      </c>
      <c r="AI22" s="731" t="s">
        <v>358</v>
      </c>
      <c r="AJ22" s="357">
        <f t="shared" si="1"/>
        <v>4</v>
      </c>
      <c r="AN22" s="265"/>
      <c r="AO22" s="80">
        <v>0.0</v>
      </c>
      <c r="AP22" s="80">
        <v>0.0</v>
      </c>
      <c r="AQ22" s="224">
        <v>2.0</v>
      </c>
      <c r="AR22" s="224">
        <v>0.0</v>
      </c>
      <c r="AS22" s="224">
        <v>1.0</v>
      </c>
      <c r="AT22" s="224">
        <v>0.0</v>
      </c>
      <c r="AU22" s="80">
        <v>0.0</v>
      </c>
      <c r="AV22" s="80">
        <v>0.0</v>
      </c>
      <c r="AW22" s="358">
        <f t="shared" si="2"/>
        <v>3</v>
      </c>
      <c r="AX22" s="358">
        <f t="shared" si="3"/>
        <v>2</v>
      </c>
    </row>
    <row r="23">
      <c r="A23" s="157" t="s">
        <v>1030</v>
      </c>
      <c r="B23" s="184" t="s">
        <v>958</v>
      </c>
      <c r="C23" s="690" t="s">
        <v>955</v>
      </c>
      <c r="D23" s="687" t="s">
        <v>956</v>
      </c>
      <c r="E23" s="545">
        <v>40939.0</v>
      </c>
      <c r="F23" s="47" t="s">
        <v>354</v>
      </c>
      <c r="G23" s="47" t="s">
        <v>354</v>
      </c>
      <c r="H23" s="47" t="s">
        <v>354</v>
      </c>
      <c r="I23" s="47" t="s">
        <v>354</v>
      </c>
      <c r="J23" s="47" t="s">
        <v>354</v>
      </c>
      <c r="K23" s="184">
        <v>0.0</v>
      </c>
      <c r="L23" s="184" t="s">
        <v>354</v>
      </c>
      <c r="M23" s="265"/>
      <c r="N23" s="265"/>
      <c r="O23" s="184" t="s">
        <v>371</v>
      </c>
      <c r="P23" s="154">
        <v>32.5463624051681</v>
      </c>
      <c r="Q23" s="157" t="s">
        <v>354</v>
      </c>
      <c r="R23" s="723">
        <v>0.0</v>
      </c>
      <c r="S23" s="551" t="s">
        <v>354</v>
      </c>
      <c r="T23" s="551" t="s">
        <v>354</v>
      </c>
      <c r="U23" s="551" t="s">
        <v>354</v>
      </c>
      <c r="V23" s="723">
        <v>0.0</v>
      </c>
      <c r="W23" s="723">
        <v>0.0</v>
      </c>
      <c r="X23" s="551" t="s">
        <v>354</v>
      </c>
      <c r="Y23" s="551" t="s">
        <v>354</v>
      </c>
      <c r="Z23" s="157" t="s">
        <v>354</v>
      </c>
      <c r="AA23" s="157" t="s">
        <v>354</v>
      </c>
      <c r="AB23" s="157" t="s">
        <v>354</v>
      </c>
      <c r="AC23" s="157" t="s">
        <v>354</v>
      </c>
      <c r="AD23" s="724" t="s">
        <v>365</v>
      </c>
      <c r="AE23" s="90" t="s">
        <v>413</v>
      </c>
      <c r="AF23" s="734" t="s">
        <v>365</v>
      </c>
      <c r="AG23" s="90" t="s">
        <v>413</v>
      </c>
      <c r="AH23" s="735" t="s">
        <v>365</v>
      </c>
      <c r="AI23" s="90" t="s">
        <v>413</v>
      </c>
      <c r="AJ23" s="357">
        <f t="shared" si="1"/>
        <v>4</v>
      </c>
      <c r="AN23" s="265"/>
      <c r="AO23" s="80">
        <v>0.0</v>
      </c>
      <c r="AP23" s="80">
        <v>0.0</v>
      </c>
      <c r="AQ23" s="80">
        <v>0.0</v>
      </c>
      <c r="AR23" s="224">
        <v>0.0</v>
      </c>
      <c r="AS23" s="224">
        <v>3.0</v>
      </c>
      <c r="AT23" s="224">
        <v>0.0</v>
      </c>
      <c r="AU23" s="80">
        <v>0.0</v>
      </c>
      <c r="AV23" s="80">
        <v>0.0</v>
      </c>
      <c r="AW23" s="358">
        <f t="shared" si="2"/>
        <v>3</v>
      </c>
      <c r="AX23" s="358">
        <f t="shared" si="3"/>
        <v>1</v>
      </c>
    </row>
    <row r="24">
      <c r="A24" s="157" t="s">
        <v>1047</v>
      </c>
      <c r="B24" s="158" t="s">
        <v>787</v>
      </c>
      <c r="C24" s="710" t="s">
        <v>1782</v>
      </c>
      <c r="D24" s="692" t="s">
        <v>783</v>
      </c>
      <c r="E24" s="545">
        <v>40939.0</v>
      </c>
      <c r="F24" s="47" t="s">
        <v>354</v>
      </c>
      <c r="G24" s="47" t="s">
        <v>354</v>
      </c>
      <c r="H24" s="47" t="s">
        <v>354</v>
      </c>
      <c r="I24" s="47" t="s">
        <v>354</v>
      </c>
      <c r="J24" s="47" t="s">
        <v>354</v>
      </c>
      <c r="K24" s="158">
        <v>0.0</v>
      </c>
      <c r="L24" s="158" t="s">
        <v>785</v>
      </c>
      <c r="M24" s="265"/>
      <c r="N24" s="265"/>
      <c r="O24" s="158" t="s">
        <v>556</v>
      </c>
      <c r="P24" s="723">
        <v>0.0</v>
      </c>
      <c r="Q24" s="157" t="s">
        <v>354</v>
      </c>
      <c r="R24" s="723">
        <v>0.0</v>
      </c>
      <c r="S24" s="551" t="s">
        <v>354</v>
      </c>
      <c r="T24" s="551" t="s">
        <v>354</v>
      </c>
      <c r="U24" s="551" t="s">
        <v>354</v>
      </c>
      <c r="V24" s="723">
        <v>0.0</v>
      </c>
      <c r="W24" s="723">
        <v>0.0</v>
      </c>
      <c r="X24" s="551" t="s">
        <v>354</v>
      </c>
      <c r="Y24" s="551" t="s">
        <v>354</v>
      </c>
      <c r="Z24" s="157" t="s">
        <v>354</v>
      </c>
      <c r="AA24" s="157" t="s">
        <v>354</v>
      </c>
      <c r="AB24" s="157" t="s">
        <v>354</v>
      </c>
      <c r="AC24" s="157" t="s">
        <v>354</v>
      </c>
      <c r="AD24" s="732" t="s">
        <v>356</v>
      </c>
      <c r="AE24" s="732" t="s">
        <v>354</v>
      </c>
      <c r="AF24" s="675" t="s">
        <v>356</v>
      </c>
      <c r="AG24" s="675" t="s">
        <v>354</v>
      </c>
      <c r="AH24" s="726" t="s">
        <v>365</v>
      </c>
      <c r="AI24" s="44" t="s">
        <v>420</v>
      </c>
      <c r="AJ24" s="367">
        <f t="shared" si="1"/>
        <v>1</v>
      </c>
      <c r="AN24" s="265"/>
      <c r="AO24" s="80">
        <v>0.0</v>
      </c>
      <c r="AP24" s="224">
        <v>1.0</v>
      </c>
      <c r="AQ24" s="80">
        <v>0.0</v>
      </c>
      <c r="AR24" s="224">
        <v>0.0</v>
      </c>
      <c r="AS24" s="80">
        <v>0.0</v>
      </c>
      <c r="AT24" s="224">
        <v>0.0</v>
      </c>
      <c r="AU24" s="80">
        <v>0.0</v>
      </c>
      <c r="AV24" s="80">
        <v>0.0</v>
      </c>
      <c r="AW24" s="363">
        <f t="shared" si="2"/>
        <v>1</v>
      </c>
      <c r="AX24" s="363">
        <f t="shared" si="3"/>
        <v>1</v>
      </c>
    </row>
    <row r="25">
      <c r="A25" s="157" t="s">
        <v>1793</v>
      </c>
      <c r="B25" s="184" t="s">
        <v>624</v>
      </c>
      <c r="C25" s="41" t="s">
        <v>616</v>
      </c>
      <c r="D25" s="687" t="s">
        <v>617</v>
      </c>
      <c r="E25" s="545">
        <v>40939.0</v>
      </c>
      <c r="F25" s="47" t="s">
        <v>354</v>
      </c>
      <c r="G25" s="47" t="s">
        <v>354</v>
      </c>
      <c r="H25" s="47" t="s">
        <v>354</v>
      </c>
      <c r="I25" s="47" t="s">
        <v>354</v>
      </c>
      <c r="J25" s="47" t="s">
        <v>354</v>
      </c>
      <c r="K25" s="184">
        <v>0.0</v>
      </c>
      <c r="L25" s="184" t="s">
        <v>354</v>
      </c>
      <c r="M25" s="265"/>
      <c r="N25" s="265"/>
      <c r="O25" s="184" t="s">
        <v>371</v>
      </c>
      <c r="P25" s="723">
        <v>0.0</v>
      </c>
      <c r="Q25" s="157" t="s">
        <v>354</v>
      </c>
      <c r="R25" s="723">
        <v>0.0</v>
      </c>
      <c r="S25" s="551" t="s">
        <v>354</v>
      </c>
      <c r="T25" s="551" t="s">
        <v>354</v>
      </c>
      <c r="U25" s="551" t="s">
        <v>354</v>
      </c>
      <c r="V25" s="723">
        <v>0.0</v>
      </c>
      <c r="W25" s="723">
        <v>0.0</v>
      </c>
      <c r="X25" s="551" t="s">
        <v>354</v>
      </c>
      <c r="Y25" s="551" t="s">
        <v>354</v>
      </c>
      <c r="Z25" s="157" t="s">
        <v>354</v>
      </c>
      <c r="AA25" s="157" t="s">
        <v>354</v>
      </c>
      <c r="AB25" s="157" t="s">
        <v>354</v>
      </c>
      <c r="AC25" s="157" t="s">
        <v>354</v>
      </c>
      <c r="AD25" s="732" t="s">
        <v>356</v>
      </c>
      <c r="AE25" s="732" t="s">
        <v>354</v>
      </c>
      <c r="AF25" s="675" t="s">
        <v>356</v>
      </c>
      <c r="AG25" s="675" t="s">
        <v>354</v>
      </c>
      <c r="AH25" s="733" t="s">
        <v>356</v>
      </c>
      <c r="AI25" s="733" t="s">
        <v>354</v>
      </c>
      <c r="AJ25" s="46">
        <f t="shared" si="1"/>
        <v>0</v>
      </c>
      <c r="AN25" s="265"/>
      <c r="AO25" s="80">
        <v>0.0</v>
      </c>
      <c r="AP25" s="80">
        <v>0.0</v>
      </c>
      <c r="AQ25" s="80">
        <v>0.0</v>
      </c>
      <c r="AR25" s="224">
        <v>0.0</v>
      </c>
      <c r="AS25" s="80">
        <v>0.0</v>
      </c>
      <c r="AT25" s="224">
        <v>0.0</v>
      </c>
      <c r="AU25" s="80">
        <v>0.0</v>
      </c>
      <c r="AV25" s="80">
        <v>0.0</v>
      </c>
      <c r="AW25" s="182">
        <f t="shared" si="2"/>
        <v>0</v>
      </c>
      <c r="AX25" s="182">
        <f t="shared" si="3"/>
        <v>0</v>
      </c>
    </row>
    <row r="26">
      <c r="A26" s="157" t="s">
        <v>1744</v>
      </c>
      <c r="B26" s="179" t="s">
        <v>195</v>
      </c>
      <c r="C26" s="136" t="s">
        <v>195</v>
      </c>
      <c r="D26" s="697" t="s">
        <v>707</v>
      </c>
      <c r="E26" s="545">
        <v>40939.0</v>
      </c>
      <c r="F26" s="47" t="s">
        <v>354</v>
      </c>
      <c r="G26" s="47" t="s">
        <v>354</v>
      </c>
      <c r="H26" s="47" t="s">
        <v>354</v>
      </c>
      <c r="I26" s="47" t="s">
        <v>354</v>
      </c>
      <c r="J26" s="47" t="s">
        <v>354</v>
      </c>
      <c r="K26" s="179">
        <v>0.0</v>
      </c>
      <c r="L26" s="179" t="s">
        <v>354</v>
      </c>
      <c r="M26" s="265"/>
      <c r="N26" s="265"/>
      <c r="O26" s="179" t="s">
        <v>446</v>
      </c>
      <c r="P26" s="723">
        <v>0.0</v>
      </c>
      <c r="Q26" s="157" t="s">
        <v>354</v>
      </c>
      <c r="R26" s="723">
        <v>0.0</v>
      </c>
      <c r="S26" s="551" t="s">
        <v>354</v>
      </c>
      <c r="T26" s="551" t="s">
        <v>354</v>
      </c>
      <c r="U26" s="551" t="s">
        <v>354</v>
      </c>
      <c r="V26" s="723">
        <v>0.0</v>
      </c>
      <c r="W26" s="723">
        <v>0.0</v>
      </c>
      <c r="X26" s="551" t="s">
        <v>354</v>
      </c>
      <c r="Y26" s="551" t="s">
        <v>354</v>
      </c>
      <c r="Z26" s="157" t="s">
        <v>354</v>
      </c>
      <c r="AA26" s="157" t="s">
        <v>354</v>
      </c>
      <c r="AB26" s="157" t="s">
        <v>354</v>
      </c>
      <c r="AC26" s="157" t="s">
        <v>354</v>
      </c>
      <c r="AD26" s="732" t="s">
        <v>356</v>
      </c>
      <c r="AE26" s="732" t="s">
        <v>354</v>
      </c>
      <c r="AF26" s="734" t="s">
        <v>365</v>
      </c>
      <c r="AG26" s="40" t="s">
        <v>357</v>
      </c>
      <c r="AH26" s="735" t="s">
        <v>365</v>
      </c>
      <c r="AI26" s="40" t="s">
        <v>357</v>
      </c>
      <c r="AJ26" s="357">
        <f t="shared" si="1"/>
        <v>2</v>
      </c>
      <c r="AN26" s="265"/>
      <c r="AO26" s="80">
        <v>0.0</v>
      </c>
      <c r="AP26" s="80">
        <v>0.0</v>
      </c>
      <c r="AQ26" s="80">
        <v>0.0</v>
      </c>
      <c r="AR26" s="224">
        <v>0.0</v>
      </c>
      <c r="AS26" s="80">
        <v>0.0</v>
      </c>
      <c r="AT26" s="224">
        <v>2.0</v>
      </c>
      <c r="AU26" s="80">
        <v>0.0</v>
      </c>
      <c r="AV26" s="80">
        <v>0.0</v>
      </c>
      <c r="AW26" s="358">
        <f t="shared" si="2"/>
        <v>2</v>
      </c>
      <c r="AX26" s="358">
        <f t="shared" si="3"/>
        <v>1</v>
      </c>
    </row>
    <row r="27">
      <c r="A27" s="157" t="s">
        <v>1010</v>
      </c>
      <c r="B27" s="315" t="s">
        <v>260</v>
      </c>
      <c r="C27" s="41" t="s">
        <v>888</v>
      </c>
      <c r="D27" s="687" t="s">
        <v>889</v>
      </c>
      <c r="E27" s="545">
        <v>40939.0</v>
      </c>
      <c r="F27" s="47" t="s">
        <v>354</v>
      </c>
      <c r="G27" s="47" t="s">
        <v>354</v>
      </c>
      <c r="H27" s="47" t="s">
        <v>354</v>
      </c>
      <c r="I27" s="47" t="s">
        <v>354</v>
      </c>
      <c r="J27" s="47" t="s">
        <v>354</v>
      </c>
      <c r="K27" s="184">
        <v>0.0</v>
      </c>
      <c r="L27" s="184" t="s">
        <v>354</v>
      </c>
      <c r="M27" s="265"/>
      <c r="N27" s="265"/>
      <c r="O27" s="184" t="s">
        <v>371</v>
      </c>
      <c r="P27" s="723">
        <v>0.0</v>
      </c>
      <c r="Q27" s="157" t="s">
        <v>354</v>
      </c>
      <c r="R27" s="723">
        <v>0.0</v>
      </c>
      <c r="S27" s="551" t="s">
        <v>354</v>
      </c>
      <c r="T27" s="551" t="s">
        <v>354</v>
      </c>
      <c r="U27" s="551" t="s">
        <v>354</v>
      </c>
      <c r="V27" s="723">
        <v>0.0</v>
      </c>
      <c r="W27" s="723">
        <v>0.0</v>
      </c>
      <c r="X27" s="551" t="s">
        <v>354</v>
      </c>
      <c r="Y27" s="551" t="s">
        <v>354</v>
      </c>
      <c r="Z27" s="157" t="s">
        <v>354</v>
      </c>
      <c r="AA27" s="157" t="s">
        <v>354</v>
      </c>
      <c r="AB27" s="157" t="s">
        <v>354</v>
      </c>
      <c r="AC27" s="157" t="s">
        <v>354</v>
      </c>
      <c r="AD27" s="732" t="s">
        <v>356</v>
      </c>
      <c r="AE27" s="732" t="s">
        <v>354</v>
      </c>
      <c r="AF27" s="675" t="s">
        <v>356</v>
      </c>
      <c r="AG27" s="675" t="s">
        <v>354</v>
      </c>
      <c r="AH27" s="733" t="s">
        <v>356</v>
      </c>
      <c r="AI27" s="733" t="s">
        <v>354</v>
      </c>
      <c r="AJ27" s="46">
        <f t="shared" si="1"/>
        <v>0</v>
      </c>
      <c r="AN27" s="265"/>
      <c r="AO27" s="80">
        <v>0.0</v>
      </c>
      <c r="AP27" s="80">
        <v>0.0</v>
      </c>
      <c r="AQ27" s="80">
        <v>0.0</v>
      </c>
      <c r="AR27" s="224">
        <v>0.0</v>
      </c>
      <c r="AS27" s="80">
        <v>0.0</v>
      </c>
      <c r="AT27" s="224">
        <v>0.0</v>
      </c>
      <c r="AU27" s="80">
        <v>0.0</v>
      </c>
      <c r="AV27" s="80">
        <v>0.0</v>
      </c>
      <c r="AW27" s="182">
        <f t="shared" si="2"/>
        <v>0</v>
      </c>
      <c r="AX27" s="182">
        <f t="shared" si="3"/>
        <v>0</v>
      </c>
    </row>
    <row r="28">
      <c r="A28" s="157" t="s">
        <v>1794</v>
      </c>
      <c r="B28" s="158" t="s">
        <v>268</v>
      </c>
      <c r="C28" s="702" t="s">
        <v>268</v>
      </c>
      <c r="D28" s="692" t="s">
        <v>1626</v>
      </c>
      <c r="E28" s="545">
        <v>40939.0</v>
      </c>
      <c r="F28" s="47" t="s">
        <v>354</v>
      </c>
      <c r="G28" s="47" t="s">
        <v>354</v>
      </c>
      <c r="H28" s="47" t="s">
        <v>354</v>
      </c>
      <c r="I28" s="47" t="s">
        <v>354</v>
      </c>
      <c r="J28" s="47" t="s">
        <v>354</v>
      </c>
      <c r="K28" s="736">
        <v>2.0</v>
      </c>
      <c r="L28" s="736" t="s">
        <v>922</v>
      </c>
      <c r="M28" s="737"/>
      <c r="N28" s="738"/>
      <c r="O28" s="739" t="s">
        <v>398</v>
      </c>
      <c r="P28" s="723">
        <v>0.0</v>
      </c>
      <c r="Q28" s="157" t="s">
        <v>354</v>
      </c>
      <c r="R28" s="723">
        <v>0.0</v>
      </c>
      <c r="S28" s="551" t="s">
        <v>354</v>
      </c>
      <c r="T28" s="551" t="s">
        <v>354</v>
      </c>
      <c r="U28" s="551" t="s">
        <v>354</v>
      </c>
      <c r="V28" s="723">
        <v>0.0</v>
      </c>
      <c r="W28" s="723">
        <v>0.0</v>
      </c>
      <c r="X28" s="551" t="s">
        <v>354</v>
      </c>
      <c r="Y28" s="551" t="s">
        <v>354</v>
      </c>
      <c r="Z28" s="157" t="s">
        <v>354</v>
      </c>
      <c r="AA28" s="157" t="s">
        <v>354</v>
      </c>
      <c r="AB28" s="157" t="s">
        <v>354</v>
      </c>
      <c r="AC28" s="157" t="s">
        <v>354</v>
      </c>
      <c r="AD28" s="732" t="s">
        <v>356</v>
      </c>
      <c r="AE28" s="732" t="s">
        <v>354</v>
      </c>
      <c r="AF28" s="675" t="s">
        <v>356</v>
      </c>
      <c r="AG28" s="675" t="s">
        <v>354</v>
      </c>
      <c r="AH28" s="733" t="s">
        <v>356</v>
      </c>
      <c r="AI28" s="733" t="s">
        <v>354</v>
      </c>
      <c r="AJ28" s="46">
        <f t="shared" si="1"/>
        <v>0</v>
      </c>
      <c r="AN28" s="265"/>
      <c r="AO28" s="80">
        <v>0.0</v>
      </c>
      <c r="AP28" s="80">
        <v>0.0</v>
      </c>
      <c r="AQ28" s="80">
        <v>0.0</v>
      </c>
      <c r="AR28" s="224">
        <v>0.0</v>
      </c>
      <c r="AS28" s="80">
        <v>0.0</v>
      </c>
      <c r="AT28" s="224">
        <v>0.0</v>
      </c>
      <c r="AU28" s="80">
        <v>0.0</v>
      </c>
      <c r="AV28" s="80">
        <v>0.0</v>
      </c>
      <c r="AW28" s="182">
        <f t="shared" si="2"/>
        <v>0</v>
      </c>
      <c r="AX28" s="182">
        <f t="shared" si="3"/>
        <v>0</v>
      </c>
    </row>
    <row r="29">
      <c r="A29" s="157" t="s">
        <v>1795</v>
      </c>
      <c r="B29" s="158" t="s">
        <v>698</v>
      </c>
      <c r="C29" s="78" t="s">
        <v>694</v>
      </c>
      <c r="D29" s="692" t="s">
        <v>695</v>
      </c>
      <c r="E29" s="545">
        <v>40939.0</v>
      </c>
      <c r="F29" s="47" t="s">
        <v>354</v>
      </c>
      <c r="G29" s="47" t="s">
        <v>354</v>
      </c>
      <c r="H29" s="47" t="s">
        <v>354</v>
      </c>
      <c r="I29" s="47" t="s">
        <v>354</v>
      </c>
      <c r="J29" s="47" t="s">
        <v>354</v>
      </c>
      <c r="K29" s="158">
        <v>2.0</v>
      </c>
      <c r="L29" s="158" t="s">
        <v>697</v>
      </c>
      <c r="M29" s="265"/>
      <c r="N29" s="265"/>
      <c r="O29" s="158" t="s">
        <v>398</v>
      </c>
      <c r="P29" s="723">
        <v>0.0</v>
      </c>
      <c r="Q29" s="157" t="s">
        <v>354</v>
      </c>
      <c r="R29" s="723">
        <v>0.0</v>
      </c>
      <c r="S29" s="551" t="s">
        <v>354</v>
      </c>
      <c r="T29" s="551" t="s">
        <v>354</v>
      </c>
      <c r="U29" s="551" t="s">
        <v>354</v>
      </c>
      <c r="V29" s="723">
        <v>0.0</v>
      </c>
      <c r="W29" s="723">
        <v>0.0</v>
      </c>
      <c r="X29" s="551" t="s">
        <v>354</v>
      </c>
      <c r="Y29" s="551" t="s">
        <v>354</v>
      </c>
      <c r="Z29" s="157" t="s">
        <v>354</v>
      </c>
      <c r="AA29" s="157" t="s">
        <v>354</v>
      </c>
      <c r="AB29" s="157" t="s">
        <v>354</v>
      </c>
      <c r="AC29" s="157" t="s">
        <v>354</v>
      </c>
      <c r="AD29" s="732" t="s">
        <v>356</v>
      </c>
      <c r="AE29" s="732" t="s">
        <v>354</v>
      </c>
      <c r="AF29" s="675" t="s">
        <v>356</v>
      </c>
      <c r="AG29" s="675" t="s">
        <v>354</v>
      </c>
      <c r="AH29" s="733" t="s">
        <v>356</v>
      </c>
      <c r="AI29" s="733" t="s">
        <v>354</v>
      </c>
      <c r="AJ29" s="46">
        <f t="shared" si="1"/>
        <v>0</v>
      </c>
      <c r="AN29" s="265"/>
      <c r="AO29" s="80">
        <v>0.0</v>
      </c>
      <c r="AP29" s="80">
        <v>0.0</v>
      </c>
      <c r="AQ29" s="80">
        <v>0.0</v>
      </c>
      <c r="AR29" s="224">
        <v>0.0</v>
      </c>
      <c r="AS29" s="80">
        <v>0.0</v>
      </c>
      <c r="AT29" s="224">
        <v>0.0</v>
      </c>
      <c r="AU29" s="80">
        <v>0.0</v>
      </c>
      <c r="AV29" s="80">
        <v>0.0</v>
      </c>
      <c r="AW29" s="182">
        <f t="shared" si="2"/>
        <v>0</v>
      </c>
      <c r="AX29" s="182">
        <f t="shared" si="3"/>
        <v>0</v>
      </c>
    </row>
    <row r="30">
      <c r="A30" s="157" t="s">
        <v>1796</v>
      </c>
      <c r="B30" s="634" t="s">
        <v>238</v>
      </c>
      <c r="C30" s="702" t="s">
        <v>238</v>
      </c>
      <c r="D30" s="692" t="s">
        <v>844</v>
      </c>
      <c r="E30" s="545">
        <v>40939.0</v>
      </c>
      <c r="F30" s="47" t="s">
        <v>354</v>
      </c>
      <c r="G30" s="47" t="s">
        <v>354</v>
      </c>
      <c r="H30" s="47" t="s">
        <v>354</v>
      </c>
      <c r="I30" s="47" t="s">
        <v>354</v>
      </c>
      <c r="J30" s="47" t="s">
        <v>354</v>
      </c>
      <c r="K30" s="158">
        <v>3.0</v>
      </c>
      <c r="L30" s="158" t="s">
        <v>850</v>
      </c>
      <c r="M30" s="265"/>
      <c r="N30" s="265"/>
      <c r="O30" s="158" t="s">
        <v>600</v>
      </c>
      <c r="P30" s="723">
        <v>0.0</v>
      </c>
      <c r="Q30" s="157" t="s">
        <v>354</v>
      </c>
      <c r="R30" s="723">
        <v>0.0</v>
      </c>
      <c r="S30" s="551" t="s">
        <v>354</v>
      </c>
      <c r="T30" s="551" t="s">
        <v>354</v>
      </c>
      <c r="U30" s="551" t="s">
        <v>354</v>
      </c>
      <c r="V30" s="723">
        <v>0.0</v>
      </c>
      <c r="W30" s="723">
        <v>0.0</v>
      </c>
      <c r="X30" s="551" t="s">
        <v>354</v>
      </c>
      <c r="Y30" s="551" t="s">
        <v>354</v>
      </c>
      <c r="Z30" s="157" t="s">
        <v>354</v>
      </c>
      <c r="AA30" s="157" t="s">
        <v>354</v>
      </c>
      <c r="AB30" s="157" t="s">
        <v>354</v>
      </c>
      <c r="AC30" s="157" t="s">
        <v>354</v>
      </c>
      <c r="AD30" s="732" t="s">
        <v>356</v>
      </c>
      <c r="AE30" s="732" t="s">
        <v>354</v>
      </c>
      <c r="AF30" s="675" t="s">
        <v>356</v>
      </c>
      <c r="AG30" s="675" t="s">
        <v>354</v>
      </c>
      <c r="AH30" s="733" t="s">
        <v>356</v>
      </c>
      <c r="AI30" s="733" t="s">
        <v>354</v>
      </c>
      <c r="AJ30" s="46">
        <f t="shared" si="1"/>
        <v>0</v>
      </c>
      <c r="AN30" s="265"/>
      <c r="AO30" s="80">
        <v>0.0</v>
      </c>
      <c r="AP30" s="80">
        <v>0.0</v>
      </c>
      <c r="AQ30" s="80">
        <v>0.0</v>
      </c>
      <c r="AR30" s="224">
        <v>0.0</v>
      </c>
      <c r="AS30" s="80">
        <v>0.0</v>
      </c>
      <c r="AT30" s="224">
        <v>0.0</v>
      </c>
      <c r="AU30" s="80">
        <v>0.0</v>
      </c>
      <c r="AV30" s="80">
        <v>0.0</v>
      </c>
      <c r="AW30" s="182">
        <f t="shared" si="2"/>
        <v>0</v>
      </c>
      <c r="AX30" s="182">
        <f t="shared" si="3"/>
        <v>0</v>
      </c>
    </row>
    <row r="31">
      <c r="A31" s="157" t="s">
        <v>1797</v>
      </c>
      <c r="B31" s="634" t="s">
        <v>238</v>
      </c>
      <c r="C31" s="684" t="s">
        <v>238</v>
      </c>
      <c r="D31" s="685" t="s">
        <v>844</v>
      </c>
      <c r="E31" s="545">
        <v>40939.0</v>
      </c>
      <c r="F31" s="47" t="s">
        <v>354</v>
      </c>
      <c r="G31" s="47" t="s">
        <v>354</v>
      </c>
      <c r="H31" s="47" t="s">
        <v>354</v>
      </c>
      <c r="I31" s="47" t="s">
        <v>354</v>
      </c>
      <c r="J31" s="47" t="s">
        <v>354</v>
      </c>
      <c r="K31" s="158">
        <v>3.0</v>
      </c>
      <c r="L31" s="158" t="s">
        <v>850</v>
      </c>
      <c r="M31" s="265"/>
      <c r="N31" s="265"/>
      <c r="O31" s="158" t="s">
        <v>600</v>
      </c>
      <c r="P31" s="723">
        <v>0.0</v>
      </c>
      <c r="Q31" s="157" t="s">
        <v>354</v>
      </c>
      <c r="R31" s="723">
        <v>0.0</v>
      </c>
      <c r="S31" s="551" t="s">
        <v>354</v>
      </c>
      <c r="T31" s="551" t="s">
        <v>354</v>
      </c>
      <c r="U31" s="551" t="s">
        <v>354</v>
      </c>
      <c r="V31" s="723">
        <v>0.0</v>
      </c>
      <c r="W31" s="723">
        <v>0.0</v>
      </c>
      <c r="X31" s="551" t="s">
        <v>354</v>
      </c>
      <c r="Y31" s="551" t="s">
        <v>354</v>
      </c>
      <c r="Z31" s="157" t="s">
        <v>354</v>
      </c>
      <c r="AA31" s="157" t="s">
        <v>354</v>
      </c>
      <c r="AB31" s="157" t="s">
        <v>354</v>
      </c>
      <c r="AC31" s="157" t="s">
        <v>354</v>
      </c>
      <c r="AD31" s="732" t="s">
        <v>356</v>
      </c>
      <c r="AE31" s="732" t="s">
        <v>354</v>
      </c>
      <c r="AF31" s="675" t="s">
        <v>356</v>
      </c>
      <c r="AG31" s="675" t="s">
        <v>354</v>
      </c>
      <c r="AH31" s="733" t="s">
        <v>356</v>
      </c>
      <c r="AI31" s="733" t="s">
        <v>354</v>
      </c>
      <c r="AJ31" s="46">
        <f t="shared" si="1"/>
        <v>0</v>
      </c>
      <c r="AN31" s="265"/>
      <c r="AO31" s="80">
        <v>0.0</v>
      </c>
      <c r="AP31" s="80">
        <v>0.0</v>
      </c>
      <c r="AQ31" s="80">
        <v>0.0</v>
      </c>
      <c r="AR31" s="224">
        <v>0.0</v>
      </c>
      <c r="AS31" s="80">
        <v>0.0</v>
      </c>
      <c r="AT31" s="224">
        <v>0.0</v>
      </c>
      <c r="AU31" s="80">
        <v>0.0</v>
      </c>
      <c r="AV31" s="80">
        <v>0.0</v>
      </c>
      <c r="AW31" s="182">
        <f t="shared" si="2"/>
        <v>0</v>
      </c>
      <c r="AX31" s="182">
        <f t="shared" si="3"/>
        <v>0</v>
      </c>
    </row>
    <row r="32">
      <c r="A32" s="157" t="s">
        <v>1798</v>
      </c>
      <c r="B32" s="184" t="s">
        <v>1031</v>
      </c>
      <c r="C32" s="690" t="s">
        <v>1031</v>
      </c>
      <c r="D32" s="711" t="s">
        <v>1029</v>
      </c>
      <c r="E32" s="545">
        <v>40939.0</v>
      </c>
      <c r="F32" s="47" t="s">
        <v>354</v>
      </c>
      <c r="G32" s="47" t="s">
        <v>354</v>
      </c>
      <c r="H32" s="47" t="s">
        <v>354</v>
      </c>
      <c r="I32" s="47" t="s">
        <v>354</v>
      </c>
      <c r="J32" s="47" t="s">
        <v>354</v>
      </c>
      <c r="K32" s="184">
        <v>0.0</v>
      </c>
      <c r="L32" s="184" t="s">
        <v>354</v>
      </c>
      <c r="M32" s="265"/>
      <c r="N32" s="265"/>
      <c r="O32" s="184" t="s">
        <v>371</v>
      </c>
      <c r="P32" s="723">
        <v>0.0</v>
      </c>
      <c r="Q32" s="157" t="s">
        <v>354</v>
      </c>
      <c r="R32" s="723">
        <v>0.0</v>
      </c>
      <c r="S32" s="551" t="s">
        <v>354</v>
      </c>
      <c r="T32" s="551" t="s">
        <v>354</v>
      </c>
      <c r="U32" s="551" t="s">
        <v>354</v>
      </c>
      <c r="V32" s="723">
        <v>0.0</v>
      </c>
      <c r="W32" s="723">
        <v>0.0</v>
      </c>
      <c r="X32" s="551" t="s">
        <v>354</v>
      </c>
      <c r="Y32" s="551" t="s">
        <v>354</v>
      </c>
      <c r="Z32" s="157" t="s">
        <v>354</v>
      </c>
      <c r="AA32" s="157" t="s">
        <v>354</v>
      </c>
      <c r="AB32" s="157" t="s">
        <v>354</v>
      </c>
      <c r="AC32" s="157" t="s">
        <v>354</v>
      </c>
      <c r="AD32" s="732" t="s">
        <v>356</v>
      </c>
      <c r="AE32" s="732" t="s">
        <v>354</v>
      </c>
      <c r="AF32" s="675" t="s">
        <v>356</v>
      </c>
      <c r="AG32" s="675" t="s">
        <v>354</v>
      </c>
      <c r="AH32" s="733" t="s">
        <v>356</v>
      </c>
      <c r="AI32" s="733" t="s">
        <v>354</v>
      </c>
      <c r="AJ32" s="46">
        <f t="shared" si="1"/>
        <v>0</v>
      </c>
      <c r="AN32" s="265"/>
      <c r="AO32" s="80">
        <v>0.0</v>
      </c>
      <c r="AP32" s="80">
        <v>0.0</v>
      </c>
      <c r="AQ32" s="80">
        <v>0.0</v>
      </c>
      <c r="AR32" s="224">
        <v>0.0</v>
      </c>
      <c r="AS32" s="80">
        <v>0.0</v>
      </c>
      <c r="AT32" s="224">
        <v>0.0</v>
      </c>
      <c r="AU32" s="80">
        <v>0.0</v>
      </c>
      <c r="AV32" s="80">
        <v>0.0</v>
      </c>
      <c r="AW32" s="182">
        <f t="shared" si="2"/>
        <v>0</v>
      </c>
      <c r="AX32" s="182">
        <f t="shared" si="3"/>
        <v>0</v>
      </c>
    </row>
    <row r="33">
      <c r="A33" s="157" t="s">
        <v>1799</v>
      </c>
      <c r="B33" s="157" t="s">
        <v>92</v>
      </c>
      <c r="C33" s="46" t="s">
        <v>88</v>
      </c>
      <c r="D33" s="98" t="s">
        <v>499</v>
      </c>
      <c r="E33" s="545">
        <v>40939.0</v>
      </c>
      <c r="F33" s="47" t="s">
        <v>354</v>
      </c>
      <c r="G33" s="47" t="s">
        <v>354</v>
      </c>
      <c r="H33" s="47" t="s">
        <v>354</v>
      </c>
      <c r="I33" s="47" t="s">
        <v>354</v>
      </c>
      <c r="J33" s="47" t="s">
        <v>354</v>
      </c>
      <c r="K33" s="47" t="s">
        <v>354</v>
      </c>
      <c r="L33" s="47"/>
      <c r="M33" s="47" t="s">
        <v>354</v>
      </c>
      <c r="N33" s="235"/>
      <c r="O33" s="235" t="s">
        <v>354</v>
      </c>
      <c r="P33" s="723">
        <v>0.0</v>
      </c>
      <c r="Q33" s="157" t="s">
        <v>354</v>
      </c>
      <c r="R33" s="723">
        <v>0.0</v>
      </c>
      <c r="S33" s="551" t="s">
        <v>354</v>
      </c>
      <c r="T33" s="551" t="s">
        <v>354</v>
      </c>
      <c r="U33" s="551" t="s">
        <v>354</v>
      </c>
      <c r="V33" s="723">
        <v>0.0</v>
      </c>
      <c r="W33" s="723">
        <v>0.0</v>
      </c>
      <c r="X33" s="551" t="s">
        <v>354</v>
      </c>
      <c r="Y33" s="551" t="s">
        <v>354</v>
      </c>
      <c r="Z33" s="157" t="s">
        <v>354</v>
      </c>
      <c r="AA33" s="157" t="s">
        <v>354</v>
      </c>
      <c r="AB33" s="157" t="s">
        <v>354</v>
      </c>
      <c r="AC33" s="157" t="s">
        <v>354</v>
      </c>
      <c r="AD33" s="732" t="s">
        <v>356</v>
      </c>
      <c r="AE33" s="732" t="s">
        <v>354</v>
      </c>
      <c r="AF33" s="675" t="s">
        <v>356</v>
      </c>
      <c r="AG33" s="675" t="s">
        <v>354</v>
      </c>
      <c r="AH33" s="733" t="s">
        <v>356</v>
      </c>
      <c r="AI33" s="733" t="s">
        <v>354</v>
      </c>
      <c r="AJ33" s="46">
        <f t="shared" si="1"/>
        <v>0</v>
      </c>
      <c r="AN33" s="265"/>
      <c r="AO33" s="80">
        <v>0.0</v>
      </c>
      <c r="AP33" s="80">
        <v>0.0</v>
      </c>
      <c r="AQ33" s="80">
        <v>0.0</v>
      </c>
      <c r="AR33" s="224">
        <v>0.0</v>
      </c>
      <c r="AS33" s="80">
        <v>0.0</v>
      </c>
      <c r="AT33" s="224">
        <v>0.0</v>
      </c>
      <c r="AU33" s="80">
        <v>0.0</v>
      </c>
      <c r="AV33" s="80">
        <v>0.0</v>
      </c>
      <c r="AW33" s="182">
        <f t="shared" si="2"/>
        <v>0</v>
      </c>
      <c r="AX33" s="182">
        <f t="shared" si="3"/>
        <v>0</v>
      </c>
    </row>
    <row r="34">
      <c r="A34" s="157" t="s">
        <v>1800</v>
      </c>
      <c r="B34" s="184" t="s">
        <v>1040</v>
      </c>
      <c r="C34" s="690" t="s">
        <v>1040</v>
      </c>
      <c r="D34" s="716" t="s">
        <v>1038</v>
      </c>
      <c r="E34" s="545">
        <v>40939.0</v>
      </c>
      <c r="F34" s="47" t="s">
        <v>354</v>
      </c>
      <c r="G34" s="47" t="s">
        <v>354</v>
      </c>
      <c r="H34" s="47" t="s">
        <v>354</v>
      </c>
      <c r="I34" s="47" t="s">
        <v>354</v>
      </c>
      <c r="J34" s="47" t="s">
        <v>354</v>
      </c>
      <c r="K34" s="184">
        <v>0.0</v>
      </c>
      <c r="L34" s="184" t="s">
        <v>354</v>
      </c>
      <c r="M34" s="265"/>
      <c r="N34" s="265"/>
      <c r="O34" s="184" t="s">
        <v>371</v>
      </c>
      <c r="P34" s="723">
        <v>0.0</v>
      </c>
      <c r="Q34" s="157" t="s">
        <v>354</v>
      </c>
      <c r="R34" s="723">
        <v>0.0</v>
      </c>
      <c r="S34" s="551" t="s">
        <v>354</v>
      </c>
      <c r="T34" s="551" t="s">
        <v>354</v>
      </c>
      <c r="U34" s="551" t="s">
        <v>354</v>
      </c>
      <c r="V34" s="723">
        <v>0.0</v>
      </c>
      <c r="W34" s="723">
        <v>0.0</v>
      </c>
      <c r="X34" s="551" t="s">
        <v>354</v>
      </c>
      <c r="Y34" s="551" t="s">
        <v>354</v>
      </c>
      <c r="Z34" s="157" t="s">
        <v>354</v>
      </c>
      <c r="AA34" s="157" t="s">
        <v>354</v>
      </c>
      <c r="AB34" s="157" t="s">
        <v>354</v>
      </c>
      <c r="AC34" s="157" t="s">
        <v>354</v>
      </c>
      <c r="AD34" s="724" t="s">
        <v>365</v>
      </c>
      <c r="AE34" s="51" t="s">
        <v>358</v>
      </c>
      <c r="AF34" s="734" t="s">
        <v>365</v>
      </c>
      <c r="AG34" s="40" t="s">
        <v>357</v>
      </c>
      <c r="AH34" s="740" t="s">
        <v>361</v>
      </c>
      <c r="AI34" s="740" t="s">
        <v>361</v>
      </c>
      <c r="AJ34" s="357">
        <f t="shared" si="1"/>
        <v>2</v>
      </c>
      <c r="AN34" s="265"/>
      <c r="AO34" s="80">
        <v>0.0</v>
      </c>
      <c r="AP34" s="224">
        <v>0.0</v>
      </c>
      <c r="AQ34" s="224">
        <v>1.0</v>
      </c>
      <c r="AR34" s="224">
        <v>0.0</v>
      </c>
      <c r="AS34" s="80">
        <v>0.0</v>
      </c>
      <c r="AT34" s="224">
        <v>1.0</v>
      </c>
      <c r="AU34" s="80">
        <v>0.0</v>
      </c>
      <c r="AV34" s="80">
        <v>0.0</v>
      </c>
      <c r="AW34" s="358">
        <f t="shared" si="2"/>
        <v>2</v>
      </c>
      <c r="AX34" s="358">
        <f t="shared" si="3"/>
        <v>2</v>
      </c>
    </row>
    <row r="35">
      <c r="A35" s="157" t="s">
        <v>1801</v>
      </c>
      <c r="B35" s="634" t="s">
        <v>1017</v>
      </c>
      <c r="C35" s="184" t="s">
        <v>1017</v>
      </c>
      <c r="D35" s="691" t="s">
        <v>1014</v>
      </c>
      <c r="E35" s="545">
        <v>40939.0</v>
      </c>
      <c r="F35" s="47" t="s">
        <v>354</v>
      </c>
      <c r="G35" s="47" t="s">
        <v>354</v>
      </c>
      <c r="H35" s="47" t="s">
        <v>354</v>
      </c>
      <c r="I35" s="47" t="s">
        <v>354</v>
      </c>
      <c r="J35" s="47" t="s">
        <v>354</v>
      </c>
      <c r="K35" s="184">
        <v>0.0</v>
      </c>
      <c r="L35" s="184" t="s">
        <v>354</v>
      </c>
      <c r="M35" s="265"/>
      <c r="N35" s="265"/>
      <c r="O35" s="184" t="s">
        <v>371</v>
      </c>
      <c r="P35" s="154">
        <v>34.2646640220244</v>
      </c>
      <c r="Q35" s="157" t="s">
        <v>354</v>
      </c>
      <c r="R35" s="723">
        <v>0.0</v>
      </c>
      <c r="S35" s="551" t="s">
        <v>354</v>
      </c>
      <c r="T35" s="551" t="s">
        <v>354</v>
      </c>
      <c r="U35" s="551" t="s">
        <v>354</v>
      </c>
      <c r="V35" s="723">
        <v>0.0</v>
      </c>
      <c r="W35" s="723">
        <v>0.0</v>
      </c>
      <c r="X35" s="551" t="s">
        <v>354</v>
      </c>
      <c r="Y35" s="551" t="s">
        <v>354</v>
      </c>
      <c r="Z35" s="157" t="s">
        <v>354</v>
      </c>
      <c r="AA35" s="157" t="s">
        <v>354</v>
      </c>
      <c r="AB35" s="157" t="s">
        <v>354</v>
      </c>
      <c r="AC35" s="157" t="s">
        <v>354</v>
      </c>
      <c r="AD35" s="732" t="s">
        <v>356</v>
      </c>
      <c r="AE35" s="732" t="s">
        <v>354</v>
      </c>
      <c r="AF35" s="675" t="s">
        <v>356</v>
      </c>
      <c r="AG35" s="675" t="s">
        <v>354</v>
      </c>
      <c r="AH35" s="733" t="s">
        <v>356</v>
      </c>
      <c r="AI35" s="733" t="s">
        <v>354</v>
      </c>
      <c r="AJ35" s="46">
        <f t="shared" si="1"/>
        <v>1</v>
      </c>
      <c r="AN35" s="265"/>
      <c r="AO35" s="80">
        <v>0.0</v>
      </c>
      <c r="AP35" s="80">
        <v>0.0</v>
      </c>
      <c r="AQ35" s="80">
        <v>0.0</v>
      </c>
      <c r="AR35" s="224">
        <v>0.0</v>
      </c>
      <c r="AS35" s="80">
        <v>0.0</v>
      </c>
      <c r="AT35" s="224">
        <v>0.0</v>
      </c>
      <c r="AU35" s="80">
        <v>0.0</v>
      </c>
      <c r="AV35" s="80">
        <v>0.0</v>
      </c>
      <c r="AW35" s="182">
        <f t="shared" si="2"/>
        <v>0</v>
      </c>
      <c r="AX35" s="182">
        <f t="shared" si="3"/>
        <v>0</v>
      </c>
    </row>
    <row r="36">
      <c r="A36" s="157" t="s">
        <v>1802</v>
      </c>
      <c r="B36" s="634" t="s">
        <v>1017</v>
      </c>
      <c r="C36" s="184" t="s">
        <v>1017</v>
      </c>
      <c r="D36" s="691" t="s">
        <v>1014</v>
      </c>
      <c r="E36" s="545">
        <v>40939.0</v>
      </c>
      <c r="F36" s="47" t="s">
        <v>354</v>
      </c>
      <c r="G36" s="47" t="s">
        <v>354</v>
      </c>
      <c r="H36" s="47" t="s">
        <v>354</v>
      </c>
      <c r="I36" s="47" t="s">
        <v>354</v>
      </c>
      <c r="J36" s="47" t="s">
        <v>354</v>
      </c>
      <c r="K36" s="184">
        <v>0.0</v>
      </c>
      <c r="L36" s="184" t="s">
        <v>354</v>
      </c>
      <c r="M36" s="265"/>
      <c r="N36" s="265"/>
      <c r="O36" s="184" t="s">
        <v>371</v>
      </c>
      <c r="P36" s="723">
        <v>0.0</v>
      </c>
      <c r="Q36" s="157" t="s">
        <v>354</v>
      </c>
      <c r="R36" s="723">
        <v>0.0</v>
      </c>
      <c r="S36" s="551" t="s">
        <v>354</v>
      </c>
      <c r="T36" s="551" t="s">
        <v>354</v>
      </c>
      <c r="U36" s="551" t="s">
        <v>354</v>
      </c>
      <c r="V36" s="723">
        <v>0.0</v>
      </c>
      <c r="W36" s="723">
        <v>0.0</v>
      </c>
      <c r="X36" s="551" t="s">
        <v>354</v>
      </c>
      <c r="Y36" s="551" t="s">
        <v>354</v>
      </c>
      <c r="Z36" s="157" t="s">
        <v>354</v>
      </c>
      <c r="AA36" s="157" t="s">
        <v>354</v>
      </c>
      <c r="AB36" s="157" t="s">
        <v>354</v>
      </c>
      <c r="AC36" s="157" t="s">
        <v>354</v>
      </c>
      <c r="AD36" s="732" t="s">
        <v>356</v>
      </c>
      <c r="AE36" s="732" t="s">
        <v>354</v>
      </c>
      <c r="AF36" s="675" t="s">
        <v>356</v>
      </c>
      <c r="AG36" s="675" t="s">
        <v>354</v>
      </c>
      <c r="AH36" s="733" t="s">
        <v>356</v>
      </c>
      <c r="AI36" s="733" t="s">
        <v>354</v>
      </c>
      <c r="AJ36" s="46">
        <f t="shared" si="1"/>
        <v>0</v>
      </c>
      <c r="AO36" s="80">
        <v>0.0</v>
      </c>
      <c r="AP36" s="80">
        <v>0.0</v>
      </c>
      <c r="AQ36" s="80">
        <v>0.0</v>
      </c>
      <c r="AR36" s="224">
        <v>0.0</v>
      </c>
      <c r="AS36" s="80">
        <v>0.0</v>
      </c>
      <c r="AT36" s="224">
        <v>0.0</v>
      </c>
      <c r="AU36" s="80">
        <v>0.0</v>
      </c>
      <c r="AV36" s="80">
        <v>0.0</v>
      </c>
      <c r="AW36" s="182">
        <f t="shared" si="2"/>
        <v>0</v>
      </c>
      <c r="AX36" s="182">
        <f t="shared" si="3"/>
        <v>0</v>
      </c>
    </row>
    <row r="37">
      <c r="A37" s="157" t="s">
        <v>1803</v>
      </c>
      <c r="B37" s="158" t="s">
        <v>66</v>
      </c>
      <c r="C37" s="684" t="s">
        <v>66</v>
      </c>
      <c r="D37" s="692" t="s">
        <v>451</v>
      </c>
      <c r="E37" s="545">
        <v>40939.0</v>
      </c>
      <c r="F37" s="47" t="s">
        <v>354</v>
      </c>
      <c r="G37" s="47" t="s">
        <v>354</v>
      </c>
      <c r="H37" s="47" t="s">
        <v>354</v>
      </c>
      <c r="I37" s="47" t="s">
        <v>354</v>
      </c>
      <c r="J37" s="47" t="s">
        <v>354</v>
      </c>
      <c r="K37" s="158">
        <v>1.0</v>
      </c>
      <c r="L37" s="158" t="s">
        <v>456</v>
      </c>
      <c r="M37" s="265"/>
      <c r="N37" s="265"/>
      <c r="O37" s="158" t="s">
        <v>455</v>
      </c>
      <c r="P37" s="723">
        <v>0.0</v>
      </c>
      <c r="Q37" s="157" t="s">
        <v>354</v>
      </c>
      <c r="R37" s="723">
        <v>0.0</v>
      </c>
      <c r="S37" s="551" t="s">
        <v>354</v>
      </c>
      <c r="T37" s="551" t="s">
        <v>354</v>
      </c>
      <c r="U37" s="551" t="s">
        <v>354</v>
      </c>
      <c r="V37" s="723">
        <v>0.0</v>
      </c>
      <c r="W37" s="723">
        <v>0.0</v>
      </c>
      <c r="X37" s="551" t="s">
        <v>354</v>
      </c>
      <c r="Y37" s="551" t="s">
        <v>354</v>
      </c>
      <c r="Z37" s="157" t="s">
        <v>354</v>
      </c>
      <c r="AA37" s="157" t="s">
        <v>354</v>
      </c>
      <c r="AB37" s="157" t="s">
        <v>354</v>
      </c>
      <c r="AC37" s="157" t="s">
        <v>354</v>
      </c>
      <c r="AD37" s="732" t="s">
        <v>356</v>
      </c>
      <c r="AE37" s="732" t="s">
        <v>354</v>
      </c>
      <c r="AF37" s="675" t="s">
        <v>356</v>
      </c>
      <c r="AG37" s="675" t="s">
        <v>354</v>
      </c>
      <c r="AH37" s="733" t="s">
        <v>356</v>
      </c>
      <c r="AI37" s="733" t="s">
        <v>354</v>
      </c>
      <c r="AJ37" s="46">
        <f t="shared" si="1"/>
        <v>0</v>
      </c>
      <c r="AN37" s="265"/>
      <c r="AO37" s="80">
        <v>0.0</v>
      </c>
      <c r="AP37" s="80">
        <v>0.0</v>
      </c>
      <c r="AQ37" s="80">
        <v>0.0</v>
      </c>
      <c r="AR37" s="224">
        <v>0.0</v>
      </c>
      <c r="AS37" s="80">
        <v>0.0</v>
      </c>
      <c r="AT37" s="224">
        <v>0.0</v>
      </c>
      <c r="AU37" s="80">
        <v>0.0</v>
      </c>
      <c r="AV37" s="80">
        <v>0.0</v>
      </c>
      <c r="AW37" s="182">
        <f t="shared" si="2"/>
        <v>0</v>
      </c>
      <c r="AX37" s="182">
        <f t="shared" si="3"/>
        <v>0</v>
      </c>
    </row>
    <row r="38">
      <c r="A38" s="157" t="s">
        <v>1804</v>
      </c>
      <c r="B38" s="184" t="s">
        <v>1027</v>
      </c>
      <c r="C38" s="690" t="s">
        <v>1027</v>
      </c>
      <c r="D38" s="711" t="s">
        <v>1024</v>
      </c>
      <c r="E38" s="545">
        <v>40939.0</v>
      </c>
      <c r="F38" s="47" t="s">
        <v>354</v>
      </c>
      <c r="G38" s="47" t="s">
        <v>354</v>
      </c>
      <c r="H38" s="47" t="s">
        <v>354</v>
      </c>
      <c r="I38" s="47" t="s">
        <v>354</v>
      </c>
      <c r="J38" s="47" t="s">
        <v>354</v>
      </c>
      <c r="K38" s="184">
        <v>0.0</v>
      </c>
      <c r="L38" s="184" t="s">
        <v>354</v>
      </c>
      <c r="M38" s="265"/>
      <c r="N38" s="265"/>
      <c r="O38" s="184" t="s">
        <v>371</v>
      </c>
      <c r="P38" s="723">
        <v>0.0</v>
      </c>
      <c r="Q38" s="157" t="s">
        <v>354</v>
      </c>
      <c r="R38" s="723">
        <v>0.0</v>
      </c>
      <c r="S38" s="551" t="s">
        <v>354</v>
      </c>
      <c r="T38" s="551" t="s">
        <v>354</v>
      </c>
      <c r="U38" s="551" t="s">
        <v>354</v>
      </c>
      <c r="V38" s="723">
        <v>0.0</v>
      </c>
      <c r="W38" s="723">
        <v>0.0</v>
      </c>
      <c r="X38" s="551" t="s">
        <v>354</v>
      </c>
      <c r="Y38" s="551" t="s">
        <v>354</v>
      </c>
      <c r="Z38" s="157" t="s">
        <v>354</v>
      </c>
      <c r="AA38" s="157" t="s">
        <v>354</v>
      </c>
      <c r="AB38" s="157" t="s">
        <v>354</v>
      </c>
      <c r="AC38" s="157" t="s">
        <v>354</v>
      </c>
      <c r="AD38" s="732" t="s">
        <v>356</v>
      </c>
      <c r="AE38" s="732" t="s">
        <v>354</v>
      </c>
      <c r="AF38" s="675" t="s">
        <v>356</v>
      </c>
      <c r="AG38" s="675" t="s">
        <v>354</v>
      </c>
      <c r="AH38" s="733" t="s">
        <v>356</v>
      </c>
      <c r="AI38" s="733" t="s">
        <v>354</v>
      </c>
      <c r="AJ38" s="46">
        <f t="shared" si="1"/>
        <v>0</v>
      </c>
      <c r="AN38" s="265"/>
      <c r="AO38" s="80">
        <v>0.0</v>
      </c>
      <c r="AP38" s="80">
        <v>0.0</v>
      </c>
      <c r="AQ38" s="80">
        <v>0.0</v>
      </c>
      <c r="AR38" s="224">
        <v>0.0</v>
      </c>
      <c r="AS38" s="80">
        <v>0.0</v>
      </c>
      <c r="AT38" s="224">
        <v>0.0</v>
      </c>
      <c r="AU38" s="80">
        <v>0.0</v>
      </c>
      <c r="AV38" s="80">
        <v>0.0</v>
      </c>
      <c r="AW38" s="182">
        <f t="shared" si="2"/>
        <v>0</v>
      </c>
      <c r="AX38" s="182">
        <f t="shared" si="3"/>
        <v>0</v>
      </c>
    </row>
    <row r="39">
      <c r="A39" s="157" t="s">
        <v>1805</v>
      </c>
      <c r="B39" s="158" t="s">
        <v>968</v>
      </c>
      <c r="C39" s="717" t="s">
        <v>968</v>
      </c>
      <c r="D39" s="692" t="s">
        <v>965</v>
      </c>
      <c r="E39" s="545">
        <v>40939.0</v>
      </c>
      <c r="F39" s="47" t="s">
        <v>354</v>
      </c>
      <c r="G39" s="47" t="s">
        <v>354</v>
      </c>
      <c r="H39" s="47" t="s">
        <v>354</v>
      </c>
      <c r="I39" s="47" t="s">
        <v>354</v>
      </c>
      <c r="J39" s="47" t="s">
        <v>354</v>
      </c>
      <c r="K39" s="158">
        <v>1.0</v>
      </c>
      <c r="L39" s="158" t="s">
        <v>967</v>
      </c>
      <c r="M39" s="265"/>
      <c r="N39" s="265"/>
      <c r="O39" s="158" t="s">
        <v>455</v>
      </c>
      <c r="P39" s="723">
        <v>0.0</v>
      </c>
      <c r="Q39" s="157" t="s">
        <v>354</v>
      </c>
      <c r="R39" s="723">
        <v>0.0</v>
      </c>
      <c r="S39" s="551" t="s">
        <v>354</v>
      </c>
      <c r="T39" s="551" t="s">
        <v>354</v>
      </c>
      <c r="U39" s="551" t="s">
        <v>354</v>
      </c>
      <c r="V39" s="723">
        <v>0.0</v>
      </c>
      <c r="W39" s="723">
        <v>0.0</v>
      </c>
      <c r="X39" s="551" t="s">
        <v>354</v>
      </c>
      <c r="Y39" s="551" t="s">
        <v>354</v>
      </c>
      <c r="Z39" s="157" t="s">
        <v>354</v>
      </c>
      <c r="AA39" s="157" t="s">
        <v>354</v>
      </c>
      <c r="AB39" s="157" t="s">
        <v>354</v>
      </c>
      <c r="AC39" s="157" t="s">
        <v>354</v>
      </c>
      <c r="AD39" s="732" t="s">
        <v>356</v>
      </c>
      <c r="AE39" s="732" t="s">
        <v>354</v>
      </c>
      <c r="AF39" s="675" t="s">
        <v>356</v>
      </c>
      <c r="AG39" s="675" t="s">
        <v>354</v>
      </c>
      <c r="AH39" s="733" t="s">
        <v>356</v>
      </c>
      <c r="AI39" s="733" t="s">
        <v>354</v>
      </c>
      <c r="AJ39" s="46">
        <f t="shared" si="1"/>
        <v>0</v>
      </c>
      <c r="AN39" s="265"/>
      <c r="AO39" s="80">
        <v>0.0</v>
      </c>
      <c r="AP39" s="80">
        <v>0.0</v>
      </c>
      <c r="AQ39" s="80">
        <v>0.0</v>
      </c>
      <c r="AR39" s="224">
        <v>0.0</v>
      </c>
      <c r="AS39" s="80">
        <v>0.0</v>
      </c>
      <c r="AT39" s="224">
        <v>0.0</v>
      </c>
      <c r="AU39" s="80">
        <v>0.0</v>
      </c>
      <c r="AV39" s="80">
        <v>0.0</v>
      </c>
      <c r="AW39" s="182">
        <f t="shared" si="2"/>
        <v>0</v>
      </c>
      <c r="AX39" s="182">
        <f t="shared" si="3"/>
        <v>0</v>
      </c>
    </row>
    <row r="40">
      <c r="A40" s="157" t="s">
        <v>1806</v>
      </c>
      <c r="B40" s="634" t="s">
        <v>287</v>
      </c>
      <c r="C40" s="710" t="s">
        <v>939</v>
      </c>
      <c r="D40" s="685" t="s">
        <v>940</v>
      </c>
      <c r="E40" s="545">
        <v>40939.0</v>
      </c>
      <c r="F40" s="47" t="s">
        <v>354</v>
      </c>
      <c r="G40" s="47" t="s">
        <v>354</v>
      </c>
      <c r="H40" s="47" t="s">
        <v>354</v>
      </c>
      <c r="I40" s="47" t="s">
        <v>354</v>
      </c>
      <c r="J40" s="47" t="s">
        <v>354</v>
      </c>
      <c r="K40" s="158">
        <v>1.0</v>
      </c>
      <c r="L40" s="158" t="s">
        <v>944</v>
      </c>
      <c r="M40" s="265"/>
      <c r="N40" s="265"/>
      <c r="O40" s="158" t="s">
        <v>455</v>
      </c>
      <c r="P40" s="723">
        <v>0.0</v>
      </c>
      <c r="Q40" s="157" t="s">
        <v>354</v>
      </c>
      <c r="R40" s="723">
        <v>0.0</v>
      </c>
      <c r="S40" s="551" t="s">
        <v>354</v>
      </c>
      <c r="T40" s="551" t="s">
        <v>354</v>
      </c>
      <c r="U40" s="551" t="s">
        <v>354</v>
      </c>
      <c r="V40" s="723">
        <v>0.0</v>
      </c>
      <c r="W40" s="723">
        <v>0.0</v>
      </c>
      <c r="X40" s="551" t="s">
        <v>354</v>
      </c>
      <c r="Y40" s="551" t="s">
        <v>354</v>
      </c>
      <c r="Z40" s="157" t="s">
        <v>354</v>
      </c>
      <c r="AA40" s="157" t="s">
        <v>354</v>
      </c>
      <c r="AB40" s="157" t="s">
        <v>354</v>
      </c>
      <c r="AC40" s="157" t="s">
        <v>354</v>
      </c>
      <c r="AD40" s="732" t="s">
        <v>356</v>
      </c>
      <c r="AE40" s="732" t="s">
        <v>354</v>
      </c>
      <c r="AF40" s="675" t="s">
        <v>356</v>
      </c>
      <c r="AG40" s="675" t="s">
        <v>354</v>
      </c>
      <c r="AH40" s="733" t="s">
        <v>356</v>
      </c>
      <c r="AI40" s="733" t="s">
        <v>354</v>
      </c>
      <c r="AJ40" s="46">
        <f t="shared" si="1"/>
        <v>0</v>
      </c>
      <c r="AN40" s="265"/>
      <c r="AO40" s="80">
        <v>0.0</v>
      </c>
      <c r="AP40" s="80">
        <v>0.0</v>
      </c>
      <c r="AQ40" s="80">
        <v>0.0</v>
      </c>
      <c r="AR40" s="224">
        <v>0.0</v>
      </c>
      <c r="AS40" s="80">
        <v>0.0</v>
      </c>
      <c r="AT40" s="224">
        <v>0.0</v>
      </c>
      <c r="AU40" s="80">
        <v>0.0</v>
      </c>
      <c r="AV40" s="80">
        <v>0.0</v>
      </c>
      <c r="AW40" s="182">
        <f t="shared" si="2"/>
        <v>0</v>
      </c>
      <c r="AX40" s="182">
        <f t="shared" si="3"/>
        <v>0</v>
      </c>
    </row>
    <row r="41">
      <c r="A41" s="157" t="s">
        <v>1807</v>
      </c>
      <c r="B41" s="634" t="s">
        <v>942</v>
      </c>
      <c r="C41" s="78" t="s">
        <v>939</v>
      </c>
      <c r="D41" s="692" t="s">
        <v>940</v>
      </c>
      <c r="E41" s="545">
        <v>40939.0</v>
      </c>
      <c r="F41" s="47" t="s">
        <v>354</v>
      </c>
      <c r="G41" s="47" t="s">
        <v>354</v>
      </c>
      <c r="H41" s="47" t="s">
        <v>354</v>
      </c>
      <c r="I41" s="47" t="s">
        <v>354</v>
      </c>
      <c r="J41" s="47" t="s">
        <v>354</v>
      </c>
      <c r="K41" s="158">
        <v>1.0</v>
      </c>
      <c r="L41" s="158" t="s">
        <v>944</v>
      </c>
      <c r="M41" s="265"/>
      <c r="N41" s="265"/>
      <c r="O41" s="158" t="s">
        <v>455</v>
      </c>
      <c r="P41" s="723">
        <v>0.0</v>
      </c>
      <c r="Q41" s="157" t="s">
        <v>354</v>
      </c>
      <c r="R41" s="723">
        <v>0.0</v>
      </c>
      <c r="S41" s="551" t="s">
        <v>354</v>
      </c>
      <c r="T41" s="551" t="s">
        <v>354</v>
      </c>
      <c r="U41" s="551" t="s">
        <v>354</v>
      </c>
      <c r="V41" s="723">
        <v>0.0</v>
      </c>
      <c r="W41" s="723">
        <v>0.0</v>
      </c>
      <c r="X41" s="551" t="s">
        <v>354</v>
      </c>
      <c r="Y41" s="551" t="s">
        <v>354</v>
      </c>
      <c r="Z41" s="157" t="s">
        <v>354</v>
      </c>
      <c r="AA41" s="157" t="s">
        <v>354</v>
      </c>
      <c r="AB41" s="157" t="s">
        <v>354</v>
      </c>
      <c r="AC41" s="157" t="s">
        <v>354</v>
      </c>
      <c r="AD41" s="732" t="s">
        <v>356</v>
      </c>
      <c r="AE41" s="732" t="s">
        <v>354</v>
      </c>
      <c r="AF41" s="675" t="s">
        <v>356</v>
      </c>
      <c r="AG41" s="675" t="s">
        <v>354</v>
      </c>
      <c r="AH41" s="733" t="s">
        <v>356</v>
      </c>
      <c r="AI41" s="733" t="s">
        <v>354</v>
      </c>
      <c r="AJ41" s="46">
        <f t="shared" si="1"/>
        <v>0</v>
      </c>
      <c r="AO41" s="80">
        <v>0.0</v>
      </c>
      <c r="AP41" s="80">
        <v>0.0</v>
      </c>
      <c r="AQ41" s="80">
        <v>0.0</v>
      </c>
      <c r="AR41" s="224">
        <v>0.0</v>
      </c>
      <c r="AS41" s="80">
        <v>0.0</v>
      </c>
      <c r="AT41" s="224">
        <v>0.0</v>
      </c>
      <c r="AU41" s="80">
        <v>0.0</v>
      </c>
      <c r="AV41" s="80">
        <v>0.0</v>
      </c>
      <c r="AW41" s="182">
        <f t="shared" si="2"/>
        <v>0</v>
      </c>
      <c r="AX41" s="182">
        <f t="shared" si="3"/>
        <v>0</v>
      </c>
    </row>
    <row r="42">
      <c r="A42" s="157" t="s">
        <v>1808</v>
      </c>
      <c r="B42" s="157" t="s">
        <v>1809</v>
      </c>
      <c r="C42" s="157" t="s">
        <v>354</v>
      </c>
      <c r="D42" s="157" t="s">
        <v>354</v>
      </c>
      <c r="E42" s="545">
        <v>40939.0</v>
      </c>
      <c r="F42" s="47" t="s">
        <v>354</v>
      </c>
      <c r="G42" s="47" t="s">
        <v>354</v>
      </c>
      <c r="H42" s="47" t="s">
        <v>354</v>
      </c>
      <c r="I42" s="47" t="s">
        <v>354</v>
      </c>
      <c r="J42" s="47" t="s">
        <v>354</v>
      </c>
      <c r="K42" s="47" t="s">
        <v>354</v>
      </c>
      <c r="L42" s="47"/>
      <c r="M42" s="47" t="s">
        <v>354</v>
      </c>
      <c r="N42" s="235"/>
      <c r="O42" s="235" t="s">
        <v>354</v>
      </c>
      <c r="P42" s="723">
        <v>0.0</v>
      </c>
      <c r="Q42" s="157" t="s">
        <v>354</v>
      </c>
      <c r="R42" s="723">
        <v>0.0</v>
      </c>
      <c r="S42" s="551" t="s">
        <v>354</v>
      </c>
      <c r="T42" s="551" t="s">
        <v>354</v>
      </c>
      <c r="U42" s="551" t="s">
        <v>354</v>
      </c>
      <c r="V42" s="723">
        <v>0.0</v>
      </c>
      <c r="W42" s="723">
        <v>0.0</v>
      </c>
      <c r="X42" s="551" t="s">
        <v>354</v>
      </c>
      <c r="Y42" s="551" t="s">
        <v>354</v>
      </c>
      <c r="Z42" s="157" t="s">
        <v>354</v>
      </c>
      <c r="AA42" s="157" t="s">
        <v>354</v>
      </c>
      <c r="AB42" s="157" t="s">
        <v>354</v>
      </c>
      <c r="AC42" s="157" t="s">
        <v>354</v>
      </c>
      <c r="AD42" s="732" t="s">
        <v>356</v>
      </c>
      <c r="AE42" s="732" t="s">
        <v>354</v>
      </c>
      <c r="AF42" s="675" t="s">
        <v>356</v>
      </c>
      <c r="AG42" s="675" t="s">
        <v>354</v>
      </c>
      <c r="AH42" s="733" t="s">
        <v>356</v>
      </c>
      <c r="AI42" s="733" t="s">
        <v>354</v>
      </c>
      <c r="AJ42" s="46">
        <f t="shared" si="1"/>
        <v>0</v>
      </c>
      <c r="AN42" s="265"/>
      <c r="AO42" s="80">
        <v>0.0</v>
      </c>
      <c r="AP42" s="80">
        <v>0.0</v>
      </c>
      <c r="AQ42" s="80">
        <v>0.0</v>
      </c>
      <c r="AR42" s="224">
        <v>0.0</v>
      </c>
      <c r="AS42" s="80">
        <v>0.0</v>
      </c>
      <c r="AT42" s="224">
        <v>0.0</v>
      </c>
      <c r="AU42" s="80">
        <v>0.0</v>
      </c>
      <c r="AV42" s="80">
        <v>0.0</v>
      </c>
      <c r="AW42" s="182">
        <f t="shared" si="2"/>
        <v>0</v>
      </c>
      <c r="AX42" s="182">
        <f t="shared" si="3"/>
        <v>0</v>
      </c>
    </row>
    <row r="43">
      <c r="A43" s="157" t="s">
        <v>1810</v>
      </c>
      <c r="B43" s="158" t="s">
        <v>999</v>
      </c>
      <c r="C43" s="710" t="s">
        <v>999</v>
      </c>
      <c r="D43" s="692" t="s">
        <v>1763</v>
      </c>
      <c r="E43" s="545">
        <v>40939.0</v>
      </c>
      <c r="F43" s="47" t="s">
        <v>354</v>
      </c>
      <c r="G43" s="47" t="s">
        <v>354</v>
      </c>
      <c r="H43" s="47" t="s">
        <v>354</v>
      </c>
      <c r="I43" s="47" t="s">
        <v>354</v>
      </c>
      <c r="J43" s="47" t="s">
        <v>354</v>
      </c>
      <c r="K43" s="158">
        <v>1.0</v>
      </c>
      <c r="L43" s="158" t="s">
        <v>998</v>
      </c>
      <c r="M43" s="265"/>
      <c r="N43" s="265"/>
      <c r="O43" s="158" t="s">
        <v>455</v>
      </c>
      <c r="P43" s="723">
        <v>0.0</v>
      </c>
      <c r="Q43" s="157" t="s">
        <v>354</v>
      </c>
      <c r="R43" s="723">
        <v>0.0</v>
      </c>
      <c r="S43" s="551" t="s">
        <v>354</v>
      </c>
      <c r="T43" s="551" t="s">
        <v>354</v>
      </c>
      <c r="U43" s="551" t="s">
        <v>354</v>
      </c>
      <c r="V43" s="723">
        <v>0.0</v>
      </c>
      <c r="W43" s="723">
        <v>0.0</v>
      </c>
      <c r="X43" s="551" t="s">
        <v>354</v>
      </c>
      <c r="Y43" s="551" t="s">
        <v>354</v>
      </c>
      <c r="Z43" s="157" t="s">
        <v>354</v>
      </c>
      <c r="AA43" s="157" t="s">
        <v>354</v>
      </c>
      <c r="AB43" s="157" t="s">
        <v>354</v>
      </c>
      <c r="AC43" s="157" t="s">
        <v>354</v>
      </c>
      <c r="AD43" s="732" t="s">
        <v>356</v>
      </c>
      <c r="AE43" s="732" t="s">
        <v>354</v>
      </c>
      <c r="AF43" s="675" t="s">
        <v>356</v>
      </c>
      <c r="AG43" s="675" t="s">
        <v>354</v>
      </c>
      <c r="AH43" s="733" t="s">
        <v>356</v>
      </c>
      <c r="AI43" s="733" t="s">
        <v>354</v>
      </c>
      <c r="AJ43" s="46">
        <f t="shared" si="1"/>
        <v>0</v>
      </c>
      <c r="AN43" s="265"/>
      <c r="AO43" s="80">
        <v>0.0</v>
      </c>
      <c r="AP43" s="80">
        <v>0.0</v>
      </c>
      <c r="AQ43" s="80">
        <v>0.0</v>
      </c>
      <c r="AR43" s="224">
        <v>0.0</v>
      </c>
      <c r="AS43" s="80">
        <v>0.0</v>
      </c>
      <c r="AT43" s="224">
        <v>0.0</v>
      </c>
      <c r="AU43" s="80">
        <v>0.0</v>
      </c>
      <c r="AV43" s="80">
        <v>0.0</v>
      </c>
      <c r="AW43" s="182">
        <f t="shared" si="2"/>
        <v>0</v>
      </c>
      <c r="AX43" s="182">
        <f t="shared" si="3"/>
        <v>0</v>
      </c>
    </row>
    <row r="44">
      <c r="A44" s="157" t="s">
        <v>1811</v>
      </c>
      <c r="B44" s="158" t="s">
        <v>593</v>
      </c>
      <c r="C44" s="78" t="s">
        <v>587</v>
      </c>
      <c r="D44" s="692" t="s">
        <v>588</v>
      </c>
      <c r="E44" s="545">
        <v>40939.0</v>
      </c>
      <c r="F44" s="47" t="s">
        <v>354</v>
      </c>
      <c r="G44" s="47" t="s">
        <v>354</v>
      </c>
      <c r="H44" s="47" t="s">
        <v>354</v>
      </c>
      <c r="I44" s="47" t="s">
        <v>354</v>
      </c>
      <c r="J44" s="47" t="s">
        <v>354</v>
      </c>
      <c r="K44" s="158">
        <v>1.0</v>
      </c>
      <c r="L44" s="158" t="s">
        <v>399</v>
      </c>
      <c r="M44" s="265"/>
      <c r="N44" s="265"/>
      <c r="O44" s="158" t="s">
        <v>455</v>
      </c>
      <c r="P44" s="723">
        <v>0.0</v>
      </c>
      <c r="Q44" s="157" t="s">
        <v>354</v>
      </c>
      <c r="R44" s="723">
        <v>0.0</v>
      </c>
      <c r="S44" s="551" t="s">
        <v>354</v>
      </c>
      <c r="T44" s="551" t="s">
        <v>354</v>
      </c>
      <c r="U44" s="551" t="s">
        <v>354</v>
      </c>
      <c r="V44" s="723">
        <v>0.0</v>
      </c>
      <c r="W44" s="723">
        <v>0.0</v>
      </c>
      <c r="X44" s="551" t="s">
        <v>354</v>
      </c>
      <c r="Y44" s="551" t="s">
        <v>354</v>
      </c>
      <c r="Z44" s="157" t="s">
        <v>354</v>
      </c>
      <c r="AA44" s="157" t="s">
        <v>354</v>
      </c>
      <c r="AB44" s="157" t="s">
        <v>354</v>
      </c>
      <c r="AC44" s="157" t="s">
        <v>354</v>
      </c>
      <c r="AD44" s="724" t="s">
        <v>365</v>
      </c>
      <c r="AE44" s="90" t="s">
        <v>413</v>
      </c>
      <c r="AF44" s="734" t="s">
        <v>365</v>
      </c>
      <c r="AG44" s="181" t="s">
        <v>389</v>
      </c>
      <c r="AH44" s="735" t="s">
        <v>365</v>
      </c>
      <c r="AI44" s="181" t="s">
        <v>389</v>
      </c>
      <c r="AJ44" s="357">
        <f t="shared" si="1"/>
        <v>3</v>
      </c>
      <c r="AN44" s="265"/>
      <c r="AO44" s="224">
        <v>2.0</v>
      </c>
      <c r="AP44" s="80">
        <v>0.0</v>
      </c>
      <c r="AQ44" s="80">
        <v>0.0</v>
      </c>
      <c r="AR44" s="224">
        <v>0.0</v>
      </c>
      <c r="AS44" s="224">
        <v>1.0</v>
      </c>
      <c r="AT44" s="224">
        <v>0.0</v>
      </c>
      <c r="AU44" s="80">
        <v>0.0</v>
      </c>
      <c r="AV44" s="80">
        <v>0.0</v>
      </c>
      <c r="AW44" s="358">
        <f t="shared" si="2"/>
        <v>3</v>
      </c>
      <c r="AX44" s="358">
        <f t="shared" si="3"/>
        <v>2</v>
      </c>
    </row>
    <row r="45">
      <c r="A45" s="157" t="s">
        <v>1812</v>
      </c>
      <c r="B45" s="158" t="s">
        <v>236</v>
      </c>
      <c r="C45" s="684" t="s">
        <v>234</v>
      </c>
      <c r="D45" s="685" t="s">
        <v>1625</v>
      </c>
      <c r="E45" s="545">
        <v>40939.0</v>
      </c>
      <c r="F45" s="47" t="s">
        <v>354</v>
      </c>
      <c r="G45" s="47" t="s">
        <v>354</v>
      </c>
      <c r="H45" s="47" t="s">
        <v>354</v>
      </c>
      <c r="I45" s="47" t="s">
        <v>354</v>
      </c>
      <c r="J45" s="47" t="s">
        <v>354</v>
      </c>
      <c r="K45" s="158">
        <v>0.0</v>
      </c>
      <c r="L45" s="158" t="s">
        <v>832</v>
      </c>
      <c r="M45" s="265"/>
      <c r="N45" s="265"/>
      <c r="O45" s="158" t="s">
        <v>556</v>
      </c>
      <c r="P45" s="723">
        <v>0.0</v>
      </c>
      <c r="Q45" s="157" t="s">
        <v>354</v>
      </c>
      <c r="R45" s="723">
        <v>0.0</v>
      </c>
      <c r="S45" s="551" t="s">
        <v>354</v>
      </c>
      <c r="T45" s="551" t="s">
        <v>354</v>
      </c>
      <c r="U45" s="551" t="s">
        <v>354</v>
      </c>
      <c r="V45" s="723">
        <v>0.0</v>
      </c>
      <c r="W45" s="723">
        <v>0.0</v>
      </c>
      <c r="X45" s="551" t="s">
        <v>354</v>
      </c>
      <c r="Y45" s="551" t="s">
        <v>354</v>
      </c>
      <c r="Z45" s="157" t="s">
        <v>354</v>
      </c>
      <c r="AA45" s="157" t="s">
        <v>354</v>
      </c>
      <c r="AB45" s="157" t="s">
        <v>354</v>
      </c>
      <c r="AC45" s="157" t="s">
        <v>354</v>
      </c>
      <c r="AD45" s="732" t="s">
        <v>356</v>
      </c>
      <c r="AE45" s="732" t="s">
        <v>354</v>
      </c>
      <c r="AF45" s="675" t="s">
        <v>356</v>
      </c>
      <c r="AG45" s="675" t="s">
        <v>354</v>
      </c>
      <c r="AH45" s="733" t="s">
        <v>356</v>
      </c>
      <c r="AI45" s="733" t="s">
        <v>354</v>
      </c>
      <c r="AJ45" s="46">
        <f t="shared" si="1"/>
        <v>0</v>
      </c>
      <c r="AN45" s="265"/>
      <c r="AO45" s="80">
        <v>0.0</v>
      </c>
      <c r="AP45" s="80">
        <v>0.0</v>
      </c>
      <c r="AQ45" s="80">
        <v>0.0</v>
      </c>
      <c r="AR45" s="224">
        <v>0.0</v>
      </c>
      <c r="AS45" s="80">
        <v>0.0</v>
      </c>
      <c r="AT45" s="224">
        <v>0.0</v>
      </c>
      <c r="AU45" s="80">
        <v>0.0</v>
      </c>
      <c r="AV45" s="80">
        <v>0.0</v>
      </c>
      <c r="AW45" s="182">
        <f t="shared" si="2"/>
        <v>0</v>
      </c>
      <c r="AX45" s="182">
        <f t="shared" si="3"/>
        <v>0</v>
      </c>
    </row>
    <row r="46">
      <c r="A46" s="157" t="s">
        <v>1813</v>
      </c>
      <c r="B46" s="158" t="s">
        <v>109</v>
      </c>
      <c r="C46" s="684" t="s">
        <v>109</v>
      </c>
      <c r="D46" s="685" t="s">
        <v>536</v>
      </c>
      <c r="E46" s="545">
        <v>40939.0</v>
      </c>
      <c r="F46" s="47" t="s">
        <v>354</v>
      </c>
      <c r="G46" s="47" t="s">
        <v>354</v>
      </c>
      <c r="H46" s="47" t="s">
        <v>354</v>
      </c>
      <c r="I46" s="47" t="s">
        <v>354</v>
      </c>
      <c r="J46" s="47" t="s">
        <v>354</v>
      </c>
      <c r="K46" s="158">
        <v>1.0</v>
      </c>
      <c r="L46" s="158" t="s">
        <v>538</v>
      </c>
      <c r="M46" s="265"/>
      <c r="N46" s="265"/>
      <c r="O46" s="158" t="s">
        <v>455</v>
      </c>
      <c r="P46" s="723">
        <v>0.0</v>
      </c>
      <c r="Q46" s="157" t="s">
        <v>354</v>
      </c>
      <c r="R46" s="723">
        <v>0.0</v>
      </c>
      <c r="S46" s="551" t="s">
        <v>354</v>
      </c>
      <c r="T46" s="551" t="s">
        <v>354</v>
      </c>
      <c r="U46" s="551" t="s">
        <v>354</v>
      </c>
      <c r="V46" s="723">
        <v>0.0</v>
      </c>
      <c r="W46" s="723">
        <v>0.0</v>
      </c>
      <c r="X46" s="551" t="s">
        <v>354</v>
      </c>
      <c r="Y46" s="551" t="s">
        <v>354</v>
      </c>
      <c r="Z46" s="157" t="s">
        <v>354</v>
      </c>
      <c r="AA46" s="157" t="s">
        <v>354</v>
      </c>
      <c r="AB46" s="157" t="s">
        <v>354</v>
      </c>
      <c r="AC46" s="157" t="s">
        <v>354</v>
      </c>
      <c r="AD46" s="732" t="s">
        <v>356</v>
      </c>
      <c r="AE46" s="732" t="s">
        <v>354</v>
      </c>
      <c r="AF46" s="734" t="s">
        <v>365</v>
      </c>
      <c r="AG46" s="40" t="s">
        <v>357</v>
      </c>
      <c r="AH46" s="735" t="s">
        <v>365</v>
      </c>
      <c r="AI46" s="40" t="s">
        <v>357</v>
      </c>
      <c r="AJ46" s="357">
        <f t="shared" si="1"/>
        <v>2</v>
      </c>
      <c r="AN46" s="265"/>
      <c r="AO46" s="80">
        <v>0.0</v>
      </c>
      <c r="AP46" s="80">
        <v>0.0</v>
      </c>
      <c r="AQ46" s="80">
        <v>0.0</v>
      </c>
      <c r="AR46" s="224">
        <v>0.0</v>
      </c>
      <c r="AS46" s="80">
        <v>0.0</v>
      </c>
      <c r="AT46" s="224">
        <v>2.0</v>
      </c>
      <c r="AU46" s="80">
        <v>0.0</v>
      </c>
      <c r="AV46" s="80">
        <v>0.0</v>
      </c>
      <c r="AW46" s="358">
        <f t="shared" si="2"/>
        <v>2</v>
      </c>
      <c r="AX46" s="358">
        <f t="shared" si="3"/>
        <v>1</v>
      </c>
    </row>
    <row r="47">
      <c r="A47" s="157" t="s">
        <v>1814</v>
      </c>
      <c r="B47" s="634" t="s">
        <v>274</v>
      </c>
      <c r="C47" s="684" t="s">
        <v>271</v>
      </c>
      <c r="D47" s="692" t="s">
        <v>924</v>
      </c>
      <c r="E47" s="545">
        <v>40939.0</v>
      </c>
      <c r="F47" s="47" t="s">
        <v>354</v>
      </c>
      <c r="G47" s="47" t="s">
        <v>354</v>
      </c>
      <c r="H47" s="47" t="s">
        <v>354</v>
      </c>
      <c r="I47" s="47" t="s">
        <v>354</v>
      </c>
      <c r="J47" s="47" t="s">
        <v>354</v>
      </c>
      <c r="K47" s="158">
        <v>1.0</v>
      </c>
      <c r="L47" s="158" t="s">
        <v>929</v>
      </c>
      <c r="M47" s="265"/>
      <c r="N47" s="265"/>
      <c r="O47" s="158" t="s">
        <v>455</v>
      </c>
      <c r="P47" s="723">
        <v>0.0</v>
      </c>
      <c r="Q47" s="157" t="s">
        <v>354</v>
      </c>
      <c r="R47" s="723">
        <v>0.0</v>
      </c>
      <c r="S47" s="551" t="s">
        <v>354</v>
      </c>
      <c r="T47" s="551" t="s">
        <v>354</v>
      </c>
      <c r="U47" s="551" t="s">
        <v>354</v>
      </c>
      <c r="V47" s="723">
        <v>0.0</v>
      </c>
      <c r="W47" s="723">
        <v>0.0</v>
      </c>
      <c r="X47" s="551" t="s">
        <v>354</v>
      </c>
      <c r="Y47" s="551" t="s">
        <v>354</v>
      </c>
      <c r="Z47" s="157" t="s">
        <v>354</v>
      </c>
      <c r="AA47" s="157" t="s">
        <v>354</v>
      </c>
      <c r="AB47" s="157" t="s">
        <v>354</v>
      </c>
      <c r="AC47" s="157" t="s">
        <v>354</v>
      </c>
      <c r="AD47" s="732" t="s">
        <v>356</v>
      </c>
      <c r="AE47" s="732" t="s">
        <v>354</v>
      </c>
      <c r="AF47" s="675" t="s">
        <v>356</v>
      </c>
      <c r="AG47" s="675" t="s">
        <v>354</v>
      </c>
      <c r="AH47" s="726" t="s">
        <v>365</v>
      </c>
      <c r="AI47" s="44" t="s">
        <v>420</v>
      </c>
      <c r="AJ47" s="367">
        <f t="shared" si="1"/>
        <v>1</v>
      </c>
      <c r="AN47" s="265"/>
      <c r="AO47" s="80">
        <v>0.0</v>
      </c>
      <c r="AP47" s="224">
        <v>1.0</v>
      </c>
      <c r="AQ47" s="80">
        <v>0.0</v>
      </c>
      <c r="AR47" s="224">
        <v>0.0</v>
      </c>
      <c r="AS47" s="80">
        <v>0.0</v>
      </c>
      <c r="AT47" s="224">
        <v>0.0</v>
      </c>
      <c r="AU47" s="80">
        <v>0.0</v>
      </c>
      <c r="AV47" s="80">
        <v>0.0</v>
      </c>
      <c r="AW47" s="363">
        <f t="shared" si="2"/>
        <v>1</v>
      </c>
      <c r="AX47" s="363">
        <f t="shared" si="3"/>
        <v>1</v>
      </c>
    </row>
    <row r="48">
      <c r="A48" s="157" t="s">
        <v>1815</v>
      </c>
      <c r="B48" s="634" t="s">
        <v>1816</v>
      </c>
      <c r="C48" s="702" t="s">
        <v>271</v>
      </c>
      <c r="D48" s="692" t="s">
        <v>924</v>
      </c>
      <c r="E48" s="545">
        <v>40939.0</v>
      </c>
      <c r="F48" s="47" t="s">
        <v>354</v>
      </c>
      <c r="G48" s="47" t="s">
        <v>354</v>
      </c>
      <c r="H48" s="47" t="s">
        <v>354</v>
      </c>
      <c r="I48" s="47" t="s">
        <v>354</v>
      </c>
      <c r="J48" s="47" t="s">
        <v>354</v>
      </c>
      <c r="K48" s="158">
        <v>1.0</v>
      </c>
      <c r="L48" s="158" t="s">
        <v>929</v>
      </c>
      <c r="M48" s="265"/>
      <c r="N48" s="265"/>
      <c r="O48" s="158" t="s">
        <v>455</v>
      </c>
      <c r="P48" s="723">
        <v>0.0</v>
      </c>
      <c r="Q48" s="157" t="s">
        <v>354</v>
      </c>
      <c r="R48" s="723">
        <v>0.0</v>
      </c>
      <c r="S48" s="551" t="s">
        <v>354</v>
      </c>
      <c r="T48" s="551" t="s">
        <v>354</v>
      </c>
      <c r="U48" s="551" t="s">
        <v>354</v>
      </c>
      <c r="V48" s="723">
        <v>0.0</v>
      </c>
      <c r="W48" s="723">
        <v>0.0</v>
      </c>
      <c r="X48" s="551" t="s">
        <v>354</v>
      </c>
      <c r="Y48" s="551" t="s">
        <v>354</v>
      </c>
      <c r="Z48" s="157" t="s">
        <v>354</v>
      </c>
      <c r="AA48" s="157" t="s">
        <v>354</v>
      </c>
      <c r="AB48" s="157" t="s">
        <v>354</v>
      </c>
      <c r="AC48" s="157" t="s">
        <v>354</v>
      </c>
      <c r="AD48" s="732" t="s">
        <v>356</v>
      </c>
      <c r="AE48" s="732" t="s">
        <v>354</v>
      </c>
      <c r="AF48" s="675" t="s">
        <v>356</v>
      </c>
      <c r="AG48" s="675" t="s">
        <v>354</v>
      </c>
      <c r="AH48" s="733" t="s">
        <v>356</v>
      </c>
      <c r="AI48" s="733" t="s">
        <v>354</v>
      </c>
      <c r="AJ48" s="46">
        <f t="shared" si="1"/>
        <v>0</v>
      </c>
      <c r="AO48" s="80">
        <v>0.0</v>
      </c>
      <c r="AP48" s="80">
        <v>0.0</v>
      </c>
      <c r="AQ48" s="80">
        <v>0.0</v>
      </c>
      <c r="AR48" s="224">
        <v>0.0</v>
      </c>
      <c r="AS48" s="80">
        <v>0.0</v>
      </c>
      <c r="AT48" s="224">
        <v>0.0</v>
      </c>
      <c r="AU48" s="80">
        <v>0.0</v>
      </c>
      <c r="AV48" s="80">
        <v>0.0</v>
      </c>
      <c r="AW48" s="182">
        <f t="shared" si="2"/>
        <v>0</v>
      </c>
      <c r="AX48" s="182">
        <f t="shared" si="3"/>
        <v>0</v>
      </c>
    </row>
    <row r="49">
      <c r="A49" s="157" t="s">
        <v>1817</v>
      </c>
      <c r="B49" s="634" t="s">
        <v>572</v>
      </c>
      <c r="C49" s="717" t="s">
        <v>1818</v>
      </c>
      <c r="D49" s="685" t="s">
        <v>1033</v>
      </c>
      <c r="E49" s="545">
        <v>40939.0</v>
      </c>
      <c r="F49" s="47" t="s">
        <v>354</v>
      </c>
      <c r="G49" s="47" t="s">
        <v>354</v>
      </c>
      <c r="H49" s="47" t="s">
        <v>354</v>
      </c>
      <c r="I49" s="47" t="s">
        <v>354</v>
      </c>
      <c r="J49" s="47" t="s">
        <v>354</v>
      </c>
      <c r="K49" s="158">
        <v>1.0</v>
      </c>
      <c r="L49" s="158" t="s">
        <v>1035</v>
      </c>
      <c r="M49" s="265"/>
      <c r="N49" s="265"/>
      <c r="O49" s="158" t="s">
        <v>455</v>
      </c>
      <c r="P49" s="723">
        <v>0.0</v>
      </c>
      <c r="Q49" s="157" t="s">
        <v>354</v>
      </c>
      <c r="R49" s="723">
        <v>0.0</v>
      </c>
      <c r="S49" s="551" t="s">
        <v>354</v>
      </c>
      <c r="T49" s="551" t="s">
        <v>354</v>
      </c>
      <c r="U49" s="551" t="s">
        <v>354</v>
      </c>
      <c r="V49" s="723">
        <v>0.0</v>
      </c>
      <c r="W49" s="723">
        <v>0.0</v>
      </c>
      <c r="X49" s="551" t="s">
        <v>354</v>
      </c>
      <c r="Y49" s="551" t="s">
        <v>354</v>
      </c>
      <c r="Z49" s="157" t="s">
        <v>354</v>
      </c>
      <c r="AA49" s="157" t="s">
        <v>354</v>
      </c>
      <c r="AB49" s="157" t="s">
        <v>354</v>
      </c>
      <c r="AC49" s="157" t="s">
        <v>354</v>
      </c>
      <c r="AD49" s="732" t="s">
        <v>356</v>
      </c>
      <c r="AE49" s="732" t="s">
        <v>354</v>
      </c>
      <c r="AF49" s="675" t="s">
        <v>356</v>
      </c>
      <c r="AG49" s="675" t="s">
        <v>354</v>
      </c>
      <c r="AH49" s="733" t="s">
        <v>356</v>
      </c>
      <c r="AI49" s="733" t="s">
        <v>354</v>
      </c>
      <c r="AJ49" s="46">
        <f t="shared" si="1"/>
        <v>0</v>
      </c>
      <c r="AN49" s="265"/>
      <c r="AO49" s="80">
        <v>0.0</v>
      </c>
      <c r="AP49" s="80">
        <v>0.0</v>
      </c>
      <c r="AQ49" s="80">
        <v>0.0</v>
      </c>
      <c r="AR49" s="224">
        <v>0.0</v>
      </c>
      <c r="AS49" s="80">
        <v>0.0</v>
      </c>
      <c r="AT49" s="224">
        <v>0.0</v>
      </c>
      <c r="AU49" s="80">
        <v>0.0</v>
      </c>
      <c r="AV49" s="80">
        <v>0.0</v>
      </c>
      <c r="AW49" s="182">
        <f t="shared" si="2"/>
        <v>0</v>
      </c>
      <c r="AX49" s="182">
        <f t="shared" si="3"/>
        <v>0</v>
      </c>
    </row>
    <row r="50">
      <c r="A50" s="157" t="s">
        <v>1819</v>
      </c>
      <c r="B50" s="634" t="s">
        <v>572</v>
      </c>
      <c r="C50" s="78" t="s">
        <v>1818</v>
      </c>
      <c r="D50" s="692" t="s">
        <v>573</v>
      </c>
      <c r="E50" s="545">
        <v>40939.0</v>
      </c>
      <c r="F50" s="47" t="s">
        <v>354</v>
      </c>
      <c r="G50" s="47" t="s">
        <v>354</v>
      </c>
      <c r="H50" s="47" t="s">
        <v>354</v>
      </c>
      <c r="I50" s="47" t="s">
        <v>354</v>
      </c>
      <c r="J50" s="47" t="s">
        <v>354</v>
      </c>
      <c r="K50" s="158">
        <v>2.0</v>
      </c>
      <c r="L50" s="158" t="s">
        <v>581</v>
      </c>
      <c r="M50" s="265"/>
      <c r="N50" s="265"/>
      <c r="O50" s="158" t="s">
        <v>580</v>
      </c>
      <c r="P50" s="723">
        <v>0.0</v>
      </c>
      <c r="Q50" s="157" t="s">
        <v>354</v>
      </c>
      <c r="R50" s="723">
        <v>0.0</v>
      </c>
      <c r="S50" s="551" t="s">
        <v>354</v>
      </c>
      <c r="T50" s="551" t="s">
        <v>354</v>
      </c>
      <c r="U50" s="551" t="s">
        <v>354</v>
      </c>
      <c r="V50" s="723">
        <v>0.0</v>
      </c>
      <c r="W50" s="723">
        <v>0.0</v>
      </c>
      <c r="X50" s="551" t="s">
        <v>354</v>
      </c>
      <c r="Y50" s="551" t="s">
        <v>354</v>
      </c>
      <c r="Z50" s="157" t="s">
        <v>354</v>
      </c>
      <c r="AA50" s="157" t="s">
        <v>354</v>
      </c>
      <c r="AB50" s="157" t="s">
        <v>354</v>
      </c>
      <c r="AC50" s="157" t="s">
        <v>354</v>
      </c>
      <c r="AD50" s="724" t="s">
        <v>365</v>
      </c>
      <c r="AE50" s="40" t="s">
        <v>357</v>
      </c>
      <c r="AF50" s="675" t="s">
        <v>356</v>
      </c>
      <c r="AG50" s="675" t="s">
        <v>354</v>
      </c>
      <c r="AH50" s="733" t="s">
        <v>356</v>
      </c>
      <c r="AI50" s="733" t="s">
        <v>354</v>
      </c>
      <c r="AJ50" s="367">
        <f t="shared" si="1"/>
        <v>1</v>
      </c>
      <c r="AN50" s="265"/>
      <c r="AO50" s="80">
        <v>0.0</v>
      </c>
      <c r="AP50" s="80">
        <v>0.0</v>
      </c>
      <c r="AQ50" s="80">
        <v>0.0</v>
      </c>
      <c r="AR50" s="224">
        <v>0.0</v>
      </c>
      <c r="AS50" s="80">
        <v>0.0</v>
      </c>
      <c r="AT50" s="224">
        <v>1.0</v>
      </c>
      <c r="AU50" s="80">
        <v>0.0</v>
      </c>
      <c r="AV50" s="80">
        <v>0.0</v>
      </c>
      <c r="AW50" s="363">
        <f t="shared" si="2"/>
        <v>1</v>
      </c>
      <c r="AX50" s="363">
        <f t="shared" si="3"/>
        <v>1</v>
      </c>
    </row>
    <row r="51">
      <c r="A51" s="157" t="s">
        <v>1820</v>
      </c>
      <c r="B51" s="184" t="s">
        <v>904</v>
      </c>
      <c r="C51" s="715" t="s">
        <v>899</v>
      </c>
      <c r="D51" s="687" t="s">
        <v>900</v>
      </c>
      <c r="E51" s="545">
        <v>40939.0</v>
      </c>
      <c r="F51" s="47" t="s">
        <v>354</v>
      </c>
      <c r="G51" s="47" t="s">
        <v>354</v>
      </c>
      <c r="H51" s="47" t="s">
        <v>354</v>
      </c>
      <c r="I51" s="47" t="s">
        <v>354</v>
      </c>
      <c r="J51" s="47" t="s">
        <v>354</v>
      </c>
      <c r="K51" s="184">
        <v>0.0</v>
      </c>
      <c r="L51" s="184" t="s">
        <v>354</v>
      </c>
      <c r="M51" s="265"/>
      <c r="N51" s="265"/>
      <c r="O51" s="184" t="s">
        <v>371</v>
      </c>
      <c r="P51" s="723">
        <v>0.0</v>
      </c>
      <c r="Q51" s="157" t="s">
        <v>354</v>
      </c>
      <c r="R51" s="723">
        <v>0.0</v>
      </c>
      <c r="S51" s="551" t="s">
        <v>354</v>
      </c>
      <c r="T51" s="551" t="s">
        <v>354</v>
      </c>
      <c r="U51" s="551" t="s">
        <v>354</v>
      </c>
      <c r="V51" s="723">
        <v>0.0</v>
      </c>
      <c r="W51" s="723">
        <v>0.0</v>
      </c>
      <c r="X51" s="551" t="s">
        <v>354</v>
      </c>
      <c r="Y51" s="551" t="s">
        <v>354</v>
      </c>
      <c r="Z51" s="157" t="s">
        <v>354</v>
      </c>
      <c r="AA51" s="157" t="s">
        <v>354</v>
      </c>
      <c r="AB51" s="157" t="s">
        <v>354</v>
      </c>
      <c r="AC51" s="157" t="s">
        <v>354</v>
      </c>
      <c r="AD51" s="732" t="s">
        <v>356</v>
      </c>
      <c r="AE51" s="732" t="s">
        <v>354</v>
      </c>
      <c r="AF51" s="675" t="s">
        <v>356</v>
      </c>
      <c r="AG51" s="675" t="s">
        <v>354</v>
      </c>
      <c r="AH51" s="733" t="s">
        <v>356</v>
      </c>
      <c r="AI51" s="733" t="s">
        <v>354</v>
      </c>
      <c r="AJ51" s="46">
        <f t="shared" si="1"/>
        <v>0</v>
      </c>
      <c r="AN51" s="265"/>
      <c r="AO51" s="80">
        <v>0.0</v>
      </c>
      <c r="AP51" s="80">
        <v>0.0</v>
      </c>
      <c r="AQ51" s="80">
        <v>0.0</v>
      </c>
      <c r="AR51" s="224">
        <v>0.0</v>
      </c>
      <c r="AS51" s="80">
        <v>0.0</v>
      </c>
      <c r="AT51" s="224">
        <v>0.0</v>
      </c>
      <c r="AU51" s="80">
        <v>0.0</v>
      </c>
      <c r="AV51" s="80">
        <v>0.0</v>
      </c>
      <c r="AW51" s="182">
        <f t="shared" si="2"/>
        <v>0</v>
      </c>
      <c r="AX51" s="182">
        <f t="shared" si="3"/>
        <v>0</v>
      </c>
    </row>
    <row r="52">
      <c r="A52" s="157" t="s">
        <v>1821</v>
      </c>
      <c r="B52" s="184" t="s">
        <v>951</v>
      </c>
      <c r="C52" s="715" t="s">
        <v>947</v>
      </c>
      <c r="D52" s="687" t="s">
        <v>1665</v>
      </c>
      <c r="E52" s="545">
        <v>40939.0</v>
      </c>
      <c r="F52" s="47" t="s">
        <v>354</v>
      </c>
      <c r="G52" s="47" t="s">
        <v>354</v>
      </c>
      <c r="H52" s="47" t="s">
        <v>354</v>
      </c>
      <c r="I52" s="47" t="s">
        <v>354</v>
      </c>
      <c r="J52" s="47" t="s">
        <v>354</v>
      </c>
      <c r="K52" s="184">
        <v>0.0</v>
      </c>
      <c r="L52" s="184" t="s">
        <v>354</v>
      </c>
      <c r="M52" s="265"/>
      <c r="N52" s="265"/>
      <c r="O52" s="184" t="s">
        <v>371</v>
      </c>
      <c r="P52" s="154">
        <v>25.5873191689799</v>
      </c>
      <c r="Q52" s="157" t="s">
        <v>354</v>
      </c>
      <c r="R52" s="723">
        <v>0.0</v>
      </c>
      <c r="S52" s="551" t="s">
        <v>354</v>
      </c>
      <c r="T52" s="551" t="s">
        <v>354</v>
      </c>
      <c r="U52" s="551" t="s">
        <v>354</v>
      </c>
      <c r="V52" s="723">
        <v>0.0</v>
      </c>
      <c r="W52" s="723">
        <v>0.0</v>
      </c>
      <c r="X52" s="551" t="s">
        <v>354</v>
      </c>
      <c r="Y52" s="551" t="s">
        <v>354</v>
      </c>
      <c r="Z52" s="157" t="s">
        <v>354</v>
      </c>
      <c r="AA52" s="157" t="s">
        <v>354</v>
      </c>
      <c r="AB52" s="157" t="s">
        <v>354</v>
      </c>
      <c r="AC52" s="157" t="s">
        <v>354</v>
      </c>
      <c r="AD52" s="724" t="s">
        <v>365</v>
      </c>
      <c r="AE52" s="90" t="s">
        <v>413</v>
      </c>
      <c r="AF52" s="734" t="s">
        <v>365</v>
      </c>
      <c r="AG52" s="90" t="s">
        <v>413</v>
      </c>
      <c r="AH52" s="735" t="s">
        <v>365</v>
      </c>
      <c r="AI52" s="90" t="s">
        <v>413</v>
      </c>
      <c r="AJ52" s="357">
        <f t="shared" si="1"/>
        <v>4</v>
      </c>
      <c r="AN52" s="265"/>
      <c r="AO52" s="80">
        <v>0.0</v>
      </c>
      <c r="AP52" s="80">
        <v>0.0</v>
      </c>
      <c r="AQ52" s="80">
        <v>0.0</v>
      </c>
      <c r="AR52" s="224">
        <v>0.0</v>
      </c>
      <c r="AS52" s="224">
        <v>3.0</v>
      </c>
      <c r="AT52" s="224">
        <v>0.0</v>
      </c>
      <c r="AU52" s="80">
        <v>0.0</v>
      </c>
      <c r="AV52" s="80">
        <v>0.0</v>
      </c>
      <c r="AW52" s="358">
        <f t="shared" si="2"/>
        <v>3</v>
      </c>
      <c r="AX52" s="358">
        <f t="shared" si="3"/>
        <v>1</v>
      </c>
    </row>
    <row r="53">
      <c r="A53" s="157" t="s">
        <v>1822</v>
      </c>
      <c r="B53" s="157" t="s">
        <v>975</v>
      </c>
      <c r="C53" s="49" t="s">
        <v>1823</v>
      </c>
      <c r="D53" s="18" t="s">
        <v>971</v>
      </c>
      <c r="E53" s="545">
        <v>40939.0</v>
      </c>
      <c r="F53" s="47" t="s">
        <v>354</v>
      </c>
      <c r="G53" s="47" t="s">
        <v>354</v>
      </c>
      <c r="H53" s="47" t="s">
        <v>354</v>
      </c>
      <c r="I53" s="47" t="s">
        <v>354</v>
      </c>
      <c r="J53" s="47" t="s">
        <v>354</v>
      </c>
      <c r="K53" s="47" t="s">
        <v>354</v>
      </c>
      <c r="L53" s="47"/>
      <c r="M53" s="47" t="s">
        <v>354</v>
      </c>
      <c r="N53" s="235"/>
      <c r="O53" s="235" t="s">
        <v>354</v>
      </c>
      <c r="P53" s="154">
        <v>27.5023922410173</v>
      </c>
      <c r="Q53" s="157" t="s">
        <v>354</v>
      </c>
      <c r="R53" s="723">
        <v>0.0</v>
      </c>
      <c r="S53" s="551" t="s">
        <v>354</v>
      </c>
      <c r="T53" s="551" t="s">
        <v>354</v>
      </c>
      <c r="U53" s="551" t="s">
        <v>354</v>
      </c>
      <c r="V53" s="723">
        <v>0.0</v>
      </c>
      <c r="W53" s="723">
        <v>0.0</v>
      </c>
      <c r="X53" s="551" t="s">
        <v>354</v>
      </c>
      <c r="Y53" s="551" t="s">
        <v>354</v>
      </c>
      <c r="Z53" s="157" t="s">
        <v>354</v>
      </c>
      <c r="AA53" s="157" t="s">
        <v>354</v>
      </c>
      <c r="AB53" s="157" t="s">
        <v>354</v>
      </c>
      <c r="AC53" s="157" t="s">
        <v>354</v>
      </c>
      <c r="AD53" s="724" t="s">
        <v>365</v>
      </c>
      <c r="AE53" s="181" t="s">
        <v>389</v>
      </c>
      <c r="AF53" s="734" t="s">
        <v>365</v>
      </c>
      <c r="AG53" s="90" t="s">
        <v>413</v>
      </c>
      <c r="AH53" s="735" t="s">
        <v>365</v>
      </c>
      <c r="AI53" s="90" t="s">
        <v>413</v>
      </c>
      <c r="AJ53" s="357">
        <f t="shared" si="1"/>
        <v>4</v>
      </c>
      <c r="AN53" s="265"/>
      <c r="AO53" s="224">
        <v>1.0</v>
      </c>
      <c r="AP53" s="80">
        <v>0.0</v>
      </c>
      <c r="AQ53" s="80">
        <v>0.0</v>
      </c>
      <c r="AR53" s="224">
        <v>0.0</v>
      </c>
      <c r="AS53" s="224">
        <v>2.0</v>
      </c>
      <c r="AT53" s="224">
        <v>0.0</v>
      </c>
      <c r="AU53" s="80">
        <v>0.0</v>
      </c>
      <c r="AV53" s="80">
        <v>0.0</v>
      </c>
      <c r="AW53" s="358">
        <f t="shared" si="2"/>
        <v>3</v>
      </c>
      <c r="AX53" s="358">
        <f t="shared" si="3"/>
        <v>2</v>
      </c>
    </row>
    <row r="54">
      <c r="A54" s="157" t="s">
        <v>1824</v>
      </c>
      <c r="B54" s="157" t="s">
        <v>982</v>
      </c>
      <c r="C54" s="49" t="s">
        <v>982</v>
      </c>
      <c r="D54" s="18" t="s">
        <v>980</v>
      </c>
      <c r="E54" s="545">
        <v>40939.0</v>
      </c>
      <c r="F54" s="47" t="s">
        <v>354</v>
      </c>
      <c r="G54" s="47" t="s">
        <v>354</v>
      </c>
      <c r="H54" s="47" t="s">
        <v>354</v>
      </c>
      <c r="I54" s="47" t="s">
        <v>354</v>
      </c>
      <c r="J54" s="47" t="s">
        <v>354</v>
      </c>
      <c r="K54" s="47" t="s">
        <v>354</v>
      </c>
      <c r="L54" s="47"/>
      <c r="M54" s="47" t="s">
        <v>354</v>
      </c>
      <c r="N54" s="235"/>
      <c r="O54" s="235" t="s">
        <v>354</v>
      </c>
      <c r="P54" s="723">
        <v>0.0</v>
      </c>
      <c r="Q54" s="157" t="s">
        <v>354</v>
      </c>
      <c r="R54" s="723">
        <v>0.0</v>
      </c>
      <c r="S54" s="551" t="s">
        <v>354</v>
      </c>
      <c r="T54" s="551" t="s">
        <v>354</v>
      </c>
      <c r="U54" s="551" t="s">
        <v>354</v>
      </c>
      <c r="V54" s="723">
        <v>0.0</v>
      </c>
      <c r="W54" s="723">
        <v>0.0</v>
      </c>
      <c r="X54" s="551" t="s">
        <v>354</v>
      </c>
      <c r="Y54" s="551" t="s">
        <v>354</v>
      </c>
      <c r="Z54" s="157" t="s">
        <v>354</v>
      </c>
      <c r="AA54" s="157" t="s">
        <v>354</v>
      </c>
      <c r="AB54" s="157" t="s">
        <v>354</v>
      </c>
      <c r="AC54" s="157" t="s">
        <v>354</v>
      </c>
      <c r="AD54" s="732" t="s">
        <v>356</v>
      </c>
      <c r="AE54" s="732" t="s">
        <v>354</v>
      </c>
      <c r="AF54" s="675" t="s">
        <v>356</v>
      </c>
      <c r="AG54" s="675" t="s">
        <v>354</v>
      </c>
      <c r="AH54" s="733" t="s">
        <v>356</v>
      </c>
      <c r="AI54" s="733" t="s">
        <v>354</v>
      </c>
      <c r="AJ54" s="46">
        <f t="shared" si="1"/>
        <v>0</v>
      </c>
      <c r="AN54" s="265"/>
      <c r="AO54" s="80">
        <v>0.0</v>
      </c>
      <c r="AP54" s="80">
        <v>0.0</v>
      </c>
      <c r="AQ54" s="80">
        <v>0.0</v>
      </c>
      <c r="AR54" s="224">
        <v>0.0</v>
      </c>
      <c r="AS54" s="80">
        <v>0.0</v>
      </c>
      <c r="AT54" s="224">
        <v>0.0</v>
      </c>
      <c r="AU54" s="80">
        <v>0.0</v>
      </c>
      <c r="AV54" s="80">
        <v>0.0</v>
      </c>
      <c r="AW54" s="182">
        <f t="shared" si="2"/>
        <v>0</v>
      </c>
      <c r="AX54" s="182">
        <f t="shared" si="3"/>
        <v>0</v>
      </c>
    </row>
    <row r="55">
      <c r="A55" s="157" t="s">
        <v>1825</v>
      </c>
      <c r="B55" s="184" t="s">
        <v>253</v>
      </c>
      <c r="C55" s="41" t="s">
        <v>881</v>
      </c>
      <c r="D55" s="687" t="s">
        <v>882</v>
      </c>
      <c r="E55" s="545">
        <v>40939.0</v>
      </c>
      <c r="F55" s="47" t="s">
        <v>354</v>
      </c>
      <c r="G55" s="47" t="s">
        <v>354</v>
      </c>
      <c r="H55" s="47" t="s">
        <v>354</v>
      </c>
      <c r="I55" s="47" t="s">
        <v>354</v>
      </c>
      <c r="J55" s="47" t="s">
        <v>354</v>
      </c>
      <c r="K55" s="184">
        <v>0.0</v>
      </c>
      <c r="L55" s="184" t="s">
        <v>354</v>
      </c>
      <c r="M55" s="265"/>
      <c r="N55" s="265"/>
      <c r="O55" s="184" t="s">
        <v>371</v>
      </c>
      <c r="P55" s="723">
        <v>0.0</v>
      </c>
      <c r="Q55" s="157" t="s">
        <v>354</v>
      </c>
      <c r="R55" s="723">
        <v>0.0</v>
      </c>
      <c r="S55" s="551" t="s">
        <v>354</v>
      </c>
      <c r="T55" s="551" t="s">
        <v>354</v>
      </c>
      <c r="U55" s="551" t="s">
        <v>354</v>
      </c>
      <c r="V55" s="723">
        <v>0.0</v>
      </c>
      <c r="W55" s="723">
        <v>0.0</v>
      </c>
      <c r="X55" s="551" t="s">
        <v>354</v>
      </c>
      <c r="Y55" s="551" t="s">
        <v>354</v>
      </c>
      <c r="Z55" s="157" t="s">
        <v>354</v>
      </c>
      <c r="AA55" s="157" t="s">
        <v>354</v>
      </c>
      <c r="AB55" s="157" t="s">
        <v>354</v>
      </c>
      <c r="AC55" s="157" t="s">
        <v>354</v>
      </c>
      <c r="AD55" s="732" t="s">
        <v>356</v>
      </c>
      <c r="AE55" s="732" t="s">
        <v>354</v>
      </c>
      <c r="AF55" s="675" t="s">
        <v>356</v>
      </c>
      <c r="AG55" s="675" t="s">
        <v>354</v>
      </c>
      <c r="AH55" s="733" t="s">
        <v>356</v>
      </c>
      <c r="AI55" s="733" t="s">
        <v>354</v>
      </c>
      <c r="AJ55" s="46">
        <f t="shared" si="1"/>
        <v>0</v>
      </c>
      <c r="AN55" s="265"/>
      <c r="AO55" s="80">
        <v>0.0</v>
      </c>
      <c r="AP55" s="80">
        <v>0.0</v>
      </c>
      <c r="AQ55" s="80">
        <v>0.0</v>
      </c>
      <c r="AR55" s="224">
        <v>0.0</v>
      </c>
      <c r="AS55" s="80">
        <v>0.0</v>
      </c>
      <c r="AT55" s="224">
        <v>0.0</v>
      </c>
      <c r="AU55" s="80">
        <v>0.0</v>
      </c>
      <c r="AV55" s="80">
        <v>0.0</v>
      </c>
      <c r="AW55" s="182">
        <f t="shared" si="2"/>
        <v>0</v>
      </c>
      <c r="AX55" s="182">
        <f t="shared" si="3"/>
        <v>0</v>
      </c>
    </row>
    <row r="56">
      <c r="A56" s="157" t="s">
        <v>1826</v>
      </c>
      <c r="B56" s="184" t="s">
        <v>36</v>
      </c>
      <c r="C56" s="271" t="s">
        <v>36</v>
      </c>
      <c r="D56" s="687" t="s">
        <v>411</v>
      </c>
      <c r="E56" s="545">
        <v>40939.0</v>
      </c>
      <c r="F56" s="47" t="s">
        <v>354</v>
      </c>
      <c r="G56" s="47" t="s">
        <v>354</v>
      </c>
      <c r="H56" s="47" t="s">
        <v>354</v>
      </c>
      <c r="I56" s="47" t="s">
        <v>354</v>
      </c>
      <c r="J56" s="47" t="s">
        <v>354</v>
      </c>
      <c r="K56" s="184">
        <v>0.0</v>
      </c>
      <c r="L56" s="184" t="s">
        <v>354</v>
      </c>
      <c r="M56" s="265"/>
      <c r="N56" s="265"/>
      <c r="O56" s="184" t="s">
        <v>371</v>
      </c>
      <c r="P56" s="723">
        <v>0.0</v>
      </c>
      <c r="Q56" s="157" t="s">
        <v>354</v>
      </c>
      <c r="R56" s="723">
        <v>0.0</v>
      </c>
      <c r="S56" s="551" t="s">
        <v>354</v>
      </c>
      <c r="T56" s="551" t="s">
        <v>354</v>
      </c>
      <c r="U56" s="551" t="s">
        <v>354</v>
      </c>
      <c r="V56" s="723">
        <v>0.0</v>
      </c>
      <c r="W56" s="723">
        <v>0.0</v>
      </c>
      <c r="X56" s="551" t="s">
        <v>354</v>
      </c>
      <c r="Y56" s="551" t="s">
        <v>354</v>
      </c>
      <c r="Z56" s="157" t="s">
        <v>354</v>
      </c>
      <c r="AA56" s="157" t="s">
        <v>354</v>
      </c>
      <c r="AB56" s="157" t="s">
        <v>354</v>
      </c>
      <c r="AC56" s="157" t="s">
        <v>354</v>
      </c>
      <c r="AD56" s="732" t="s">
        <v>356</v>
      </c>
      <c r="AE56" s="732" t="s">
        <v>354</v>
      </c>
      <c r="AF56" s="675" t="s">
        <v>356</v>
      </c>
      <c r="AG56" s="675" t="s">
        <v>354</v>
      </c>
      <c r="AH56" s="733" t="s">
        <v>356</v>
      </c>
      <c r="AI56" s="733" t="s">
        <v>354</v>
      </c>
      <c r="AJ56" s="46">
        <f t="shared" si="1"/>
        <v>0</v>
      </c>
      <c r="AN56" s="265"/>
      <c r="AO56" s="80">
        <v>0.0</v>
      </c>
      <c r="AP56" s="80">
        <v>0.0</v>
      </c>
      <c r="AQ56" s="80">
        <v>0.0</v>
      </c>
      <c r="AR56" s="224">
        <v>0.0</v>
      </c>
      <c r="AS56" s="80">
        <v>0.0</v>
      </c>
      <c r="AT56" s="224">
        <v>0.0</v>
      </c>
      <c r="AU56" s="80">
        <v>0.0</v>
      </c>
      <c r="AV56" s="80">
        <v>0.0</v>
      </c>
      <c r="AW56" s="182">
        <f t="shared" si="2"/>
        <v>0</v>
      </c>
      <c r="AX56" s="182">
        <f t="shared" si="3"/>
        <v>0</v>
      </c>
    </row>
    <row r="57">
      <c r="A57" s="157" t="s">
        <v>1827</v>
      </c>
      <c r="B57" s="158" t="s">
        <v>935</v>
      </c>
      <c r="C57" s="78" t="s">
        <v>931</v>
      </c>
      <c r="D57" s="741" t="s">
        <v>932</v>
      </c>
      <c r="E57" s="545">
        <v>40939.0</v>
      </c>
      <c r="F57" s="47" t="s">
        <v>354</v>
      </c>
      <c r="G57" s="47" t="s">
        <v>354</v>
      </c>
      <c r="H57" s="47" t="s">
        <v>354</v>
      </c>
      <c r="I57" s="47" t="s">
        <v>354</v>
      </c>
      <c r="J57" s="47" t="s">
        <v>354</v>
      </c>
      <c r="K57" s="158">
        <v>2.0</v>
      </c>
      <c r="L57" s="158" t="s">
        <v>934</v>
      </c>
      <c r="M57" s="265"/>
      <c r="N57" s="265"/>
      <c r="O57" s="158" t="s">
        <v>398</v>
      </c>
      <c r="P57" s="723">
        <v>0.0</v>
      </c>
      <c r="Q57" s="157" t="s">
        <v>354</v>
      </c>
      <c r="R57" s="723">
        <v>0.0</v>
      </c>
      <c r="S57" s="551" t="s">
        <v>354</v>
      </c>
      <c r="T57" s="551" t="s">
        <v>354</v>
      </c>
      <c r="U57" s="551" t="s">
        <v>354</v>
      </c>
      <c r="V57" s="723">
        <v>0.0</v>
      </c>
      <c r="W57" s="723">
        <v>0.0</v>
      </c>
      <c r="X57" s="551" t="s">
        <v>354</v>
      </c>
      <c r="Y57" s="551" t="s">
        <v>354</v>
      </c>
      <c r="Z57" s="157" t="s">
        <v>354</v>
      </c>
      <c r="AA57" s="157" t="s">
        <v>354</v>
      </c>
      <c r="AB57" s="157" t="s">
        <v>354</v>
      </c>
      <c r="AC57" s="157" t="s">
        <v>354</v>
      </c>
      <c r="AD57" s="732" t="s">
        <v>356</v>
      </c>
      <c r="AE57" s="732" t="s">
        <v>354</v>
      </c>
      <c r="AF57" s="675" t="s">
        <v>356</v>
      </c>
      <c r="AG57" s="675" t="s">
        <v>354</v>
      </c>
      <c r="AH57" s="733" t="s">
        <v>356</v>
      </c>
      <c r="AI57" s="733" t="s">
        <v>354</v>
      </c>
      <c r="AJ57" s="46">
        <f t="shared" si="1"/>
        <v>0</v>
      </c>
      <c r="AN57" s="265"/>
      <c r="AO57" s="80">
        <v>0.0</v>
      </c>
      <c r="AP57" s="80">
        <v>0.0</v>
      </c>
      <c r="AQ57" s="80">
        <v>0.0</v>
      </c>
      <c r="AR57" s="224">
        <v>0.0</v>
      </c>
      <c r="AS57" s="80">
        <v>0.0</v>
      </c>
      <c r="AT57" s="224">
        <v>0.0</v>
      </c>
      <c r="AU57" s="80">
        <v>0.0</v>
      </c>
      <c r="AV57" s="80">
        <v>0.0</v>
      </c>
      <c r="AW57" s="182">
        <f t="shared" si="2"/>
        <v>0</v>
      </c>
      <c r="AX57" s="182">
        <f t="shared" si="3"/>
        <v>0</v>
      </c>
    </row>
    <row r="58">
      <c r="A58" s="157" t="s">
        <v>1828</v>
      </c>
      <c r="B58" s="184" t="s">
        <v>129</v>
      </c>
      <c r="C58" s="271" t="s">
        <v>129</v>
      </c>
      <c r="D58" s="687" t="s">
        <v>564</v>
      </c>
      <c r="E58" s="545">
        <v>40939.0</v>
      </c>
      <c r="F58" s="47" t="s">
        <v>354</v>
      </c>
      <c r="G58" s="47" t="s">
        <v>354</v>
      </c>
      <c r="H58" s="47" t="s">
        <v>354</v>
      </c>
      <c r="I58" s="47" t="s">
        <v>354</v>
      </c>
      <c r="J58" s="47" t="s">
        <v>354</v>
      </c>
      <c r="K58" s="184">
        <v>0.0</v>
      </c>
      <c r="L58" s="184" t="s">
        <v>568</v>
      </c>
      <c r="M58" s="265"/>
      <c r="N58" s="265"/>
      <c r="O58" s="184" t="s">
        <v>371</v>
      </c>
      <c r="P58" s="723">
        <v>0.0</v>
      </c>
      <c r="Q58" s="157" t="s">
        <v>354</v>
      </c>
      <c r="R58" s="723">
        <v>0.0</v>
      </c>
      <c r="S58" s="551" t="s">
        <v>354</v>
      </c>
      <c r="T58" s="551" t="s">
        <v>354</v>
      </c>
      <c r="U58" s="551" t="s">
        <v>354</v>
      </c>
      <c r="V58" s="723">
        <v>0.0</v>
      </c>
      <c r="W58" s="723">
        <v>0.0</v>
      </c>
      <c r="X58" s="551" t="s">
        <v>354</v>
      </c>
      <c r="Y58" s="551" t="s">
        <v>354</v>
      </c>
      <c r="Z58" s="157" t="s">
        <v>354</v>
      </c>
      <c r="AA58" s="157" t="s">
        <v>354</v>
      </c>
      <c r="AB58" s="157" t="s">
        <v>354</v>
      </c>
      <c r="AC58" s="157" t="s">
        <v>354</v>
      </c>
      <c r="AD58" s="732" t="s">
        <v>356</v>
      </c>
      <c r="AE58" s="732" t="s">
        <v>354</v>
      </c>
      <c r="AF58" s="675" t="s">
        <v>356</v>
      </c>
      <c r="AG58" s="675" t="s">
        <v>354</v>
      </c>
      <c r="AH58" s="726" t="s">
        <v>365</v>
      </c>
      <c r="AI58" s="44" t="s">
        <v>420</v>
      </c>
      <c r="AJ58" s="367">
        <f t="shared" si="1"/>
        <v>1</v>
      </c>
      <c r="AN58" s="265"/>
      <c r="AO58" s="80">
        <v>0.0</v>
      </c>
      <c r="AP58" s="224">
        <v>1.0</v>
      </c>
      <c r="AQ58" s="80">
        <v>0.0</v>
      </c>
      <c r="AR58" s="224">
        <v>0.0</v>
      </c>
      <c r="AS58" s="80">
        <v>0.0</v>
      </c>
      <c r="AT58" s="224">
        <v>0.0</v>
      </c>
      <c r="AU58" s="80">
        <v>0.0</v>
      </c>
      <c r="AV58" s="80">
        <v>0.0</v>
      </c>
      <c r="AW58" s="363">
        <f t="shared" si="2"/>
        <v>1</v>
      </c>
      <c r="AX58" s="363">
        <f t="shared" si="3"/>
        <v>1</v>
      </c>
    </row>
    <row r="59">
      <c r="A59" s="157" t="s">
        <v>1829</v>
      </c>
      <c r="B59" s="158" t="s">
        <v>1830</v>
      </c>
      <c r="C59" s="158" t="s">
        <v>906</v>
      </c>
      <c r="D59" s="692" t="s">
        <v>907</v>
      </c>
      <c r="E59" s="545">
        <v>40939.0</v>
      </c>
      <c r="F59" s="47" t="s">
        <v>354</v>
      </c>
      <c r="G59" s="47" t="s">
        <v>354</v>
      </c>
      <c r="H59" s="47" t="s">
        <v>354</v>
      </c>
      <c r="I59" s="47" t="s">
        <v>354</v>
      </c>
      <c r="J59" s="47" t="s">
        <v>354</v>
      </c>
      <c r="K59" s="158">
        <v>1.0</v>
      </c>
      <c r="L59" s="158" t="s">
        <v>912</v>
      </c>
      <c r="M59" s="265"/>
      <c r="N59" s="265"/>
      <c r="O59" s="158" t="s">
        <v>455</v>
      </c>
      <c r="P59" s="154">
        <v>33.739543228348</v>
      </c>
      <c r="Q59" s="157" t="s">
        <v>354</v>
      </c>
      <c r="R59" s="723">
        <v>0.0</v>
      </c>
      <c r="S59" s="551" t="s">
        <v>354</v>
      </c>
      <c r="T59" s="551" t="s">
        <v>354</v>
      </c>
      <c r="U59" s="551" t="s">
        <v>354</v>
      </c>
      <c r="V59" s="723">
        <v>0.0</v>
      </c>
      <c r="W59" s="723">
        <v>0.0</v>
      </c>
      <c r="X59" s="551" t="s">
        <v>354</v>
      </c>
      <c r="Y59" s="551" t="s">
        <v>354</v>
      </c>
      <c r="Z59" s="157" t="s">
        <v>354</v>
      </c>
      <c r="AA59" s="157" t="s">
        <v>354</v>
      </c>
      <c r="AB59" s="157" t="s">
        <v>354</v>
      </c>
      <c r="AC59" s="157" t="s">
        <v>354</v>
      </c>
      <c r="AD59" s="724" t="s">
        <v>365</v>
      </c>
      <c r="AE59" s="90" t="s">
        <v>413</v>
      </c>
      <c r="AF59" s="734" t="s">
        <v>365</v>
      </c>
      <c r="AG59" s="181" t="s">
        <v>389</v>
      </c>
      <c r="AH59" s="735" t="s">
        <v>365</v>
      </c>
      <c r="AI59" s="181" t="s">
        <v>389</v>
      </c>
      <c r="AJ59" s="357">
        <f t="shared" si="1"/>
        <v>4</v>
      </c>
      <c r="AN59" s="265"/>
      <c r="AO59" s="224">
        <v>2.0</v>
      </c>
      <c r="AP59" s="80">
        <v>0.0</v>
      </c>
      <c r="AQ59" s="80">
        <v>0.0</v>
      </c>
      <c r="AR59" s="224">
        <v>0.0</v>
      </c>
      <c r="AS59" s="224">
        <v>1.0</v>
      </c>
      <c r="AT59" s="224">
        <v>0.0</v>
      </c>
      <c r="AU59" s="80">
        <v>0.0</v>
      </c>
      <c r="AV59" s="80">
        <v>0.0</v>
      </c>
      <c r="AW59" s="358">
        <f t="shared" si="2"/>
        <v>3</v>
      </c>
      <c r="AX59" s="358">
        <f t="shared" si="3"/>
        <v>2</v>
      </c>
    </row>
    <row r="60">
      <c r="A60" s="157" t="s">
        <v>1831</v>
      </c>
      <c r="B60" s="157" t="s">
        <v>207</v>
      </c>
      <c r="C60" s="46" t="s">
        <v>207</v>
      </c>
      <c r="D60" s="98" t="s">
        <v>743</v>
      </c>
      <c r="E60" s="545">
        <v>40939.0</v>
      </c>
      <c r="F60" s="47" t="s">
        <v>354</v>
      </c>
      <c r="G60" s="47" t="s">
        <v>354</v>
      </c>
      <c r="H60" s="47" t="s">
        <v>354</v>
      </c>
      <c r="I60" s="47" t="s">
        <v>354</v>
      </c>
      <c r="J60" s="47" t="s">
        <v>354</v>
      </c>
      <c r="K60" s="47" t="s">
        <v>354</v>
      </c>
      <c r="L60" s="47"/>
      <c r="M60" s="47" t="s">
        <v>354</v>
      </c>
      <c r="N60" s="235"/>
      <c r="O60" s="235" t="s">
        <v>354</v>
      </c>
      <c r="P60" s="723">
        <v>0.0</v>
      </c>
      <c r="Q60" s="157" t="s">
        <v>354</v>
      </c>
      <c r="R60" s="723">
        <v>0.0</v>
      </c>
      <c r="S60" s="551" t="s">
        <v>354</v>
      </c>
      <c r="T60" s="551" t="s">
        <v>354</v>
      </c>
      <c r="U60" s="551" t="s">
        <v>354</v>
      </c>
      <c r="V60" s="723">
        <v>0.0</v>
      </c>
      <c r="W60" s="723">
        <v>0.0</v>
      </c>
      <c r="X60" s="551" t="s">
        <v>354</v>
      </c>
      <c r="Y60" s="551" t="s">
        <v>354</v>
      </c>
      <c r="Z60" s="157" t="s">
        <v>354</v>
      </c>
      <c r="AA60" s="157" t="s">
        <v>354</v>
      </c>
      <c r="AB60" s="157" t="s">
        <v>354</v>
      </c>
      <c r="AC60" s="157" t="s">
        <v>354</v>
      </c>
      <c r="AD60" s="732" t="s">
        <v>356</v>
      </c>
      <c r="AE60" s="732" t="s">
        <v>354</v>
      </c>
      <c r="AF60" s="675" t="s">
        <v>356</v>
      </c>
      <c r="AG60" s="675" t="s">
        <v>354</v>
      </c>
      <c r="AH60" s="733" t="s">
        <v>356</v>
      </c>
      <c r="AI60" s="733" t="s">
        <v>354</v>
      </c>
      <c r="AJ60" s="46">
        <f t="shared" si="1"/>
        <v>0</v>
      </c>
      <c r="AN60" s="265"/>
      <c r="AO60" s="80">
        <v>0.0</v>
      </c>
      <c r="AP60" s="80">
        <v>0.0</v>
      </c>
      <c r="AQ60" s="80">
        <v>0.0</v>
      </c>
      <c r="AR60" s="224">
        <v>0.0</v>
      </c>
      <c r="AS60" s="80">
        <v>0.0</v>
      </c>
      <c r="AT60" s="224">
        <v>0.0</v>
      </c>
      <c r="AU60" s="80">
        <v>0.0</v>
      </c>
      <c r="AV60" s="80">
        <v>0.0</v>
      </c>
      <c r="AW60" s="182">
        <f t="shared" si="2"/>
        <v>0</v>
      </c>
      <c r="AX60" s="182">
        <f t="shared" si="3"/>
        <v>0</v>
      </c>
    </row>
    <row r="61">
      <c r="A61" s="157" t="s">
        <v>1832</v>
      </c>
      <c r="B61" s="184" t="s">
        <v>228</v>
      </c>
      <c r="C61" s="271" t="s">
        <v>228</v>
      </c>
      <c r="D61" s="687" t="s">
        <v>1623</v>
      </c>
      <c r="E61" s="545">
        <v>40939.0</v>
      </c>
      <c r="F61" s="47" t="s">
        <v>354</v>
      </c>
      <c r="G61" s="47" t="s">
        <v>354</v>
      </c>
      <c r="H61" s="47" t="s">
        <v>354</v>
      </c>
      <c r="I61" s="47" t="s">
        <v>354</v>
      </c>
      <c r="J61" s="47" t="s">
        <v>354</v>
      </c>
      <c r="K61" s="184">
        <v>0.0</v>
      </c>
      <c r="L61" s="184" t="s">
        <v>354</v>
      </c>
      <c r="M61" s="265"/>
      <c r="N61" s="265"/>
      <c r="O61" s="184" t="s">
        <v>371</v>
      </c>
      <c r="P61" s="154">
        <v>40.6738772285189</v>
      </c>
      <c r="Q61" s="157" t="s">
        <v>354</v>
      </c>
      <c r="R61" s="723">
        <v>0.0</v>
      </c>
      <c r="S61" s="551" t="s">
        <v>354</v>
      </c>
      <c r="T61" s="551" t="s">
        <v>354</v>
      </c>
      <c r="U61" s="551" t="s">
        <v>354</v>
      </c>
      <c r="V61" s="723">
        <v>0.0</v>
      </c>
      <c r="W61" s="723">
        <v>0.0</v>
      </c>
      <c r="X61" s="551" t="s">
        <v>354</v>
      </c>
      <c r="Y61" s="551" t="s">
        <v>354</v>
      </c>
      <c r="Z61" s="157" t="s">
        <v>354</v>
      </c>
      <c r="AA61" s="157" t="s">
        <v>354</v>
      </c>
      <c r="AB61" s="157" t="s">
        <v>354</v>
      </c>
      <c r="AC61" s="157" t="s">
        <v>354</v>
      </c>
      <c r="AD61" s="732" t="s">
        <v>356</v>
      </c>
      <c r="AE61" s="732" t="s">
        <v>354</v>
      </c>
      <c r="AF61" s="734" t="s">
        <v>365</v>
      </c>
      <c r="AG61" s="90" t="s">
        <v>413</v>
      </c>
      <c r="AH61" s="735" t="s">
        <v>365</v>
      </c>
      <c r="AI61" s="90" t="s">
        <v>413</v>
      </c>
      <c r="AJ61" s="357">
        <f t="shared" si="1"/>
        <v>3</v>
      </c>
      <c r="AN61" s="265"/>
      <c r="AO61" s="80">
        <v>0.0</v>
      </c>
      <c r="AP61" s="80">
        <v>0.0</v>
      </c>
      <c r="AQ61" s="80">
        <v>0.0</v>
      </c>
      <c r="AR61" s="224">
        <v>0.0</v>
      </c>
      <c r="AS61" s="224">
        <v>2.0</v>
      </c>
      <c r="AT61" s="224">
        <v>0.0</v>
      </c>
      <c r="AU61" s="80">
        <v>0.0</v>
      </c>
      <c r="AV61" s="80">
        <v>0.0</v>
      </c>
      <c r="AW61" s="358">
        <f t="shared" si="2"/>
        <v>2</v>
      </c>
      <c r="AX61" s="358">
        <f t="shared" si="3"/>
        <v>1</v>
      </c>
    </row>
    <row r="62">
      <c r="A62" s="157" t="s">
        <v>1833</v>
      </c>
      <c r="B62" s="184" t="s">
        <v>898</v>
      </c>
      <c r="C62" s="690" t="s">
        <v>898</v>
      </c>
      <c r="D62" s="711" t="s">
        <v>896</v>
      </c>
      <c r="E62" s="545">
        <v>40939.0</v>
      </c>
      <c r="F62" s="47" t="s">
        <v>354</v>
      </c>
      <c r="G62" s="47" t="s">
        <v>354</v>
      </c>
      <c r="H62" s="47" t="s">
        <v>354</v>
      </c>
      <c r="I62" s="47" t="s">
        <v>354</v>
      </c>
      <c r="J62" s="47" t="s">
        <v>354</v>
      </c>
      <c r="K62" s="184">
        <v>0.0</v>
      </c>
      <c r="L62" s="184" t="s">
        <v>354</v>
      </c>
      <c r="M62" s="265"/>
      <c r="N62" s="265"/>
      <c r="O62" s="184" t="s">
        <v>371</v>
      </c>
      <c r="P62" s="723">
        <v>0.0</v>
      </c>
      <c r="Q62" s="157" t="s">
        <v>354</v>
      </c>
      <c r="R62" s="723">
        <v>0.0</v>
      </c>
      <c r="S62" s="551" t="s">
        <v>354</v>
      </c>
      <c r="T62" s="551" t="s">
        <v>354</v>
      </c>
      <c r="U62" s="551" t="s">
        <v>354</v>
      </c>
      <c r="V62" s="723">
        <v>0.0</v>
      </c>
      <c r="W62" s="723">
        <v>0.0</v>
      </c>
      <c r="X62" s="551" t="s">
        <v>354</v>
      </c>
      <c r="Y62" s="551" t="s">
        <v>354</v>
      </c>
      <c r="Z62" s="157" t="s">
        <v>354</v>
      </c>
      <c r="AA62" s="157" t="s">
        <v>354</v>
      </c>
      <c r="AB62" s="157" t="s">
        <v>354</v>
      </c>
      <c r="AC62" s="157" t="s">
        <v>354</v>
      </c>
      <c r="AD62" s="724" t="s">
        <v>365</v>
      </c>
      <c r="AE62" s="90" t="s">
        <v>413</v>
      </c>
      <c r="AF62" s="675" t="s">
        <v>356</v>
      </c>
      <c r="AG62" s="675" t="s">
        <v>354</v>
      </c>
      <c r="AH62" s="726" t="s">
        <v>365</v>
      </c>
      <c r="AI62" s="44" t="s">
        <v>420</v>
      </c>
      <c r="AJ62" s="357">
        <f t="shared" si="1"/>
        <v>2</v>
      </c>
      <c r="AN62" s="265"/>
      <c r="AO62" s="80">
        <v>0.0</v>
      </c>
      <c r="AP62" s="224">
        <v>1.0</v>
      </c>
      <c r="AQ62" s="80">
        <v>0.0</v>
      </c>
      <c r="AR62" s="224">
        <v>0.0</v>
      </c>
      <c r="AS62" s="224">
        <v>1.0</v>
      </c>
      <c r="AT62" s="224">
        <v>0.0</v>
      </c>
      <c r="AU62" s="80">
        <v>0.0</v>
      </c>
      <c r="AV62" s="80">
        <v>0.0</v>
      </c>
      <c r="AW62" s="358">
        <f t="shared" si="2"/>
        <v>2</v>
      </c>
      <c r="AX62" s="358">
        <f t="shared" si="3"/>
        <v>2</v>
      </c>
    </row>
    <row r="63">
      <c r="A63" s="157" t="s">
        <v>1834</v>
      </c>
      <c r="B63" s="157" t="s">
        <v>779</v>
      </c>
      <c r="C63" s="157" t="s">
        <v>779</v>
      </c>
      <c r="D63" s="273" t="s">
        <v>779</v>
      </c>
      <c r="E63" s="545">
        <v>40939.0</v>
      </c>
      <c r="F63" s="47" t="s">
        <v>354</v>
      </c>
      <c r="G63" s="47" t="s">
        <v>354</v>
      </c>
      <c r="H63" s="47" t="s">
        <v>354</v>
      </c>
      <c r="I63" s="47" t="s">
        <v>354</v>
      </c>
      <c r="J63" s="47" t="s">
        <v>354</v>
      </c>
      <c r="K63" s="47" t="s">
        <v>354</v>
      </c>
      <c r="L63" s="47"/>
      <c r="M63" s="47" t="s">
        <v>354</v>
      </c>
      <c r="N63" s="235"/>
      <c r="O63" s="235" t="s">
        <v>354</v>
      </c>
      <c r="P63" s="723">
        <v>0.0</v>
      </c>
      <c r="Q63" s="157" t="s">
        <v>354</v>
      </c>
      <c r="R63" s="723">
        <v>0.0</v>
      </c>
      <c r="S63" s="551" t="s">
        <v>354</v>
      </c>
      <c r="T63" s="551" t="s">
        <v>354</v>
      </c>
      <c r="U63" s="551" t="s">
        <v>354</v>
      </c>
      <c r="V63" s="723">
        <v>0.0</v>
      </c>
      <c r="W63" s="723">
        <v>0.0</v>
      </c>
      <c r="X63" s="551" t="s">
        <v>354</v>
      </c>
      <c r="Y63" s="551" t="s">
        <v>354</v>
      </c>
      <c r="Z63" s="157" t="s">
        <v>354</v>
      </c>
      <c r="AA63" s="157" t="s">
        <v>354</v>
      </c>
      <c r="AB63" s="157" t="s">
        <v>354</v>
      </c>
      <c r="AC63" s="157" t="s">
        <v>354</v>
      </c>
      <c r="AD63" s="732" t="s">
        <v>356</v>
      </c>
      <c r="AE63" s="732" t="s">
        <v>354</v>
      </c>
      <c r="AF63" s="675" t="s">
        <v>356</v>
      </c>
      <c r="AG63" s="675" t="s">
        <v>354</v>
      </c>
      <c r="AH63" s="733" t="s">
        <v>356</v>
      </c>
      <c r="AI63" s="733" t="s">
        <v>354</v>
      </c>
      <c r="AJ63" s="46">
        <f t="shared" si="1"/>
        <v>0</v>
      </c>
      <c r="AN63" s="265"/>
      <c r="AO63" s="80">
        <v>0.0</v>
      </c>
      <c r="AP63" s="80">
        <v>0.0</v>
      </c>
      <c r="AQ63" s="80">
        <v>0.0</v>
      </c>
      <c r="AR63" s="224">
        <v>0.0</v>
      </c>
      <c r="AS63" s="80">
        <v>0.0</v>
      </c>
      <c r="AT63" s="224">
        <v>0.0</v>
      </c>
      <c r="AU63" s="80">
        <v>0.0</v>
      </c>
      <c r="AV63" s="80">
        <v>0.0</v>
      </c>
      <c r="AW63" s="182">
        <f t="shared" si="2"/>
        <v>0</v>
      </c>
      <c r="AX63" s="182">
        <f t="shared" si="3"/>
        <v>0</v>
      </c>
    </row>
    <row r="64">
      <c r="A64" s="157" t="s">
        <v>1835</v>
      </c>
      <c r="B64" s="184" t="s">
        <v>259</v>
      </c>
      <c r="C64" s="690" t="s">
        <v>259</v>
      </c>
      <c r="D64" s="687" t="s">
        <v>977</v>
      </c>
      <c r="E64" s="545">
        <v>40939.0</v>
      </c>
      <c r="F64" s="47" t="s">
        <v>354</v>
      </c>
      <c r="G64" s="47" t="s">
        <v>354</v>
      </c>
      <c r="H64" s="47" t="s">
        <v>354</v>
      </c>
      <c r="I64" s="47" t="s">
        <v>354</v>
      </c>
      <c r="J64" s="47" t="s">
        <v>354</v>
      </c>
      <c r="K64" s="184">
        <v>0.0</v>
      </c>
      <c r="L64" s="184" t="s">
        <v>354</v>
      </c>
      <c r="M64" s="265"/>
      <c r="N64" s="265"/>
      <c r="O64" s="184" t="s">
        <v>371</v>
      </c>
      <c r="P64" s="723">
        <v>0.0</v>
      </c>
      <c r="Q64" s="157" t="s">
        <v>354</v>
      </c>
      <c r="R64" s="723">
        <v>0.0</v>
      </c>
      <c r="S64" s="551" t="s">
        <v>354</v>
      </c>
      <c r="T64" s="551" t="s">
        <v>354</v>
      </c>
      <c r="U64" s="551" t="s">
        <v>354</v>
      </c>
      <c r="V64" s="723">
        <v>0.0</v>
      </c>
      <c r="W64" s="723">
        <v>0.0</v>
      </c>
      <c r="X64" s="551" t="s">
        <v>354</v>
      </c>
      <c r="Y64" s="551" t="s">
        <v>354</v>
      </c>
      <c r="Z64" s="157" t="s">
        <v>354</v>
      </c>
      <c r="AA64" s="157" t="s">
        <v>354</v>
      </c>
      <c r="AB64" s="157" t="s">
        <v>354</v>
      </c>
      <c r="AC64" s="157" t="s">
        <v>354</v>
      </c>
      <c r="AD64" s="732" t="s">
        <v>356</v>
      </c>
      <c r="AE64" s="732" t="s">
        <v>354</v>
      </c>
      <c r="AF64" s="675" t="s">
        <v>356</v>
      </c>
      <c r="AG64" s="675" t="s">
        <v>354</v>
      </c>
      <c r="AH64" s="733" t="s">
        <v>356</v>
      </c>
      <c r="AI64" s="733" t="s">
        <v>354</v>
      </c>
      <c r="AJ64" s="46">
        <f t="shared" si="1"/>
        <v>0</v>
      </c>
      <c r="AN64" s="265"/>
      <c r="AO64" s="80">
        <v>0.0</v>
      </c>
      <c r="AP64" s="80">
        <v>0.0</v>
      </c>
      <c r="AQ64" s="80">
        <v>0.0</v>
      </c>
      <c r="AR64" s="224">
        <v>0.0</v>
      </c>
      <c r="AS64" s="80">
        <v>0.0</v>
      </c>
      <c r="AT64" s="224">
        <v>0.0</v>
      </c>
      <c r="AU64" s="80">
        <v>0.0</v>
      </c>
      <c r="AV64" s="80">
        <v>0.0</v>
      </c>
      <c r="AW64" s="182">
        <f t="shared" si="2"/>
        <v>0</v>
      </c>
      <c r="AX64" s="182">
        <f t="shared" si="3"/>
        <v>0</v>
      </c>
    </row>
    <row r="65">
      <c r="A65" s="157" t="s">
        <v>1836</v>
      </c>
      <c r="B65" s="158" t="s">
        <v>682</v>
      </c>
      <c r="C65" s="78" t="s">
        <v>675</v>
      </c>
      <c r="D65" s="692" t="s">
        <v>676</v>
      </c>
      <c r="E65" s="545">
        <v>40939.0</v>
      </c>
      <c r="F65" s="47" t="s">
        <v>354</v>
      </c>
      <c r="G65" s="47" t="s">
        <v>354</v>
      </c>
      <c r="H65" s="47" t="s">
        <v>354</v>
      </c>
      <c r="I65" s="47" t="s">
        <v>354</v>
      </c>
      <c r="J65" s="47" t="s">
        <v>354</v>
      </c>
      <c r="K65" s="158">
        <v>1.0</v>
      </c>
      <c r="L65" s="158" t="s">
        <v>681</v>
      </c>
      <c r="M65" s="265"/>
      <c r="N65" s="265"/>
      <c r="O65" s="158" t="s">
        <v>455</v>
      </c>
      <c r="P65" s="723">
        <v>0.0</v>
      </c>
      <c r="Q65" s="157" t="s">
        <v>354</v>
      </c>
      <c r="R65" s="723">
        <v>0.0</v>
      </c>
      <c r="S65" s="551" t="s">
        <v>354</v>
      </c>
      <c r="T65" s="551" t="s">
        <v>354</v>
      </c>
      <c r="U65" s="551" t="s">
        <v>354</v>
      </c>
      <c r="V65" s="723">
        <v>0.0</v>
      </c>
      <c r="W65" s="723">
        <v>0.0</v>
      </c>
      <c r="X65" s="551" t="s">
        <v>354</v>
      </c>
      <c r="Y65" s="551" t="s">
        <v>354</v>
      </c>
      <c r="Z65" s="157" t="s">
        <v>354</v>
      </c>
      <c r="AA65" s="157" t="s">
        <v>354</v>
      </c>
      <c r="AB65" s="157" t="s">
        <v>354</v>
      </c>
      <c r="AC65" s="157" t="s">
        <v>354</v>
      </c>
      <c r="AD65" s="732" t="s">
        <v>356</v>
      </c>
      <c r="AE65" s="732" t="s">
        <v>354</v>
      </c>
      <c r="AF65" s="675" t="s">
        <v>356</v>
      </c>
      <c r="AG65" s="675" t="s">
        <v>354</v>
      </c>
      <c r="AH65" s="733" t="s">
        <v>356</v>
      </c>
      <c r="AI65" s="733" t="s">
        <v>354</v>
      </c>
      <c r="AJ65" s="46">
        <f t="shared" si="1"/>
        <v>0</v>
      </c>
      <c r="AN65" s="265"/>
      <c r="AO65" s="80">
        <v>0.0</v>
      </c>
      <c r="AP65" s="80">
        <v>0.0</v>
      </c>
      <c r="AQ65" s="80">
        <v>0.0</v>
      </c>
      <c r="AR65" s="224">
        <v>0.0</v>
      </c>
      <c r="AS65" s="80">
        <v>0.0</v>
      </c>
      <c r="AT65" s="224">
        <v>0.0</v>
      </c>
      <c r="AU65" s="80">
        <v>0.0</v>
      </c>
      <c r="AV65" s="80">
        <v>0.0</v>
      </c>
      <c r="AW65" s="182">
        <f t="shared" si="2"/>
        <v>0</v>
      </c>
      <c r="AX65" s="182">
        <f t="shared" si="3"/>
        <v>0</v>
      </c>
    </row>
    <row r="66">
      <c r="A66" s="157" t="s">
        <v>1837</v>
      </c>
      <c r="B66" s="179" t="s">
        <v>448</v>
      </c>
      <c r="C66" s="61" t="s">
        <v>437</v>
      </c>
      <c r="D66" s="697" t="s">
        <v>438</v>
      </c>
      <c r="E66" s="545">
        <v>40939.0</v>
      </c>
      <c r="F66" s="47" t="s">
        <v>354</v>
      </c>
      <c r="G66" s="47" t="s">
        <v>354</v>
      </c>
      <c r="H66" s="47" t="s">
        <v>354</v>
      </c>
      <c r="I66" s="47" t="s">
        <v>354</v>
      </c>
      <c r="J66" s="47" t="s">
        <v>354</v>
      </c>
      <c r="K66" s="179">
        <v>2.0</v>
      </c>
      <c r="L66" s="179" t="s">
        <v>447</v>
      </c>
      <c r="M66" s="265"/>
      <c r="N66" s="265"/>
      <c r="O66" s="179" t="s">
        <v>446</v>
      </c>
      <c r="P66" s="723">
        <v>0.0</v>
      </c>
      <c r="Q66" s="157" t="s">
        <v>354</v>
      </c>
      <c r="R66" s="723">
        <v>0.0</v>
      </c>
      <c r="S66" s="551" t="s">
        <v>354</v>
      </c>
      <c r="T66" s="551" t="s">
        <v>354</v>
      </c>
      <c r="U66" s="551" t="s">
        <v>354</v>
      </c>
      <c r="V66" s="723">
        <v>0.0</v>
      </c>
      <c r="W66" s="723">
        <v>0.0</v>
      </c>
      <c r="X66" s="551" t="s">
        <v>354</v>
      </c>
      <c r="Y66" s="551" t="s">
        <v>354</v>
      </c>
      <c r="Z66" s="157" t="s">
        <v>354</v>
      </c>
      <c r="AA66" s="157" t="s">
        <v>354</v>
      </c>
      <c r="AB66" s="157" t="s">
        <v>354</v>
      </c>
      <c r="AC66" s="157" t="s">
        <v>354</v>
      </c>
      <c r="AD66" s="724" t="s">
        <v>365</v>
      </c>
      <c r="AE66" s="181" t="s">
        <v>389</v>
      </c>
      <c r="AF66" s="675" t="s">
        <v>356</v>
      </c>
      <c r="AG66" s="675" t="s">
        <v>354</v>
      </c>
      <c r="AH66" s="733" t="s">
        <v>356</v>
      </c>
      <c r="AI66" s="733" t="s">
        <v>354</v>
      </c>
      <c r="AJ66" s="367">
        <f t="shared" si="1"/>
        <v>1</v>
      </c>
      <c r="AN66" s="265"/>
      <c r="AO66" s="224">
        <v>1.0</v>
      </c>
      <c r="AP66" s="80">
        <v>0.0</v>
      </c>
      <c r="AQ66" s="80">
        <v>0.0</v>
      </c>
      <c r="AR66" s="224">
        <v>0.0</v>
      </c>
      <c r="AS66" s="80">
        <v>0.0</v>
      </c>
      <c r="AT66" s="224">
        <v>0.0</v>
      </c>
      <c r="AU66" s="80">
        <v>0.0</v>
      </c>
      <c r="AV66" s="80">
        <v>0.0</v>
      </c>
      <c r="AW66" s="363">
        <f t="shared" si="2"/>
        <v>1</v>
      </c>
      <c r="AX66" s="363">
        <f t="shared" si="3"/>
        <v>1</v>
      </c>
    </row>
    <row r="67">
      <c r="A67" s="157" t="s">
        <v>1838</v>
      </c>
      <c r="B67" s="157" t="s">
        <v>1044</v>
      </c>
      <c r="C67" s="157" t="s">
        <v>1044</v>
      </c>
      <c r="D67" s="273" t="s">
        <v>1044</v>
      </c>
      <c r="E67" s="545">
        <v>40939.0</v>
      </c>
      <c r="F67" s="47" t="s">
        <v>354</v>
      </c>
      <c r="G67" s="47" t="s">
        <v>354</v>
      </c>
      <c r="H67" s="47" t="s">
        <v>354</v>
      </c>
      <c r="I67" s="47" t="s">
        <v>354</v>
      </c>
      <c r="J67" s="47" t="s">
        <v>354</v>
      </c>
      <c r="K67" s="47" t="s">
        <v>354</v>
      </c>
      <c r="L67" s="47"/>
      <c r="M67" s="47" t="s">
        <v>354</v>
      </c>
      <c r="N67" s="235"/>
      <c r="O67" s="235" t="s">
        <v>354</v>
      </c>
      <c r="P67" s="723">
        <v>0.0</v>
      </c>
      <c r="Q67" s="157" t="s">
        <v>354</v>
      </c>
      <c r="R67" s="723">
        <v>0.0</v>
      </c>
      <c r="S67" s="551" t="s">
        <v>354</v>
      </c>
      <c r="T67" s="551" t="s">
        <v>354</v>
      </c>
      <c r="U67" s="551" t="s">
        <v>354</v>
      </c>
      <c r="V67" s="723">
        <v>0.0</v>
      </c>
      <c r="W67" s="723">
        <v>0.0</v>
      </c>
      <c r="X67" s="551" t="s">
        <v>354</v>
      </c>
      <c r="Y67" s="551" t="s">
        <v>354</v>
      </c>
      <c r="Z67" s="157" t="s">
        <v>354</v>
      </c>
      <c r="AA67" s="157" t="s">
        <v>354</v>
      </c>
      <c r="AB67" s="157" t="s">
        <v>354</v>
      </c>
      <c r="AC67" s="157" t="s">
        <v>354</v>
      </c>
      <c r="AD67" s="732" t="s">
        <v>356</v>
      </c>
      <c r="AE67" s="732" t="s">
        <v>354</v>
      </c>
      <c r="AF67" s="675" t="s">
        <v>356</v>
      </c>
      <c r="AG67" s="675" t="s">
        <v>354</v>
      </c>
      <c r="AH67" s="733" t="s">
        <v>356</v>
      </c>
      <c r="AI67" s="733" t="s">
        <v>354</v>
      </c>
      <c r="AJ67" s="46">
        <f t="shared" si="1"/>
        <v>0</v>
      </c>
      <c r="AN67" s="265"/>
      <c r="AO67" s="80">
        <v>0.0</v>
      </c>
      <c r="AP67" s="80">
        <v>0.0</v>
      </c>
      <c r="AQ67" s="80">
        <v>0.0</v>
      </c>
      <c r="AR67" s="224">
        <v>0.0</v>
      </c>
      <c r="AS67" s="80">
        <v>0.0</v>
      </c>
      <c r="AT67" s="224">
        <v>0.0</v>
      </c>
      <c r="AU67" s="80">
        <v>0.0</v>
      </c>
      <c r="AV67" s="80">
        <v>0.0</v>
      </c>
      <c r="AW67" s="182">
        <f t="shared" si="2"/>
        <v>0</v>
      </c>
      <c r="AX67" s="182">
        <f t="shared" si="3"/>
        <v>0</v>
      </c>
    </row>
    <row r="68">
      <c r="A68" s="157" t="s">
        <v>1839</v>
      </c>
      <c r="B68" s="184" t="s">
        <v>872</v>
      </c>
      <c r="C68" s="41" t="s">
        <v>869</v>
      </c>
      <c r="D68" s="700" t="s">
        <v>870</v>
      </c>
      <c r="E68" s="545">
        <v>40939.0</v>
      </c>
      <c r="F68" s="47" t="s">
        <v>354</v>
      </c>
      <c r="G68" s="47" t="s">
        <v>354</v>
      </c>
      <c r="H68" s="47" t="s">
        <v>354</v>
      </c>
      <c r="I68" s="47" t="s">
        <v>354</v>
      </c>
      <c r="J68" s="47" t="s">
        <v>354</v>
      </c>
      <c r="K68" s="184">
        <v>0.0</v>
      </c>
      <c r="L68" s="184" t="s">
        <v>354</v>
      </c>
      <c r="M68" s="265"/>
      <c r="N68" s="265"/>
      <c r="O68" s="184" t="s">
        <v>371</v>
      </c>
      <c r="P68" s="723">
        <v>0.0</v>
      </c>
      <c r="Q68" s="157" t="s">
        <v>354</v>
      </c>
      <c r="R68" s="723">
        <v>0.0</v>
      </c>
      <c r="S68" s="551" t="s">
        <v>354</v>
      </c>
      <c r="T68" s="551" t="s">
        <v>354</v>
      </c>
      <c r="U68" s="551" t="s">
        <v>354</v>
      </c>
      <c r="V68" s="723">
        <v>0.0</v>
      </c>
      <c r="W68" s="723">
        <v>0.0</v>
      </c>
      <c r="X68" s="551" t="s">
        <v>354</v>
      </c>
      <c r="Y68" s="551" t="s">
        <v>354</v>
      </c>
      <c r="Z68" s="157" t="s">
        <v>354</v>
      </c>
      <c r="AA68" s="157" t="s">
        <v>354</v>
      </c>
      <c r="AB68" s="157" t="s">
        <v>354</v>
      </c>
      <c r="AC68" s="157" t="s">
        <v>354</v>
      </c>
      <c r="AD68" s="732" t="s">
        <v>356</v>
      </c>
      <c r="AE68" s="732" t="s">
        <v>354</v>
      </c>
      <c r="AF68" s="675" t="s">
        <v>356</v>
      </c>
      <c r="AG68" s="675" t="s">
        <v>354</v>
      </c>
      <c r="AH68" s="733" t="s">
        <v>356</v>
      </c>
      <c r="AI68" s="733" t="s">
        <v>354</v>
      </c>
      <c r="AJ68" s="46">
        <f t="shared" si="1"/>
        <v>0</v>
      </c>
      <c r="AN68" s="265"/>
      <c r="AO68" s="80">
        <v>0.0</v>
      </c>
      <c r="AP68" s="80">
        <v>0.0</v>
      </c>
      <c r="AQ68" s="80">
        <v>0.0</v>
      </c>
      <c r="AR68" s="224">
        <v>0.0</v>
      </c>
      <c r="AS68" s="80">
        <v>0.0</v>
      </c>
      <c r="AT68" s="224">
        <v>0.0</v>
      </c>
      <c r="AU68" s="80">
        <v>0.0</v>
      </c>
      <c r="AV68" s="80">
        <v>0.0</v>
      </c>
      <c r="AW68" s="182">
        <f t="shared" si="2"/>
        <v>0</v>
      </c>
      <c r="AX68" s="182">
        <f t="shared" si="3"/>
        <v>0</v>
      </c>
    </row>
    <row r="69">
      <c r="A69" s="157" t="s">
        <v>1840</v>
      </c>
      <c r="B69" s="158" t="s">
        <v>105</v>
      </c>
      <c r="C69" s="702" t="s">
        <v>105</v>
      </c>
      <c r="D69" s="692" t="s">
        <v>522</v>
      </c>
      <c r="E69" s="545">
        <v>40939.0</v>
      </c>
      <c r="F69" s="47" t="s">
        <v>354</v>
      </c>
      <c r="G69" s="47" t="s">
        <v>354</v>
      </c>
      <c r="H69" s="47" t="s">
        <v>354</v>
      </c>
      <c r="I69" s="47" t="s">
        <v>354</v>
      </c>
      <c r="J69" s="47" t="s">
        <v>354</v>
      </c>
      <c r="K69" s="158">
        <v>1.0</v>
      </c>
      <c r="L69" s="158" t="s">
        <v>530</v>
      </c>
      <c r="M69" s="265"/>
      <c r="N69" s="265"/>
      <c r="O69" s="158" t="s">
        <v>529</v>
      </c>
      <c r="P69" s="154">
        <v>32.6814991397593</v>
      </c>
      <c r="Q69" s="157" t="s">
        <v>354</v>
      </c>
      <c r="R69" s="723">
        <v>0.0</v>
      </c>
      <c r="S69" s="551" t="s">
        <v>354</v>
      </c>
      <c r="T69" s="551" t="s">
        <v>354</v>
      </c>
      <c r="U69" s="551" t="s">
        <v>354</v>
      </c>
      <c r="V69" s="723">
        <v>0.0</v>
      </c>
      <c r="W69" s="723">
        <v>0.0</v>
      </c>
      <c r="X69" s="551" t="s">
        <v>354</v>
      </c>
      <c r="Y69" s="551" t="s">
        <v>354</v>
      </c>
      <c r="Z69" s="157" t="s">
        <v>354</v>
      </c>
      <c r="AA69" s="157" t="s">
        <v>354</v>
      </c>
      <c r="AB69" s="157" t="s">
        <v>354</v>
      </c>
      <c r="AC69" s="157" t="s">
        <v>354</v>
      </c>
      <c r="AD69" s="724" t="s">
        <v>365</v>
      </c>
      <c r="AE69" s="315" t="s">
        <v>420</v>
      </c>
      <c r="AF69" s="675" t="s">
        <v>356</v>
      </c>
      <c r="AG69" s="675" t="s">
        <v>354</v>
      </c>
      <c r="AH69" s="726" t="s">
        <v>365</v>
      </c>
      <c r="AI69" s="731" t="s">
        <v>358</v>
      </c>
      <c r="AJ69" s="357">
        <f t="shared" si="1"/>
        <v>3</v>
      </c>
      <c r="AN69" s="265"/>
      <c r="AO69" s="80">
        <v>0.0</v>
      </c>
      <c r="AP69" s="224">
        <v>1.0</v>
      </c>
      <c r="AQ69" s="224">
        <v>1.0</v>
      </c>
      <c r="AR69" s="224">
        <v>0.0</v>
      </c>
      <c r="AS69" s="80">
        <v>0.0</v>
      </c>
      <c r="AT69" s="224">
        <v>0.0</v>
      </c>
      <c r="AU69" s="80">
        <v>0.0</v>
      </c>
      <c r="AV69" s="80">
        <v>0.0</v>
      </c>
      <c r="AW69" s="358">
        <f t="shared" si="2"/>
        <v>2</v>
      </c>
      <c r="AX69" s="358">
        <f t="shared" si="3"/>
        <v>2</v>
      </c>
    </row>
    <row r="70">
      <c r="A70" s="157" t="s">
        <v>1841</v>
      </c>
      <c r="B70" s="184" t="s">
        <v>101</v>
      </c>
      <c r="C70" s="271" t="s">
        <v>101</v>
      </c>
      <c r="D70" s="687" t="s">
        <v>518</v>
      </c>
      <c r="E70" s="545">
        <v>40939.0</v>
      </c>
      <c r="F70" s="47" t="s">
        <v>354</v>
      </c>
      <c r="G70" s="47" t="s">
        <v>354</v>
      </c>
      <c r="H70" s="47" t="s">
        <v>354</v>
      </c>
      <c r="I70" s="47" t="s">
        <v>354</v>
      </c>
      <c r="J70" s="47" t="s">
        <v>354</v>
      </c>
      <c r="K70" s="184">
        <v>0.0</v>
      </c>
      <c r="L70" s="184" t="s">
        <v>354</v>
      </c>
      <c r="M70" s="265"/>
      <c r="N70" s="265"/>
      <c r="O70" s="184" t="s">
        <v>371</v>
      </c>
      <c r="P70" s="723">
        <v>0.0</v>
      </c>
      <c r="Q70" s="157" t="s">
        <v>354</v>
      </c>
      <c r="R70" s="723">
        <v>0.0</v>
      </c>
      <c r="S70" s="551" t="s">
        <v>354</v>
      </c>
      <c r="T70" s="551" t="s">
        <v>354</v>
      </c>
      <c r="U70" s="551" t="s">
        <v>354</v>
      </c>
      <c r="V70" s="723">
        <v>0.0</v>
      </c>
      <c r="W70" s="723">
        <v>0.0</v>
      </c>
      <c r="X70" s="551" t="s">
        <v>354</v>
      </c>
      <c r="Y70" s="551" t="s">
        <v>354</v>
      </c>
      <c r="Z70" s="157" t="s">
        <v>354</v>
      </c>
      <c r="AA70" s="157" t="s">
        <v>354</v>
      </c>
      <c r="AB70" s="157" t="s">
        <v>354</v>
      </c>
      <c r="AC70" s="157" t="s">
        <v>354</v>
      </c>
      <c r="AD70" s="732" t="s">
        <v>356</v>
      </c>
      <c r="AE70" s="732" t="s">
        <v>354</v>
      </c>
      <c r="AF70" s="734" t="s">
        <v>365</v>
      </c>
      <c r="AG70" s="40" t="s">
        <v>357</v>
      </c>
      <c r="AH70" s="735" t="s">
        <v>365</v>
      </c>
      <c r="AI70" s="40" t="s">
        <v>357</v>
      </c>
      <c r="AJ70" s="357">
        <f t="shared" si="1"/>
        <v>2</v>
      </c>
      <c r="AN70" s="265"/>
      <c r="AO70" s="80">
        <v>0.0</v>
      </c>
      <c r="AP70" s="80">
        <v>0.0</v>
      </c>
      <c r="AQ70" s="80">
        <v>0.0</v>
      </c>
      <c r="AR70" s="224">
        <v>0.0</v>
      </c>
      <c r="AS70" s="80">
        <v>0.0</v>
      </c>
      <c r="AT70" s="224">
        <v>2.0</v>
      </c>
      <c r="AU70" s="80">
        <v>0.0</v>
      </c>
      <c r="AV70" s="80">
        <v>0.0</v>
      </c>
      <c r="AW70" s="358">
        <f t="shared" si="2"/>
        <v>2</v>
      </c>
      <c r="AX70" s="358">
        <f t="shared" si="3"/>
        <v>1</v>
      </c>
    </row>
    <row r="71">
      <c r="A71" s="157" t="s">
        <v>1842</v>
      </c>
      <c r="B71" s="158" t="s">
        <v>171</v>
      </c>
      <c r="C71" s="702" t="s">
        <v>171</v>
      </c>
      <c r="D71" s="692" t="s">
        <v>658</v>
      </c>
      <c r="E71" s="545">
        <v>40939.0</v>
      </c>
      <c r="F71" s="47" t="s">
        <v>354</v>
      </c>
      <c r="G71" s="47" t="s">
        <v>354</v>
      </c>
      <c r="H71" s="47" t="s">
        <v>354</v>
      </c>
      <c r="I71" s="47" t="s">
        <v>354</v>
      </c>
      <c r="J71" s="47" t="s">
        <v>354</v>
      </c>
      <c r="K71" s="158">
        <v>4.0</v>
      </c>
      <c r="L71" s="158" t="s">
        <v>663</v>
      </c>
      <c r="M71" s="47" t="s">
        <v>354</v>
      </c>
      <c r="N71" s="157"/>
      <c r="O71" s="158" t="s">
        <v>664</v>
      </c>
      <c r="P71" s="723">
        <v>0.0</v>
      </c>
      <c r="Q71" s="157" t="s">
        <v>354</v>
      </c>
      <c r="R71" s="723">
        <v>0.0</v>
      </c>
      <c r="S71" s="551" t="s">
        <v>354</v>
      </c>
      <c r="T71" s="551" t="s">
        <v>354</v>
      </c>
      <c r="U71" s="551" t="s">
        <v>354</v>
      </c>
      <c r="V71" s="723">
        <v>0.0</v>
      </c>
      <c r="W71" s="723">
        <v>0.0</v>
      </c>
      <c r="X71" s="551" t="s">
        <v>354</v>
      </c>
      <c r="Y71" s="551" t="s">
        <v>354</v>
      </c>
      <c r="Z71" s="157" t="s">
        <v>354</v>
      </c>
      <c r="AA71" s="157" t="s">
        <v>354</v>
      </c>
      <c r="AB71" s="157" t="s">
        <v>354</v>
      </c>
      <c r="AC71" s="157" t="s">
        <v>354</v>
      </c>
      <c r="AD71" s="732" t="s">
        <v>356</v>
      </c>
      <c r="AE71" s="732" t="s">
        <v>354</v>
      </c>
      <c r="AF71" s="675" t="s">
        <v>356</v>
      </c>
      <c r="AG71" s="675" t="s">
        <v>354</v>
      </c>
      <c r="AH71" s="733" t="s">
        <v>356</v>
      </c>
      <c r="AI71" s="733" t="s">
        <v>354</v>
      </c>
      <c r="AJ71" s="46">
        <f t="shared" si="1"/>
        <v>0</v>
      </c>
      <c r="AN71" s="265"/>
      <c r="AO71" s="80">
        <v>0.0</v>
      </c>
      <c r="AP71" s="80">
        <v>0.0</v>
      </c>
      <c r="AQ71" s="80">
        <v>0.0</v>
      </c>
      <c r="AR71" s="224">
        <v>0.0</v>
      </c>
      <c r="AS71" s="80">
        <v>0.0</v>
      </c>
      <c r="AT71" s="224">
        <v>0.0</v>
      </c>
      <c r="AU71" s="80">
        <v>0.0</v>
      </c>
      <c r="AV71" s="80">
        <v>0.0</v>
      </c>
      <c r="AW71" s="182">
        <f t="shared" si="2"/>
        <v>0</v>
      </c>
      <c r="AX71" s="182">
        <f t="shared" si="3"/>
        <v>0</v>
      </c>
    </row>
    <row r="72">
      <c r="A72" s="157" t="s">
        <v>1843</v>
      </c>
      <c r="B72" s="158" t="s">
        <v>1055</v>
      </c>
      <c r="C72" s="158" t="s">
        <v>1050</v>
      </c>
      <c r="D72" s="688" t="s">
        <v>1051</v>
      </c>
      <c r="E72" s="545">
        <v>40939.0</v>
      </c>
      <c r="F72" s="47" t="s">
        <v>354</v>
      </c>
      <c r="G72" s="47" t="s">
        <v>354</v>
      </c>
      <c r="H72" s="47" t="s">
        <v>354</v>
      </c>
      <c r="I72" s="47" t="s">
        <v>354</v>
      </c>
      <c r="J72" s="47" t="s">
        <v>354</v>
      </c>
      <c r="K72" s="158">
        <v>1.0</v>
      </c>
      <c r="L72" s="158" t="s">
        <v>1053</v>
      </c>
      <c r="M72" s="265"/>
      <c r="N72" s="265"/>
      <c r="O72" s="158" t="s">
        <v>455</v>
      </c>
      <c r="P72" s="723">
        <v>0.0</v>
      </c>
      <c r="Q72" s="157" t="s">
        <v>354</v>
      </c>
      <c r="R72" s="723">
        <v>0.0</v>
      </c>
      <c r="S72" s="551" t="s">
        <v>354</v>
      </c>
      <c r="T72" s="551" t="s">
        <v>354</v>
      </c>
      <c r="U72" s="551" t="s">
        <v>354</v>
      </c>
      <c r="V72" s="723">
        <v>0.0</v>
      </c>
      <c r="W72" s="723">
        <v>0.0</v>
      </c>
      <c r="X72" s="551" t="s">
        <v>354</v>
      </c>
      <c r="Y72" s="551" t="s">
        <v>354</v>
      </c>
      <c r="Z72" s="157" t="s">
        <v>354</v>
      </c>
      <c r="AA72" s="157" t="s">
        <v>354</v>
      </c>
      <c r="AB72" s="157" t="s">
        <v>354</v>
      </c>
      <c r="AC72" s="157" t="s">
        <v>354</v>
      </c>
      <c r="AD72" s="732" t="s">
        <v>356</v>
      </c>
      <c r="AE72" s="732" t="s">
        <v>354</v>
      </c>
      <c r="AF72" s="675" t="s">
        <v>356</v>
      </c>
      <c r="AG72" s="675" t="s">
        <v>354</v>
      </c>
      <c r="AH72" s="726" t="s">
        <v>365</v>
      </c>
      <c r="AI72" s="731" t="s">
        <v>358</v>
      </c>
      <c r="AJ72" s="367">
        <f t="shared" si="1"/>
        <v>1</v>
      </c>
      <c r="AN72" s="265"/>
      <c r="AO72" s="80">
        <v>0.0</v>
      </c>
      <c r="AP72" s="80">
        <v>0.0</v>
      </c>
      <c r="AQ72" s="224">
        <v>1.0</v>
      </c>
      <c r="AR72" s="224">
        <v>0.0</v>
      </c>
      <c r="AS72" s="80">
        <v>0.0</v>
      </c>
      <c r="AT72" s="224">
        <v>0.0</v>
      </c>
      <c r="AU72" s="80">
        <v>0.0</v>
      </c>
      <c r="AV72" s="80">
        <v>0.0</v>
      </c>
      <c r="AW72" s="363">
        <f t="shared" si="2"/>
        <v>1</v>
      </c>
      <c r="AX72" s="363">
        <f t="shared" si="3"/>
        <v>1</v>
      </c>
    </row>
    <row r="73">
      <c r="A73" s="157" t="s">
        <v>1844</v>
      </c>
      <c r="B73" s="157" t="s">
        <v>1845</v>
      </c>
      <c r="C73" s="157" t="s">
        <v>354</v>
      </c>
      <c r="D73" s="157" t="s">
        <v>354</v>
      </c>
      <c r="E73" s="545">
        <v>40939.0</v>
      </c>
      <c r="F73" s="47" t="s">
        <v>354</v>
      </c>
      <c r="G73" s="47" t="s">
        <v>354</v>
      </c>
      <c r="H73" s="47" t="s">
        <v>354</v>
      </c>
      <c r="I73" s="47" t="s">
        <v>354</v>
      </c>
      <c r="J73" s="47" t="s">
        <v>354</v>
      </c>
      <c r="K73" s="47" t="s">
        <v>354</v>
      </c>
      <c r="L73" s="47"/>
      <c r="M73" s="47" t="s">
        <v>354</v>
      </c>
      <c r="N73" s="235"/>
      <c r="O73" s="235" t="s">
        <v>354</v>
      </c>
      <c r="P73" s="723">
        <v>0.0</v>
      </c>
      <c r="Q73" s="157" t="s">
        <v>354</v>
      </c>
      <c r="R73" s="723">
        <v>0.0</v>
      </c>
      <c r="S73" s="551" t="s">
        <v>354</v>
      </c>
      <c r="T73" s="551" t="s">
        <v>354</v>
      </c>
      <c r="U73" s="551" t="s">
        <v>354</v>
      </c>
      <c r="V73" s="723">
        <v>0.0</v>
      </c>
      <c r="W73" s="723">
        <v>0.0</v>
      </c>
      <c r="X73" s="551" t="s">
        <v>354</v>
      </c>
      <c r="Y73" s="551" t="s">
        <v>354</v>
      </c>
      <c r="Z73" s="157" t="s">
        <v>354</v>
      </c>
      <c r="AA73" s="157" t="s">
        <v>354</v>
      </c>
      <c r="AB73" s="157" t="s">
        <v>354</v>
      </c>
      <c r="AC73" s="157" t="s">
        <v>354</v>
      </c>
      <c r="AD73" s="732" t="s">
        <v>356</v>
      </c>
      <c r="AE73" s="732" t="s">
        <v>354</v>
      </c>
      <c r="AF73" s="675" t="s">
        <v>356</v>
      </c>
      <c r="AG73" s="675" t="s">
        <v>354</v>
      </c>
      <c r="AH73" s="733" t="s">
        <v>356</v>
      </c>
      <c r="AI73" s="733" t="s">
        <v>354</v>
      </c>
      <c r="AJ73" s="46">
        <f t="shared" si="1"/>
        <v>0</v>
      </c>
      <c r="AN73" s="265"/>
      <c r="AO73" s="80">
        <v>0.0</v>
      </c>
      <c r="AP73" s="80">
        <v>0.0</v>
      </c>
      <c r="AQ73" s="80">
        <v>0.0</v>
      </c>
      <c r="AR73" s="224">
        <v>0.0</v>
      </c>
      <c r="AS73" s="80">
        <v>0.0</v>
      </c>
      <c r="AT73" s="224">
        <v>0.0</v>
      </c>
      <c r="AU73" s="80">
        <v>0.0</v>
      </c>
      <c r="AV73" s="80">
        <v>0.0</v>
      </c>
      <c r="AW73" s="182">
        <f t="shared" si="2"/>
        <v>0</v>
      </c>
      <c r="AX73" s="182">
        <f t="shared" si="3"/>
        <v>0</v>
      </c>
    </row>
    <row r="74">
      <c r="A74" s="157" t="s">
        <v>1846</v>
      </c>
      <c r="B74" s="634" t="s">
        <v>1847</v>
      </c>
      <c r="C74" s="622" t="s">
        <v>29</v>
      </c>
      <c r="D74" s="602" t="s">
        <v>401</v>
      </c>
      <c r="E74" s="545">
        <v>40939.0</v>
      </c>
      <c r="F74" s="47" t="s">
        <v>354</v>
      </c>
      <c r="G74" s="47" t="s">
        <v>354</v>
      </c>
      <c r="H74" s="47" t="s">
        <v>354</v>
      </c>
      <c r="I74" s="47" t="s">
        <v>354</v>
      </c>
      <c r="J74" s="47" t="s">
        <v>354</v>
      </c>
      <c r="K74" s="184">
        <v>0.0</v>
      </c>
      <c r="L74" s="184" t="s">
        <v>354</v>
      </c>
      <c r="M74" s="265"/>
      <c r="N74" s="265"/>
      <c r="O74" s="184" t="s">
        <v>371</v>
      </c>
      <c r="P74" s="723">
        <v>0.0</v>
      </c>
      <c r="Q74" s="157" t="s">
        <v>354</v>
      </c>
      <c r="R74" s="723">
        <v>0.0</v>
      </c>
      <c r="S74" s="551" t="s">
        <v>354</v>
      </c>
      <c r="T74" s="551" t="s">
        <v>354</v>
      </c>
      <c r="U74" s="551" t="s">
        <v>354</v>
      </c>
      <c r="V74" s="723">
        <v>0.0</v>
      </c>
      <c r="W74" s="742">
        <v>29.98</v>
      </c>
      <c r="X74" s="551" t="s">
        <v>356</v>
      </c>
      <c r="Y74" s="551" t="s">
        <v>354</v>
      </c>
      <c r="Z74" s="157" t="s">
        <v>354</v>
      </c>
      <c r="AA74" s="157" t="s">
        <v>354</v>
      </c>
      <c r="AB74" s="157" t="s">
        <v>354</v>
      </c>
      <c r="AC74" s="157" t="s">
        <v>354</v>
      </c>
      <c r="AD74" s="732" t="s">
        <v>356</v>
      </c>
      <c r="AE74" s="732" t="s">
        <v>354</v>
      </c>
      <c r="AF74" s="675" t="s">
        <v>356</v>
      </c>
      <c r="AG74" s="675" t="s">
        <v>354</v>
      </c>
      <c r="AH74" s="733" t="s">
        <v>356</v>
      </c>
      <c r="AI74" s="733" t="s">
        <v>354</v>
      </c>
      <c r="AJ74" s="46">
        <f t="shared" si="1"/>
        <v>0</v>
      </c>
      <c r="AN74" s="378"/>
      <c r="AO74" s="80">
        <v>0.0</v>
      </c>
      <c r="AP74" s="80">
        <v>0.0</v>
      </c>
      <c r="AQ74" s="80">
        <v>0.0</v>
      </c>
      <c r="AR74" s="224">
        <v>0.0</v>
      </c>
      <c r="AS74" s="80">
        <v>0.0</v>
      </c>
      <c r="AT74" s="224">
        <v>0.0</v>
      </c>
      <c r="AU74" s="80">
        <v>0.0</v>
      </c>
      <c r="AV74" s="80">
        <v>0.0</v>
      </c>
      <c r="AW74" s="182">
        <f t="shared" si="2"/>
        <v>0</v>
      </c>
      <c r="AX74" s="182">
        <f t="shared" si="3"/>
        <v>0</v>
      </c>
    </row>
    <row r="75">
      <c r="A75" s="157" t="s">
        <v>1848</v>
      </c>
      <c r="B75" s="634" t="s">
        <v>1849</v>
      </c>
      <c r="C75" s="271" t="s">
        <v>29</v>
      </c>
      <c r="D75" s="687" t="s">
        <v>401</v>
      </c>
      <c r="E75" s="545">
        <v>40939.0</v>
      </c>
      <c r="F75" s="47" t="s">
        <v>354</v>
      </c>
      <c r="G75" s="47" t="s">
        <v>354</v>
      </c>
      <c r="H75" s="47" t="s">
        <v>354</v>
      </c>
      <c r="I75" s="47" t="s">
        <v>354</v>
      </c>
      <c r="J75" s="47" t="s">
        <v>354</v>
      </c>
      <c r="K75" s="184">
        <v>0.0</v>
      </c>
      <c r="L75" s="184" t="s">
        <v>354</v>
      </c>
      <c r="M75" s="265"/>
      <c r="N75" s="265"/>
      <c r="O75" s="184" t="s">
        <v>371</v>
      </c>
      <c r="P75" s="723">
        <v>0.0</v>
      </c>
      <c r="Q75" s="157" t="s">
        <v>354</v>
      </c>
      <c r="R75" s="723">
        <v>0.0</v>
      </c>
      <c r="S75" s="551" t="s">
        <v>354</v>
      </c>
      <c r="T75" s="551" t="s">
        <v>354</v>
      </c>
      <c r="U75" s="551" t="s">
        <v>354</v>
      </c>
      <c r="V75" s="723">
        <v>0.0</v>
      </c>
      <c r="W75" s="723">
        <v>0.0</v>
      </c>
      <c r="X75" s="551" t="s">
        <v>354</v>
      </c>
      <c r="Y75" s="551" t="s">
        <v>354</v>
      </c>
      <c r="Z75" s="157" t="s">
        <v>354</v>
      </c>
      <c r="AA75" s="157" t="s">
        <v>354</v>
      </c>
      <c r="AB75" s="157" t="s">
        <v>354</v>
      </c>
      <c r="AC75" s="157" t="s">
        <v>354</v>
      </c>
      <c r="AD75" s="732" t="s">
        <v>356</v>
      </c>
      <c r="AE75" s="732" t="s">
        <v>354</v>
      </c>
      <c r="AF75" s="675" t="s">
        <v>356</v>
      </c>
      <c r="AG75" s="675" t="s">
        <v>354</v>
      </c>
      <c r="AH75" s="733" t="s">
        <v>356</v>
      </c>
      <c r="AI75" s="733" t="s">
        <v>354</v>
      </c>
      <c r="AJ75" s="46">
        <f t="shared" si="1"/>
        <v>0</v>
      </c>
      <c r="AN75" s="235"/>
      <c r="AO75" s="80">
        <v>0.0</v>
      </c>
      <c r="AP75" s="80">
        <v>0.0</v>
      </c>
      <c r="AQ75" s="80">
        <v>0.0</v>
      </c>
      <c r="AR75" s="224">
        <v>0.0</v>
      </c>
      <c r="AS75" s="80">
        <v>0.0</v>
      </c>
      <c r="AT75" s="224">
        <v>0.0</v>
      </c>
      <c r="AU75" s="80">
        <v>0.0</v>
      </c>
      <c r="AV75" s="80">
        <v>0.0</v>
      </c>
      <c r="AW75" s="182">
        <f t="shared" si="2"/>
        <v>0</v>
      </c>
      <c r="AX75" s="182">
        <f t="shared" si="3"/>
        <v>0</v>
      </c>
    </row>
    <row r="76">
      <c r="A76" s="157" t="s">
        <v>1850</v>
      </c>
      <c r="B76" s="634" t="s">
        <v>1851</v>
      </c>
      <c r="C76" s="271" t="s">
        <v>29</v>
      </c>
      <c r="D76" s="687" t="s">
        <v>401</v>
      </c>
      <c r="E76" s="545">
        <v>40939.0</v>
      </c>
      <c r="F76" s="47" t="s">
        <v>354</v>
      </c>
      <c r="G76" s="47" t="s">
        <v>354</v>
      </c>
      <c r="H76" s="47" t="s">
        <v>354</v>
      </c>
      <c r="I76" s="47" t="s">
        <v>354</v>
      </c>
      <c r="J76" s="47" t="s">
        <v>354</v>
      </c>
      <c r="K76" s="184">
        <v>0.0</v>
      </c>
      <c r="L76" s="184" t="s">
        <v>354</v>
      </c>
      <c r="M76" s="265"/>
      <c r="N76" s="265"/>
      <c r="O76" s="184" t="s">
        <v>371</v>
      </c>
      <c r="P76" s="723">
        <v>0.0</v>
      </c>
      <c r="Q76" s="157" t="s">
        <v>354</v>
      </c>
      <c r="R76" s="723">
        <v>0.0</v>
      </c>
      <c r="S76" s="551" t="s">
        <v>354</v>
      </c>
      <c r="T76" s="551" t="s">
        <v>354</v>
      </c>
      <c r="U76" s="551" t="s">
        <v>354</v>
      </c>
      <c r="V76" s="723">
        <v>0.0</v>
      </c>
      <c r="W76" s="723">
        <v>0.0</v>
      </c>
      <c r="X76" s="551" t="s">
        <v>354</v>
      </c>
      <c r="Y76" s="551" t="s">
        <v>354</v>
      </c>
      <c r="Z76" s="157" t="s">
        <v>354</v>
      </c>
      <c r="AA76" s="157" t="s">
        <v>354</v>
      </c>
      <c r="AB76" s="157" t="s">
        <v>354</v>
      </c>
      <c r="AC76" s="157" t="s">
        <v>354</v>
      </c>
      <c r="AD76" s="732" t="s">
        <v>356</v>
      </c>
      <c r="AE76" s="732" t="s">
        <v>354</v>
      </c>
      <c r="AF76" s="675" t="s">
        <v>356</v>
      </c>
      <c r="AG76" s="675" t="s">
        <v>354</v>
      </c>
      <c r="AH76" s="735" t="s">
        <v>365</v>
      </c>
      <c r="AI76" s="40" t="s">
        <v>357</v>
      </c>
      <c r="AJ76" s="367">
        <f t="shared" si="1"/>
        <v>1</v>
      </c>
      <c r="AN76" s="265"/>
      <c r="AO76" s="80">
        <v>0.0</v>
      </c>
      <c r="AP76" s="80">
        <v>0.0</v>
      </c>
      <c r="AQ76" s="80">
        <v>0.0</v>
      </c>
      <c r="AR76" s="224">
        <v>0.0</v>
      </c>
      <c r="AS76" s="80">
        <v>0.0</v>
      </c>
      <c r="AT76" s="224">
        <v>1.0</v>
      </c>
      <c r="AU76" s="80">
        <v>0.0</v>
      </c>
      <c r="AV76" s="80">
        <v>0.0</v>
      </c>
      <c r="AW76" s="363">
        <f t="shared" si="2"/>
        <v>1</v>
      </c>
      <c r="AX76" s="363">
        <f t="shared" si="3"/>
        <v>1</v>
      </c>
    </row>
    <row r="77">
      <c r="A77" s="157" t="s">
        <v>1852</v>
      </c>
      <c r="B77" s="158">
        <v>1037.0</v>
      </c>
      <c r="C77" s="702" t="s">
        <v>161</v>
      </c>
      <c r="D77" s="692" t="s">
        <v>645</v>
      </c>
      <c r="E77" s="545">
        <v>40939.0</v>
      </c>
      <c r="F77" s="47" t="s">
        <v>354</v>
      </c>
      <c r="G77" s="47" t="s">
        <v>354</v>
      </c>
      <c r="H77" s="47" t="s">
        <v>354</v>
      </c>
      <c r="I77" s="47" t="s">
        <v>354</v>
      </c>
      <c r="J77" s="47" t="s">
        <v>354</v>
      </c>
      <c r="K77" s="158">
        <v>3.0</v>
      </c>
      <c r="L77" s="158" t="s">
        <v>647</v>
      </c>
      <c r="M77" s="265"/>
      <c r="N77" s="265"/>
      <c r="O77" s="158" t="s">
        <v>600</v>
      </c>
      <c r="P77" s="723">
        <v>0.0</v>
      </c>
      <c r="Q77" s="157" t="s">
        <v>354</v>
      </c>
      <c r="R77" s="723">
        <v>0.0</v>
      </c>
      <c r="S77" s="551" t="s">
        <v>354</v>
      </c>
      <c r="T77" s="551" t="s">
        <v>354</v>
      </c>
      <c r="U77" s="551" t="s">
        <v>354</v>
      </c>
      <c r="V77" s="723">
        <v>0.0</v>
      </c>
      <c r="W77" s="723">
        <v>0.0</v>
      </c>
      <c r="X77" s="551" t="s">
        <v>354</v>
      </c>
      <c r="Y77" s="551" t="s">
        <v>354</v>
      </c>
      <c r="Z77" s="157" t="s">
        <v>354</v>
      </c>
      <c r="AA77" s="157" t="s">
        <v>354</v>
      </c>
      <c r="AB77" s="157" t="s">
        <v>354</v>
      </c>
      <c r="AC77" s="157" t="s">
        <v>354</v>
      </c>
      <c r="AD77" s="732" t="s">
        <v>356</v>
      </c>
      <c r="AE77" s="732" t="s">
        <v>354</v>
      </c>
      <c r="AF77" s="675" t="s">
        <v>356</v>
      </c>
      <c r="AG77" s="675" t="s">
        <v>354</v>
      </c>
      <c r="AH77" s="733" t="s">
        <v>356</v>
      </c>
      <c r="AI77" s="733" t="s">
        <v>354</v>
      </c>
      <c r="AJ77" s="46">
        <f t="shared" si="1"/>
        <v>0</v>
      </c>
      <c r="AN77" s="265"/>
      <c r="AO77" s="80">
        <v>0.0</v>
      </c>
      <c r="AP77" s="80">
        <v>0.0</v>
      </c>
      <c r="AQ77" s="80">
        <v>0.0</v>
      </c>
      <c r="AR77" s="224">
        <v>0.0</v>
      </c>
      <c r="AS77" s="80">
        <v>0.0</v>
      </c>
      <c r="AT77" s="224">
        <v>0.0</v>
      </c>
      <c r="AU77" s="80">
        <v>0.0</v>
      </c>
      <c r="AV77" s="80">
        <v>0.0</v>
      </c>
      <c r="AW77" s="182">
        <f t="shared" si="2"/>
        <v>0</v>
      </c>
      <c r="AX77" s="182">
        <f t="shared" si="3"/>
        <v>0</v>
      </c>
    </row>
    <row r="78">
      <c r="A78" s="157" t="s">
        <v>1853</v>
      </c>
      <c r="B78" s="184" t="s">
        <v>739</v>
      </c>
      <c r="C78" s="41" t="s">
        <v>1780</v>
      </c>
      <c r="D78" s="687" t="s">
        <v>735</v>
      </c>
      <c r="E78" s="545">
        <v>40939.0</v>
      </c>
      <c r="F78" s="47" t="s">
        <v>354</v>
      </c>
      <c r="G78" s="47" t="s">
        <v>354</v>
      </c>
      <c r="H78" s="47" t="s">
        <v>354</v>
      </c>
      <c r="I78" s="47" t="s">
        <v>354</v>
      </c>
      <c r="J78" s="47" t="s">
        <v>354</v>
      </c>
      <c r="K78" s="184">
        <v>0.0</v>
      </c>
      <c r="L78" s="184" t="s">
        <v>354</v>
      </c>
      <c r="M78" s="265"/>
      <c r="N78" s="265"/>
      <c r="O78" s="184" t="s">
        <v>371</v>
      </c>
      <c r="P78" s="154">
        <v>28.0076740360827</v>
      </c>
      <c r="Q78" s="157" t="s">
        <v>354</v>
      </c>
      <c r="R78" s="723">
        <v>0.0</v>
      </c>
      <c r="S78" s="551" t="s">
        <v>354</v>
      </c>
      <c r="T78" s="551" t="s">
        <v>354</v>
      </c>
      <c r="U78" s="551" t="s">
        <v>354</v>
      </c>
      <c r="V78" s="723">
        <v>0.0</v>
      </c>
      <c r="W78" s="723">
        <v>0.0</v>
      </c>
      <c r="X78" s="551" t="s">
        <v>354</v>
      </c>
      <c r="Y78" s="551" t="s">
        <v>354</v>
      </c>
      <c r="Z78" s="157" t="s">
        <v>354</v>
      </c>
      <c r="AA78" s="157" t="s">
        <v>354</v>
      </c>
      <c r="AB78" s="157" t="s">
        <v>354</v>
      </c>
      <c r="AC78" s="157" t="s">
        <v>354</v>
      </c>
      <c r="AD78" s="724" t="s">
        <v>365</v>
      </c>
      <c r="AE78" s="51" t="s">
        <v>358</v>
      </c>
      <c r="AF78" s="734" t="s">
        <v>365</v>
      </c>
      <c r="AG78" s="90" t="s">
        <v>413</v>
      </c>
      <c r="AH78" s="735" t="s">
        <v>365</v>
      </c>
      <c r="AI78" s="90" t="s">
        <v>413</v>
      </c>
      <c r="AJ78" s="357">
        <f t="shared" si="1"/>
        <v>4</v>
      </c>
      <c r="AN78" s="265"/>
      <c r="AO78" s="80">
        <v>0.0</v>
      </c>
      <c r="AP78" s="80">
        <v>0.0</v>
      </c>
      <c r="AQ78" s="224">
        <v>1.0</v>
      </c>
      <c r="AR78" s="224">
        <v>0.0</v>
      </c>
      <c r="AS78" s="224">
        <v>2.0</v>
      </c>
      <c r="AT78" s="224">
        <v>0.0</v>
      </c>
      <c r="AU78" s="80">
        <v>0.0</v>
      </c>
      <c r="AV78" s="80">
        <v>0.0</v>
      </c>
      <c r="AW78" s="358">
        <f t="shared" si="2"/>
        <v>3</v>
      </c>
      <c r="AX78" s="358">
        <f t="shared" si="3"/>
        <v>2</v>
      </c>
    </row>
    <row r="79">
      <c r="A79" s="157" t="s">
        <v>1854</v>
      </c>
      <c r="B79" s="158" t="s">
        <v>213</v>
      </c>
      <c r="C79" s="702" t="s">
        <v>213</v>
      </c>
      <c r="D79" s="692" t="s">
        <v>753</v>
      </c>
      <c r="E79" s="545">
        <v>40939.0</v>
      </c>
      <c r="F79" s="47" t="s">
        <v>354</v>
      </c>
      <c r="G79" s="47" t="s">
        <v>354</v>
      </c>
      <c r="H79" s="47" t="s">
        <v>354</v>
      </c>
      <c r="I79" s="47" t="s">
        <v>354</v>
      </c>
      <c r="J79" s="47" t="s">
        <v>354</v>
      </c>
      <c r="K79" s="158">
        <v>2.0</v>
      </c>
      <c r="L79" s="158" t="s">
        <v>759</v>
      </c>
      <c r="M79" s="265"/>
      <c r="N79" s="265"/>
      <c r="O79" s="158" t="s">
        <v>398</v>
      </c>
      <c r="P79" s="723">
        <v>0.0</v>
      </c>
      <c r="Q79" s="157" t="s">
        <v>354</v>
      </c>
      <c r="R79" s="723">
        <v>0.0</v>
      </c>
      <c r="S79" s="551" t="s">
        <v>354</v>
      </c>
      <c r="T79" s="551" t="s">
        <v>354</v>
      </c>
      <c r="U79" s="551" t="s">
        <v>354</v>
      </c>
      <c r="V79" s="723">
        <v>0.0</v>
      </c>
      <c r="W79" s="723">
        <v>0.0</v>
      </c>
      <c r="X79" s="551" t="s">
        <v>354</v>
      </c>
      <c r="Y79" s="551" t="s">
        <v>354</v>
      </c>
      <c r="Z79" s="157" t="s">
        <v>354</v>
      </c>
      <c r="AA79" s="157" t="s">
        <v>354</v>
      </c>
      <c r="AB79" s="157" t="s">
        <v>354</v>
      </c>
      <c r="AC79" s="157" t="s">
        <v>354</v>
      </c>
      <c r="AD79" s="724" t="s">
        <v>365</v>
      </c>
      <c r="AE79" s="51" t="s">
        <v>358</v>
      </c>
      <c r="AF79" s="675" t="s">
        <v>356</v>
      </c>
      <c r="AG79" s="675" t="s">
        <v>354</v>
      </c>
      <c r="AH79" s="733" t="s">
        <v>356</v>
      </c>
      <c r="AI79" s="733" t="s">
        <v>354</v>
      </c>
      <c r="AJ79" s="367">
        <f t="shared" si="1"/>
        <v>1</v>
      </c>
      <c r="AN79" s="235"/>
      <c r="AO79" s="80">
        <v>0.0</v>
      </c>
      <c r="AP79" s="80">
        <v>0.0</v>
      </c>
      <c r="AQ79" s="224">
        <v>1.0</v>
      </c>
      <c r="AR79" s="224">
        <v>0.0</v>
      </c>
      <c r="AS79" s="224">
        <v>0.0</v>
      </c>
      <c r="AT79" s="224">
        <v>0.0</v>
      </c>
      <c r="AU79" s="80">
        <v>0.0</v>
      </c>
      <c r="AV79" s="80">
        <v>0.0</v>
      </c>
      <c r="AW79" s="363">
        <f t="shared" si="2"/>
        <v>1</v>
      </c>
      <c r="AX79" s="363">
        <f t="shared" si="3"/>
        <v>1</v>
      </c>
    </row>
    <row r="80">
      <c r="A80" s="157" t="s">
        <v>1855</v>
      </c>
      <c r="B80" s="179" t="s">
        <v>180</v>
      </c>
      <c r="C80" s="136" t="s">
        <v>180</v>
      </c>
      <c r="D80" s="697" t="s">
        <v>685</v>
      </c>
      <c r="E80" s="545">
        <v>40939.0</v>
      </c>
      <c r="F80" s="47" t="s">
        <v>354</v>
      </c>
      <c r="G80" s="47" t="s">
        <v>354</v>
      </c>
      <c r="H80" s="47" t="s">
        <v>354</v>
      </c>
      <c r="I80" s="47" t="s">
        <v>354</v>
      </c>
      <c r="J80" s="47" t="s">
        <v>354</v>
      </c>
      <c r="K80" s="179">
        <v>0.0</v>
      </c>
      <c r="L80" s="179" t="s">
        <v>1290</v>
      </c>
      <c r="M80" s="265"/>
      <c r="N80" s="265"/>
      <c r="O80" s="179" t="s">
        <v>690</v>
      </c>
      <c r="P80" s="154">
        <v>32.8188609316904</v>
      </c>
      <c r="Q80" s="157" t="s">
        <v>354</v>
      </c>
      <c r="R80" s="723">
        <v>0.0</v>
      </c>
      <c r="S80" s="551" t="s">
        <v>354</v>
      </c>
      <c r="T80" s="551" t="s">
        <v>354</v>
      </c>
      <c r="U80" s="551" t="s">
        <v>354</v>
      </c>
      <c r="V80" s="723">
        <v>0.0</v>
      </c>
      <c r="W80" s="723">
        <v>0.0</v>
      </c>
      <c r="X80" s="551" t="s">
        <v>354</v>
      </c>
      <c r="Y80" s="551" t="s">
        <v>354</v>
      </c>
      <c r="Z80" s="157" t="s">
        <v>354</v>
      </c>
      <c r="AA80" s="157" t="s">
        <v>354</v>
      </c>
      <c r="AB80" s="157" t="s">
        <v>354</v>
      </c>
      <c r="AC80" s="157" t="s">
        <v>354</v>
      </c>
      <c r="AD80" s="724" t="s">
        <v>365</v>
      </c>
      <c r="AE80" s="90" t="s">
        <v>413</v>
      </c>
      <c r="AF80" s="734" t="s">
        <v>365</v>
      </c>
      <c r="AG80" s="40" t="s">
        <v>357</v>
      </c>
      <c r="AH80" s="726" t="s">
        <v>365</v>
      </c>
      <c r="AI80" s="731" t="s">
        <v>358</v>
      </c>
      <c r="AJ80" s="357">
        <f t="shared" si="1"/>
        <v>4</v>
      </c>
      <c r="AN80" s="235"/>
      <c r="AO80" s="80">
        <v>0.0</v>
      </c>
      <c r="AP80" s="80">
        <v>0.0</v>
      </c>
      <c r="AQ80" s="224">
        <v>1.0</v>
      </c>
      <c r="AR80" s="224">
        <v>0.0</v>
      </c>
      <c r="AS80" s="224">
        <v>1.0</v>
      </c>
      <c r="AT80" s="224">
        <v>1.0</v>
      </c>
      <c r="AU80" s="80">
        <v>0.0</v>
      </c>
      <c r="AV80" s="80">
        <v>0.0</v>
      </c>
      <c r="AW80" s="358">
        <f t="shared" si="2"/>
        <v>3</v>
      </c>
      <c r="AX80" s="358">
        <f t="shared" si="3"/>
        <v>3</v>
      </c>
    </row>
    <row r="81">
      <c r="A81" s="157" t="s">
        <v>1856</v>
      </c>
      <c r="B81" s="179" t="s">
        <v>84</v>
      </c>
      <c r="C81" s="622" t="s">
        <v>84</v>
      </c>
      <c r="D81" s="602" t="s">
        <v>474</v>
      </c>
      <c r="E81" s="545">
        <v>40939.0</v>
      </c>
      <c r="F81" s="47" t="s">
        <v>354</v>
      </c>
      <c r="G81" s="47" t="s">
        <v>354</v>
      </c>
      <c r="H81" s="47" t="s">
        <v>354</v>
      </c>
      <c r="I81" s="47" t="s">
        <v>354</v>
      </c>
      <c r="J81" s="47" t="s">
        <v>354</v>
      </c>
      <c r="K81" s="179">
        <v>1.0</v>
      </c>
      <c r="L81" s="179" t="s">
        <v>354</v>
      </c>
      <c r="M81" s="265"/>
      <c r="N81" s="265"/>
      <c r="O81" s="179" t="s">
        <v>485</v>
      </c>
      <c r="P81" s="723">
        <v>0.0</v>
      </c>
      <c r="Q81" s="157" t="s">
        <v>354</v>
      </c>
      <c r="R81" s="723">
        <v>0.0</v>
      </c>
      <c r="S81" s="551" t="s">
        <v>354</v>
      </c>
      <c r="T81" s="551" t="s">
        <v>354</v>
      </c>
      <c r="U81" s="551" t="s">
        <v>354</v>
      </c>
      <c r="V81" s="723">
        <v>0.0</v>
      </c>
      <c r="W81" s="742">
        <v>22.98</v>
      </c>
      <c r="X81" s="551" t="s">
        <v>356</v>
      </c>
      <c r="Y81" s="551" t="s">
        <v>354</v>
      </c>
      <c r="Z81" s="157" t="s">
        <v>354</v>
      </c>
      <c r="AA81" s="157" t="s">
        <v>354</v>
      </c>
      <c r="AB81" s="157" t="s">
        <v>354</v>
      </c>
      <c r="AC81" s="157" t="s">
        <v>354</v>
      </c>
      <c r="AD81" s="732" t="s">
        <v>356</v>
      </c>
      <c r="AE81" s="732" t="s">
        <v>354</v>
      </c>
      <c r="AF81" s="675" t="s">
        <v>356</v>
      </c>
      <c r="AG81" s="675" t="s">
        <v>354</v>
      </c>
      <c r="AH81" s="733" t="s">
        <v>356</v>
      </c>
      <c r="AI81" s="733" t="s">
        <v>354</v>
      </c>
      <c r="AJ81" s="46">
        <f t="shared" si="1"/>
        <v>0</v>
      </c>
      <c r="AO81" s="80">
        <v>0.0</v>
      </c>
      <c r="AP81" s="80">
        <v>0.0</v>
      </c>
      <c r="AQ81" s="80">
        <v>0.0</v>
      </c>
      <c r="AR81" s="224">
        <v>0.0</v>
      </c>
      <c r="AS81" s="80">
        <v>0.0</v>
      </c>
      <c r="AT81" s="224">
        <v>0.0</v>
      </c>
      <c r="AU81" s="80">
        <v>0.0</v>
      </c>
      <c r="AV81" s="80">
        <v>0.0</v>
      </c>
      <c r="AW81" s="182">
        <f t="shared" si="2"/>
        <v>0</v>
      </c>
      <c r="AX81" s="182">
        <f t="shared" si="3"/>
        <v>0</v>
      </c>
    </row>
    <row r="82">
      <c r="A82" s="157" t="s">
        <v>1857</v>
      </c>
      <c r="B82" s="184" t="s">
        <v>562</v>
      </c>
      <c r="C82" s="41" t="s">
        <v>560</v>
      </c>
      <c r="D82" s="687" t="s">
        <v>561</v>
      </c>
      <c r="E82" s="545">
        <v>40939.0</v>
      </c>
      <c r="F82" s="47" t="s">
        <v>354</v>
      </c>
      <c r="G82" s="47" t="s">
        <v>354</v>
      </c>
      <c r="H82" s="47" t="s">
        <v>354</v>
      </c>
      <c r="I82" s="47" t="s">
        <v>354</v>
      </c>
      <c r="J82" s="47" t="s">
        <v>354</v>
      </c>
      <c r="K82" s="184">
        <v>0.0</v>
      </c>
      <c r="L82" s="184" t="s">
        <v>354</v>
      </c>
      <c r="M82" s="265"/>
      <c r="N82" s="265"/>
      <c r="O82" s="184" t="s">
        <v>371</v>
      </c>
      <c r="P82" s="723">
        <v>0.0</v>
      </c>
      <c r="Q82" s="157" t="s">
        <v>354</v>
      </c>
      <c r="R82" s="723">
        <v>0.0</v>
      </c>
      <c r="S82" s="551" t="s">
        <v>354</v>
      </c>
      <c r="T82" s="551" t="s">
        <v>354</v>
      </c>
      <c r="U82" s="551" t="s">
        <v>354</v>
      </c>
      <c r="V82" s="723">
        <v>0.0</v>
      </c>
      <c r="W82" s="723">
        <v>0.0</v>
      </c>
      <c r="X82" s="551" t="s">
        <v>354</v>
      </c>
      <c r="Y82" s="551" t="s">
        <v>354</v>
      </c>
      <c r="Z82" s="157" t="s">
        <v>354</v>
      </c>
      <c r="AA82" s="157" t="s">
        <v>354</v>
      </c>
      <c r="AB82" s="157" t="s">
        <v>354</v>
      </c>
      <c r="AC82" s="157" t="s">
        <v>354</v>
      </c>
      <c r="AD82" s="732" t="s">
        <v>356</v>
      </c>
      <c r="AE82" s="732" t="s">
        <v>354</v>
      </c>
      <c r="AF82" s="675" t="s">
        <v>356</v>
      </c>
      <c r="AG82" s="675" t="s">
        <v>354</v>
      </c>
      <c r="AH82" s="733" t="s">
        <v>356</v>
      </c>
      <c r="AI82" s="733" t="s">
        <v>354</v>
      </c>
      <c r="AJ82" s="46">
        <f t="shared" si="1"/>
        <v>0</v>
      </c>
      <c r="AO82" s="80">
        <v>0.0</v>
      </c>
      <c r="AP82" s="80">
        <v>0.0</v>
      </c>
      <c r="AQ82" s="80">
        <v>0.0</v>
      </c>
      <c r="AR82" s="224">
        <v>0.0</v>
      </c>
      <c r="AS82" s="80">
        <v>0.0</v>
      </c>
      <c r="AT82" s="224">
        <v>0.0</v>
      </c>
      <c r="AU82" s="80">
        <v>0.0</v>
      </c>
      <c r="AV82" s="80">
        <v>0.0</v>
      </c>
      <c r="AW82" s="182">
        <f t="shared" si="2"/>
        <v>0</v>
      </c>
      <c r="AX82" s="182">
        <f t="shared" si="3"/>
        <v>0</v>
      </c>
    </row>
    <row r="83">
      <c r="A83" s="157" t="s">
        <v>1858</v>
      </c>
      <c r="B83" s="158" t="s">
        <v>24</v>
      </c>
      <c r="C83" s="702" t="s">
        <v>24</v>
      </c>
      <c r="D83" s="692" t="s">
        <v>391</v>
      </c>
      <c r="E83" s="545">
        <v>40939.0</v>
      </c>
      <c r="F83" s="47" t="s">
        <v>354</v>
      </c>
      <c r="G83" s="47" t="s">
        <v>354</v>
      </c>
      <c r="H83" s="47" t="s">
        <v>354</v>
      </c>
      <c r="I83" s="47" t="s">
        <v>354</v>
      </c>
      <c r="J83" s="47" t="s">
        <v>354</v>
      </c>
      <c r="K83" s="158">
        <v>2.0</v>
      </c>
      <c r="L83" s="158" t="s">
        <v>1730</v>
      </c>
      <c r="M83" s="265"/>
      <c r="N83" s="265"/>
      <c r="O83" s="158" t="s">
        <v>398</v>
      </c>
      <c r="P83" s="723">
        <v>0.0</v>
      </c>
      <c r="Q83" s="157" t="s">
        <v>354</v>
      </c>
      <c r="R83" s="723">
        <v>0.0</v>
      </c>
      <c r="S83" s="551" t="s">
        <v>354</v>
      </c>
      <c r="T83" s="551" t="s">
        <v>354</v>
      </c>
      <c r="U83" s="551" t="s">
        <v>354</v>
      </c>
      <c r="V83" s="723">
        <v>0.0</v>
      </c>
      <c r="W83" s="723">
        <v>0.0</v>
      </c>
      <c r="X83" s="551" t="s">
        <v>354</v>
      </c>
      <c r="Y83" s="551" t="s">
        <v>354</v>
      </c>
      <c r="Z83" s="157" t="s">
        <v>354</v>
      </c>
      <c r="AA83" s="157" t="s">
        <v>354</v>
      </c>
      <c r="AB83" s="157" t="s">
        <v>354</v>
      </c>
      <c r="AC83" s="157" t="s">
        <v>354</v>
      </c>
      <c r="AD83" s="724" t="s">
        <v>365</v>
      </c>
      <c r="AE83" s="40" t="s">
        <v>357</v>
      </c>
      <c r="AF83" s="734" t="s">
        <v>365</v>
      </c>
      <c r="AG83" s="40" t="s">
        <v>357</v>
      </c>
      <c r="AH83" s="735" t="s">
        <v>365</v>
      </c>
      <c r="AI83" s="40" t="s">
        <v>357</v>
      </c>
      <c r="AJ83" s="357">
        <f t="shared" si="1"/>
        <v>3</v>
      </c>
      <c r="AO83" s="80">
        <v>0.0</v>
      </c>
      <c r="AP83" s="80">
        <v>0.0</v>
      </c>
      <c r="AQ83" s="80">
        <v>0.0</v>
      </c>
      <c r="AR83" s="224">
        <v>0.0</v>
      </c>
      <c r="AS83" s="80">
        <v>0.0</v>
      </c>
      <c r="AT83" s="224">
        <v>3.0</v>
      </c>
      <c r="AU83" s="80">
        <v>0.0</v>
      </c>
      <c r="AV83" s="80">
        <v>0.0</v>
      </c>
      <c r="AW83" s="358">
        <f t="shared" si="2"/>
        <v>3</v>
      </c>
      <c r="AX83" s="358">
        <f t="shared" si="3"/>
        <v>1</v>
      </c>
    </row>
    <row r="84">
      <c r="A84" s="157" t="s">
        <v>1859</v>
      </c>
      <c r="B84" s="179" t="s">
        <v>799</v>
      </c>
      <c r="C84" s="61" t="s">
        <v>799</v>
      </c>
      <c r="D84" s="697" t="s">
        <v>797</v>
      </c>
      <c r="E84" s="545">
        <v>40939.0</v>
      </c>
      <c r="F84" s="47" t="s">
        <v>354</v>
      </c>
      <c r="G84" s="47" t="s">
        <v>354</v>
      </c>
      <c r="H84" s="47" t="s">
        <v>354</v>
      </c>
      <c r="I84" s="47" t="s">
        <v>354</v>
      </c>
      <c r="J84" s="47" t="s">
        <v>354</v>
      </c>
      <c r="K84" s="179">
        <v>1.0</v>
      </c>
      <c r="L84" s="179" t="s">
        <v>354</v>
      </c>
      <c r="M84" s="265"/>
      <c r="N84" s="265"/>
      <c r="O84" s="179" t="s">
        <v>485</v>
      </c>
      <c r="P84" s="723">
        <v>0.0</v>
      </c>
      <c r="Q84" s="157" t="s">
        <v>354</v>
      </c>
      <c r="R84" s="723">
        <v>0.0</v>
      </c>
      <c r="S84" s="551" t="s">
        <v>354</v>
      </c>
      <c r="T84" s="551" t="s">
        <v>354</v>
      </c>
      <c r="U84" s="551" t="s">
        <v>354</v>
      </c>
      <c r="V84" s="723">
        <v>0.0</v>
      </c>
      <c r="W84" s="723">
        <v>0.0</v>
      </c>
      <c r="X84" s="551" t="s">
        <v>354</v>
      </c>
      <c r="Y84" s="551" t="s">
        <v>354</v>
      </c>
      <c r="Z84" s="157" t="s">
        <v>354</v>
      </c>
      <c r="AA84" s="157" t="s">
        <v>354</v>
      </c>
      <c r="AB84" s="157" t="s">
        <v>354</v>
      </c>
      <c r="AC84" s="157" t="s">
        <v>354</v>
      </c>
      <c r="AD84" s="732" t="s">
        <v>356</v>
      </c>
      <c r="AE84" s="732" t="s">
        <v>354</v>
      </c>
      <c r="AF84" s="675" t="s">
        <v>356</v>
      </c>
      <c r="AG84" s="675" t="s">
        <v>354</v>
      </c>
      <c r="AH84" s="733" t="s">
        <v>356</v>
      </c>
      <c r="AI84" s="733" t="s">
        <v>354</v>
      </c>
      <c r="AJ84" s="46">
        <f t="shared" si="1"/>
        <v>0</v>
      </c>
      <c r="AO84" s="80">
        <v>0.0</v>
      </c>
      <c r="AP84" s="80">
        <v>0.0</v>
      </c>
      <c r="AQ84" s="80">
        <v>0.0</v>
      </c>
      <c r="AR84" s="224">
        <v>0.0</v>
      </c>
      <c r="AS84" s="80">
        <v>0.0</v>
      </c>
      <c r="AT84" s="224">
        <v>0.0</v>
      </c>
      <c r="AU84" s="80">
        <v>0.0</v>
      </c>
      <c r="AV84" s="80">
        <v>0.0</v>
      </c>
      <c r="AW84" s="182">
        <f t="shared" si="2"/>
        <v>0</v>
      </c>
      <c r="AX84" s="182">
        <f t="shared" si="3"/>
        <v>0</v>
      </c>
    </row>
    <row r="85">
      <c r="A85" s="157" t="s">
        <v>1860</v>
      </c>
      <c r="B85" s="158" t="s">
        <v>671</v>
      </c>
      <c r="C85" s="606" t="s">
        <v>666</v>
      </c>
      <c r="D85" s="602" t="s">
        <v>667</v>
      </c>
      <c r="E85" s="545">
        <v>40939.0</v>
      </c>
      <c r="F85" s="47" t="s">
        <v>354</v>
      </c>
      <c r="G85" s="47" t="s">
        <v>354</v>
      </c>
      <c r="H85" s="47" t="s">
        <v>354</v>
      </c>
      <c r="I85" s="47" t="s">
        <v>354</v>
      </c>
      <c r="J85" s="47" t="s">
        <v>354</v>
      </c>
      <c r="K85" s="158">
        <v>3.0</v>
      </c>
      <c r="L85" s="158" t="s">
        <v>670</v>
      </c>
      <c r="M85" s="265"/>
      <c r="N85" s="265"/>
      <c r="O85" s="158" t="s">
        <v>600</v>
      </c>
      <c r="P85" s="723">
        <v>0.0</v>
      </c>
      <c r="Q85" s="157" t="s">
        <v>354</v>
      </c>
      <c r="R85" s="723">
        <v>0.0</v>
      </c>
      <c r="S85" s="551" t="s">
        <v>354</v>
      </c>
      <c r="T85" s="551" t="s">
        <v>354</v>
      </c>
      <c r="U85" s="551" t="s">
        <v>354</v>
      </c>
      <c r="V85" s="723">
        <v>0.0</v>
      </c>
      <c r="W85" s="742">
        <v>7.97</v>
      </c>
      <c r="X85" s="551" t="s">
        <v>356</v>
      </c>
      <c r="Y85" s="551" t="s">
        <v>354</v>
      </c>
      <c r="Z85" s="157" t="s">
        <v>354</v>
      </c>
      <c r="AA85" s="157" t="s">
        <v>354</v>
      </c>
      <c r="AB85" s="157" t="s">
        <v>354</v>
      </c>
      <c r="AC85" s="157" t="s">
        <v>354</v>
      </c>
      <c r="AD85" s="724" t="s">
        <v>365</v>
      </c>
      <c r="AE85" s="40" t="s">
        <v>357</v>
      </c>
      <c r="AF85" s="734" t="s">
        <v>365</v>
      </c>
      <c r="AG85" s="90" t="s">
        <v>413</v>
      </c>
      <c r="AH85" s="726" t="s">
        <v>365</v>
      </c>
      <c r="AI85" s="44" t="s">
        <v>420</v>
      </c>
      <c r="AJ85" s="357">
        <f t="shared" si="1"/>
        <v>3</v>
      </c>
      <c r="AO85" s="80">
        <v>0.0</v>
      </c>
      <c r="AP85" s="224">
        <v>1.0</v>
      </c>
      <c r="AQ85" s="80">
        <v>0.0</v>
      </c>
      <c r="AR85" s="224">
        <v>0.0</v>
      </c>
      <c r="AS85" s="224">
        <v>1.0</v>
      </c>
      <c r="AT85" s="224">
        <v>1.0</v>
      </c>
      <c r="AU85" s="80">
        <v>0.0</v>
      </c>
      <c r="AV85" s="80">
        <v>0.0</v>
      </c>
      <c r="AW85" s="358">
        <f t="shared" si="2"/>
        <v>3</v>
      </c>
      <c r="AX85" s="358">
        <f t="shared" si="3"/>
        <v>3</v>
      </c>
    </row>
    <row r="86">
      <c r="A86" s="157" t="s">
        <v>1861</v>
      </c>
      <c r="B86" s="157" t="s">
        <v>773</v>
      </c>
      <c r="C86" s="49" t="s">
        <v>768</v>
      </c>
      <c r="D86" s="98" t="s">
        <v>769</v>
      </c>
      <c r="E86" s="545">
        <v>40939.0</v>
      </c>
      <c r="F86" s="47" t="s">
        <v>354</v>
      </c>
      <c r="G86" s="47" t="s">
        <v>354</v>
      </c>
      <c r="H86" s="47" t="s">
        <v>354</v>
      </c>
      <c r="I86" s="47" t="s">
        <v>354</v>
      </c>
      <c r="J86" s="47" t="s">
        <v>354</v>
      </c>
      <c r="K86" s="47" t="s">
        <v>354</v>
      </c>
      <c r="L86" s="47"/>
      <c r="M86" s="47" t="s">
        <v>354</v>
      </c>
      <c r="N86" s="235"/>
      <c r="O86" s="235" t="s">
        <v>354</v>
      </c>
      <c r="P86" s="723">
        <v>0.0</v>
      </c>
      <c r="Q86" s="157" t="s">
        <v>354</v>
      </c>
      <c r="R86" s="723">
        <v>0.0</v>
      </c>
      <c r="S86" s="551" t="s">
        <v>354</v>
      </c>
      <c r="T86" s="551" t="s">
        <v>354</v>
      </c>
      <c r="U86" s="551" t="s">
        <v>354</v>
      </c>
      <c r="V86" s="723">
        <v>0.0</v>
      </c>
      <c r="W86" s="723">
        <v>0.0</v>
      </c>
      <c r="X86" s="551" t="s">
        <v>354</v>
      </c>
      <c r="Y86" s="551" t="s">
        <v>354</v>
      </c>
      <c r="Z86" s="157" t="s">
        <v>354</v>
      </c>
      <c r="AA86" s="157" t="s">
        <v>354</v>
      </c>
      <c r="AB86" s="157" t="s">
        <v>354</v>
      </c>
      <c r="AC86" s="157" t="s">
        <v>354</v>
      </c>
      <c r="AD86" s="724" t="s">
        <v>365</v>
      </c>
      <c r="AE86" s="40" t="s">
        <v>357</v>
      </c>
      <c r="AF86" s="734" t="s">
        <v>365</v>
      </c>
      <c r="AG86" s="181" t="s">
        <v>389</v>
      </c>
      <c r="AH86" s="735" t="s">
        <v>365</v>
      </c>
      <c r="AI86" s="90" t="s">
        <v>413</v>
      </c>
      <c r="AJ86" s="357">
        <f t="shared" si="1"/>
        <v>3</v>
      </c>
      <c r="AO86" s="224">
        <v>1.0</v>
      </c>
      <c r="AP86" s="80">
        <v>0.0</v>
      </c>
      <c r="AQ86" s="80">
        <v>0.0</v>
      </c>
      <c r="AR86" s="224">
        <v>0.0</v>
      </c>
      <c r="AS86" s="224">
        <v>1.0</v>
      </c>
      <c r="AT86" s="224">
        <v>1.0</v>
      </c>
      <c r="AU86" s="80">
        <v>0.0</v>
      </c>
      <c r="AV86" s="80">
        <v>0.0</v>
      </c>
      <c r="AW86" s="358">
        <f t="shared" si="2"/>
        <v>3</v>
      </c>
      <c r="AX86" s="358">
        <f t="shared" si="3"/>
        <v>3</v>
      </c>
    </row>
    <row r="87">
      <c r="A87" s="157" t="s">
        <v>1862</v>
      </c>
      <c r="B87" s="157" t="s">
        <v>1060</v>
      </c>
      <c r="C87" s="157" t="s">
        <v>1060</v>
      </c>
      <c r="D87" s="273" t="s">
        <v>1060</v>
      </c>
      <c r="E87" s="545">
        <v>40939.0</v>
      </c>
      <c r="F87" s="47" t="s">
        <v>354</v>
      </c>
      <c r="G87" s="47" t="s">
        <v>354</v>
      </c>
      <c r="H87" s="47" t="s">
        <v>354</v>
      </c>
      <c r="I87" s="47" t="s">
        <v>354</v>
      </c>
      <c r="J87" s="47" t="s">
        <v>354</v>
      </c>
      <c r="K87" s="47" t="s">
        <v>354</v>
      </c>
      <c r="L87" s="47"/>
      <c r="M87" s="47" t="s">
        <v>354</v>
      </c>
      <c r="N87" s="235"/>
      <c r="O87" s="235" t="s">
        <v>354</v>
      </c>
      <c r="P87" s="154">
        <v>38.4431031895471</v>
      </c>
      <c r="Q87" s="157" t="s">
        <v>354</v>
      </c>
      <c r="R87" s="723">
        <v>0.0</v>
      </c>
      <c r="S87" s="551" t="s">
        <v>354</v>
      </c>
      <c r="T87" s="551" t="s">
        <v>354</v>
      </c>
      <c r="U87" s="551" t="s">
        <v>354</v>
      </c>
      <c r="V87" s="723">
        <v>0.0</v>
      </c>
      <c r="W87" s="723">
        <v>0.0</v>
      </c>
      <c r="X87" s="551" t="s">
        <v>354</v>
      </c>
      <c r="Y87" s="551" t="s">
        <v>354</v>
      </c>
      <c r="Z87" s="157" t="s">
        <v>354</v>
      </c>
      <c r="AA87" s="157" t="s">
        <v>354</v>
      </c>
      <c r="AB87" s="157" t="s">
        <v>354</v>
      </c>
      <c r="AC87" s="157" t="s">
        <v>354</v>
      </c>
      <c r="AD87" s="724" t="s">
        <v>365</v>
      </c>
      <c r="AE87" s="181" t="s">
        <v>389</v>
      </c>
      <c r="AF87" s="734" t="s">
        <v>365</v>
      </c>
      <c r="AG87" s="181" t="s">
        <v>389</v>
      </c>
      <c r="AH87" s="735" t="s">
        <v>365</v>
      </c>
      <c r="AI87" s="181" t="s">
        <v>389</v>
      </c>
      <c r="AJ87" s="357">
        <f t="shared" si="1"/>
        <v>4</v>
      </c>
      <c r="AN87" s="235"/>
      <c r="AO87" s="224">
        <v>3.0</v>
      </c>
      <c r="AP87" s="80">
        <v>0.0</v>
      </c>
      <c r="AQ87" s="80">
        <v>0.0</v>
      </c>
      <c r="AR87" s="224">
        <v>0.0</v>
      </c>
      <c r="AS87" s="80">
        <v>0.0</v>
      </c>
      <c r="AT87" s="224">
        <v>0.0</v>
      </c>
      <c r="AU87" s="80">
        <v>0.0</v>
      </c>
      <c r="AV87" s="80">
        <v>0.0</v>
      </c>
      <c r="AW87" s="358">
        <f t="shared" si="2"/>
        <v>3</v>
      </c>
      <c r="AX87" s="358">
        <f t="shared" si="3"/>
        <v>1</v>
      </c>
    </row>
    <row r="88">
      <c r="A88" s="157" t="s">
        <v>1863</v>
      </c>
      <c r="B88" s="184" t="s">
        <v>201</v>
      </c>
      <c r="C88" s="271" t="s">
        <v>201</v>
      </c>
      <c r="D88" s="687" t="s">
        <v>1622</v>
      </c>
      <c r="E88" s="545">
        <v>40939.0</v>
      </c>
      <c r="F88" s="47" t="s">
        <v>354</v>
      </c>
      <c r="G88" s="47" t="s">
        <v>354</v>
      </c>
      <c r="H88" s="47" t="s">
        <v>354</v>
      </c>
      <c r="I88" s="47" t="s">
        <v>354</v>
      </c>
      <c r="J88" s="47" t="s">
        <v>354</v>
      </c>
      <c r="K88" s="184">
        <v>0.0</v>
      </c>
      <c r="L88" s="184" t="s">
        <v>354</v>
      </c>
      <c r="M88" s="265"/>
      <c r="N88" s="265"/>
      <c r="O88" s="184" t="s">
        <v>371</v>
      </c>
      <c r="P88" s="723">
        <v>0.0</v>
      </c>
      <c r="Q88" s="157" t="s">
        <v>354</v>
      </c>
      <c r="R88" s="723">
        <v>0.0</v>
      </c>
      <c r="S88" s="551" t="s">
        <v>354</v>
      </c>
      <c r="T88" s="551" t="s">
        <v>354</v>
      </c>
      <c r="U88" s="551" t="s">
        <v>354</v>
      </c>
      <c r="V88" s="723">
        <v>0.0</v>
      </c>
      <c r="W88" s="723">
        <v>0.0</v>
      </c>
      <c r="X88" s="551" t="s">
        <v>354</v>
      </c>
      <c r="Y88" s="551" t="s">
        <v>354</v>
      </c>
      <c r="Z88" s="157" t="s">
        <v>354</v>
      </c>
      <c r="AA88" s="157" t="s">
        <v>354</v>
      </c>
      <c r="AB88" s="157" t="s">
        <v>354</v>
      </c>
      <c r="AC88" s="157" t="s">
        <v>354</v>
      </c>
      <c r="AD88" s="732" t="s">
        <v>356</v>
      </c>
      <c r="AE88" s="732" t="s">
        <v>354</v>
      </c>
      <c r="AF88" s="675" t="s">
        <v>356</v>
      </c>
      <c r="AG88" s="675" t="s">
        <v>354</v>
      </c>
      <c r="AH88" s="733" t="s">
        <v>356</v>
      </c>
      <c r="AI88" s="733" t="s">
        <v>354</v>
      </c>
      <c r="AJ88" s="46">
        <f t="shared" si="1"/>
        <v>0</v>
      </c>
      <c r="AN88" s="340"/>
      <c r="AO88" s="80">
        <v>0.0</v>
      </c>
      <c r="AP88" s="80">
        <v>0.0</v>
      </c>
      <c r="AQ88" s="80">
        <v>0.0</v>
      </c>
      <c r="AR88" s="224">
        <v>0.0</v>
      </c>
      <c r="AS88" s="80">
        <v>0.0</v>
      </c>
      <c r="AT88" s="224">
        <v>0.0</v>
      </c>
      <c r="AU88" s="80">
        <v>0.0</v>
      </c>
      <c r="AV88" s="80">
        <v>0.0</v>
      </c>
      <c r="AW88" s="182">
        <f t="shared" si="2"/>
        <v>0</v>
      </c>
      <c r="AX88" s="182">
        <f t="shared" si="3"/>
        <v>0</v>
      </c>
    </row>
    <row r="89">
      <c r="A89" s="157" t="s">
        <v>1864</v>
      </c>
      <c r="B89" s="158" t="s">
        <v>117</v>
      </c>
      <c r="C89" s="702" t="s">
        <v>117</v>
      </c>
      <c r="D89" s="692" t="s">
        <v>546</v>
      </c>
      <c r="E89" s="545">
        <v>40939.0</v>
      </c>
      <c r="F89" s="47" t="s">
        <v>354</v>
      </c>
      <c r="G89" s="47" t="s">
        <v>354</v>
      </c>
      <c r="H89" s="47" t="s">
        <v>354</v>
      </c>
      <c r="I89" s="47" t="s">
        <v>354</v>
      </c>
      <c r="J89" s="47" t="s">
        <v>354</v>
      </c>
      <c r="K89" s="158">
        <v>2.0</v>
      </c>
      <c r="L89" s="158" t="s">
        <v>549</v>
      </c>
      <c r="M89" s="265"/>
      <c r="N89" s="265"/>
      <c r="O89" s="158" t="s">
        <v>398</v>
      </c>
      <c r="P89" s="723">
        <v>0.0</v>
      </c>
      <c r="Q89" s="157" t="s">
        <v>354</v>
      </c>
      <c r="R89" s="723">
        <v>0.0</v>
      </c>
      <c r="S89" s="551" t="s">
        <v>354</v>
      </c>
      <c r="T89" s="551" t="s">
        <v>354</v>
      </c>
      <c r="U89" s="551" t="s">
        <v>354</v>
      </c>
      <c r="V89" s="723">
        <v>0.0</v>
      </c>
      <c r="W89" s="723">
        <v>0.0</v>
      </c>
      <c r="X89" s="551" t="s">
        <v>354</v>
      </c>
      <c r="Y89" s="551" t="s">
        <v>354</v>
      </c>
      <c r="Z89" s="157" t="s">
        <v>354</v>
      </c>
      <c r="AA89" s="157" t="s">
        <v>354</v>
      </c>
      <c r="AB89" s="157" t="s">
        <v>354</v>
      </c>
      <c r="AC89" s="157" t="s">
        <v>354</v>
      </c>
      <c r="AD89" s="732" t="s">
        <v>356</v>
      </c>
      <c r="AE89" s="732" t="s">
        <v>354</v>
      </c>
      <c r="AF89" s="675" t="s">
        <v>356</v>
      </c>
      <c r="AG89" s="675" t="s">
        <v>354</v>
      </c>
      <c r="AH89" s="733" t="s">
        <v>356</v>
      </c>
      <c r="AI89" s="733" t="s">
        <v>354</v>
      </c>
      <c r="AJ89" s="46">
        <f t="shared" si="1"/>
        <v>0</v>
      </c>
      <c r="AN89" s="372"/>
      <c r="AO89" s="80">
        <v>0.0</v>
      </c>
      <c r="AP89" s="80">
        <v>0.0</v>
      </c>
      <c r="AQ89" s="80">
        <v>0.0</v>
      </c>
      <c r="AR89" s="224">
        <v>0.0</v>
      </c>
      <c r="AS89" s="80">
        <v>0.0</v>
      </c>
      <c r="AT89" s="224">
        <v>0.0</v>
      </c>
      <c r="AU89" s="80">
        <v>0.0</v>
      </c>
      <c r="AV89" s="80">
        <v>0.0</v>
      </c>
      <c r="AW89" s="182">
        <f t="shared" si="2"/>
        <v>0</v>
      </c>
      <c r="AX89" s="182">
        <f t="shared" si="3"/>
        <v>0</v>
      </c>
    </row>
    <row r="90">
      <c r="A90" s="157" t="s">
        <v>1865</v>
      </c>
      <c r="B90" s="158" t="s">
        <v>152</v>
      </c>
      <c r="C90" s="702" t="s">
        <v>152</v>
      </c>
      <c r="D90" s="692" t="s">
        <v>629</v>
      </c>
      <c r="E90" s="545">
        <v>40939.0</v>
      </c>
      <c r="F90" s="47" t="s">
        <v>354</v>
      </c>
      <c r="G90" s="47" t="s">
        <v>354</v>
      </c>
      <c r="H90" s="47" t="s">
        <v>354</v>
      </c>
      <c r="I90" s="47" t="s">
        <v>354</v>
      </c>
      <c r="J90" s="47" t="s">
        <v>354</v>
      </c>
      <c r="K90" s="158">
        <v>3.0</v>
      </c>
      <c r="L90" s="158" t="s">
        <v>635</v>
      </c>
      <c r="M90" s="265"/>
      <c r="N90" s="265"/>
      <c r="O90" s="158" t="s">
        <v>600</v>
      </c>
      <c r="P90" s="723">
        <v>0.0</v>
      </c>
      <c r="Q90" s="157" t="s">
        <v>354</v>
      </c>
      <c r="R90" s="723">
        <v>0.0</v>
      </c>
      <c r="S90" s="551" t="s">
        <v>354</v>
      </c>
      <c r="T90" s="551" t="s">
        <v>354</v>
      </c>
      <c r="U90" s="551" t="s">
        <v>354</v>
      </c>
      <c r="V90" s="723">
        <v>0.0</v>
      </c>
      <c r="W90" s="723">
        <v>0.0</v>
      </c>
      <c r="X90" s="551" t="s">
        <v>354</v>
      </c>
      <c r="Y90" s="551" t="s">
        <v>354</v>
      </c>
      <c r="Z90" s="157" t="s">
        <v>354</v>
      </c>
      <c r="AA90" s="157" t="s">
        <v>354</v>
      </c>
      <c r="AB90" s="157" t="s">
        <v>354</v>
      </c>
      <c r="AC90" s="157" t="s">
        <v>354</v>
      </c>
      <c r="AD90" s="732" t="s">
        <v>356</v>
      </c>
      <c r="AE90" s="732" t="s">
        <v>354</v>
      </c>
      <c r="AF90" s="675" t="s">
        <v>356</v>
      </c>
      <c r="AG90" s="675" t="s">
        <v>354</v>
      </c>
      <c r="AH90" s="733" t="s">
        <v>356</v>
      </c>
      <c r="AI90" s="733" t="s">
        <v>354</v>
      </c>
      <c r="AJ90" s="46">
        <f t="shared" si="1"/>
        <v>0</v>
      </c>
      <c r="AN90" s="682"/>
      <c r="AO90" s="80">
        <v>0.0</v>
      </c>
      <c r="AP90" s="80">
        <v>0.0</v>
      </c>
      <c r="AQ90" s="80">
        <v>0.0</v>
      </c>
      <c r="AR90" s="224">
        <v>0.0</v>
      </c>
      <c r="AS90" s="80">
        <v>0.0</v>
      </c>
      <c r="AT90" s="224">
        <v>0.0</v>
      </c>
      <c r="AU90" s="80">
        <v>0.0</v>
      </c>
      <c r="AV90" s="80">
        <v>0.0</v>
      </c>
      <c r="AW90" s="182">
        <f t="shared" si="2"/>
        <v>0</v>
      </c>
      <c r="AX90" s="182">
        <f t="shared" si="3"/>
        <v>0</v>
      </c>
    </row>
    <row r="91">
      <c r="A91" s="157" t="s">
        <v>1866</v>
      </c>
      <c r="B91" s="157" t="s">
        <v>1867</v>
      </c>
      <c r="C91" s="157" t="s">
        <v>354</v>
      </c>
      <c r="D91" s="157" t="s">
        <v>354</v>
      </c>
      <c r="E91" s="545">
        <v>40939.0</v>
      </c>
      <c r="F91" s="47" t="s">
        <v>354</v>
      </c>
      <c r="G91" s="47" t="s">
        <v>354</v>
      </c>
      <c r="H91" s="47" t="s">
        <v>354</v>
      </c>
      <c r="I91" s="47" t="s">
        <v>354</v>
      </c>
      <c r="J91" s="47" t="s">
        <v>354</v>
      </c>
      <c r="K91" s="47" t="s">
        <v>354</v>
      </c>
      <c r="L91" s="47"/>
      <c r="M91" s="47" t="s">
        <v>354</v>
      </c>
      <c r="N91" s="47"/>
      <c r="O91" s="47" t="s">
        <v>354</v>
      </c>
      <c r="P91" s="723">
        <v>0.0</v>
      </c>
      <c r="Q91" s="157" t="s">
        <v>354</v>
      </c>
      <c r="R91" s="723">
        <v>0.0</v>
      </c>
      <c r="S91" s="551" t="s">
        <v>354</v>
      </c>
      <c r="T91" s="551" t="s">
        <v>354</v>
      </c>
      <c r="U91" s="551" t="s">
        <v>354</v>
      </c>
      <c r="V91" s="723">
        <v>0.0</v>
      </c>
      <c r="W91" s="742">
        <v>44.77</v>
      </c>
      <c r="X91" s="551" t="s">
        <v>356</v>
      </c>
      <c r="Y91" s="551" t="s">
        <v>354</v>
      </c>
      <c r="Z91" s="157" t="s">
        <v>354</v>
      </c>
      <c r="AA91" s="157" t="s">
        <v>354</v>
      </c>
      <c r="AB91" s="157" t="s">
        <v>354</v>
      </c>
      <c r="AC91" s="157" t="s">
        <v>354</v>
      </c>
      <c r="AD91" s="732" t="s">
        <v>356</v>
      </c>
      <c r="AE91" s="732" t="s">
        <v>354</v>
      </c>
      <c r="AF91" s="675" t="s">
        <v>356</v>
      </c>
      <c r="AG91" s="675" t="s">
        <v>354</v>
      </c>
      <c r="AH91" s="733" t="s">
        <v>356</v>
      </c>
      <c r="AI91" s="733" t="s">
        <v>354</v>
      </c>
      <c r="AJ91" s="46">
        <f t="shared" si="1"/>
        <v>0</v>
      </c>
      <c r="AO91" s="80">
        <v>0.0</v>
      </c>
      <c r="AP91" s="80">
        <v>0.0</v>
      </c>
      <c r="AQ91" s="80">
        <v>0.0</v>
      </c>
      <c r="AR91" s="224">
        <v>0.0</v>
      </c>
      <c r="AS91" s="80">
        <v>0.0</v>
      </c>
      <c r="AT91" s="224">
        <v>0.0</v>
      </c>
      <c r="AU91" s="80">
        <v>0.0</v>
      </c>
      <c r="AV91" s="80">
        <v>0.0</v>
      </c>
      <c r="AW91" s="182">
        <f t="shared" si="2"/>
        <v>0</v>
      </c>
      <c r="AX91" s="182">
        <f t="shared" si="3"/>
        <v>0</v>
      </c>
    </row>
    <row r="92">
      <c r="A92" s="235" t="s">
        <v>356</v>
      </c>
      <c r="B92" s="235" t="s">
        <v>354</v>
      </c>
      <c r="C92" s="235" t="s">
        <v>354</v>
      </c>
      <c r="D92" s="235" t="s">
        <v>354</v>
      </c>
      <c r="E92" s="47" t="s">
        <v>354</v>
      </c>
      <c r="F92" s="47" t="s">
        <v>354</v>
      </c>
      <c r="G92" s="235" t="s">
        <v>354</v>
      </c>
      <c r="H92" s="235" t="s">
        <v>354</v>
      </c>
      <c r="I92" s="235" t="s">
        <v>354</v>
      </c>
      <c r="J92" s="235" t="s">
        <v>354</v>
      </c>
      <c r="K92" s="235" t="s">
        <v>354</v>
      </c>
      <c r="L92" s="235"/>
      <c r="M92" s="235" t="s">
        <v>354</v>
      </c>
      <c r="N92" s="235"/>
      <c r="O92" s="235" t="s">
        <v>354</v>
      </c>
      <c r="P92" s="723">
        <v>0.0</v>
      </c>
      <c r="Q92" s="157" t="s">
        <v>354</v>
      </c>
      <c r="R92" s="723">
        <v>0.0</v>
      </c>
      <c r="S92" s="551" t="s">
        <v>354</v>
      </c>
      <c r="T92" s="551" t="s">
        <v>354</v>
      </c>
      <c r="U92" s="551" t="s">
        <v>354</v>
      </c>
      <c r="V92" s="723">
        <v>0.0</v>
      </c>
      <c r="W92" s="723">
        <v>0.0</v>
      </c>
      <c r="X92" s="551" t="s">
        <v>354</v>
      </c>
      <c r="Y92" s="551" t="s">
        <v>354</v>
      </c>
      <c r="Z92" s="157" t="s">
        <v>354</v>
      </c>
      <c r="AA92" s="157" t="s">
        <v>354</v>
      </c>
      <c r="AB92" s="157" t="s">
        <v>354</v>
      </c>
      <c r="AC92" s="157" t="s">
        <v>354</v>
      </c>
      <c r="AD92" s="732" t="s">
        <v>356</v>
      </c>
      <c r="AE92" s="732" t="s">
        <v>354</v>
      </c>
      <c r="AF92" s="675" t="s">
        <v>356</v>
      </c>
      <c r="AG92" s="675" t="s">
        <v>354</v>
      </c>
      <c r="AH92" s="733" t="s">
        <v>356</v>
      </c>
      <c r="AI92" s="733" t="s">
        <v>354</v>
      </c>
      <c r="AJ92" s="46">
        <f t="shared" si="1"/>
        <v>0</v>
      </c>
      <c r="AN92" s="80" t="s">
        <v>1507</v>
      </c>
      <c r="AO92" s="80">
        <f t="shared" ref="AO92:AV92" si="4">sum(AO2:AO30,AO32:AO35,AO37:AO40,AO43:AO47,AO50,AO51:AO72,AO76,AO77:AO90)</f>
        <v>14</v>
      </c>
      <c r="AP92" s="80">
        <f t="shared" si="4"/>
        <v>10</v>
      </c>
      <c r="AQ92" s="80">
        <f t="shared" si="4"/>
        <v>9</v>
      </c>
      <c r="AR92" s="80">
        <f t="shared" si="4"/>
        <v>0</v>
      </c>
      <c r="AS92" s="80">
        <f t="shared" si="4"/>
        <v>19</v>
      </c>
      <c r="AT92" s="80">
        <f t="shared" si="4"/>
        <v>17</v>
      </c>
      <c r="AU92" s="80">
        <f t="shared" si="4"/>
        <v>0</v>
      </c>
      <c r="AV92" s="80">
        <f t="shared" si="4"/>
        <v>0</v>
      </c>
      <c r="AW92" s="182">
        <f t="shared" si="2"/>
        <v>69</v>
      </c>
      <c r="AX92" s="182"/>
    </row>
    <row r="93">
      <c r="A93" s="235" t="s">
        <v>365</v>
      </c>
      <c r="B93" s="235" t="s">
        <v>354</v>
      </c>
      <c r="C93" s="235" t="s">
        <v>354</v>
      </c>
      <c r="D93" s="235" t="s">
        <v>354</v>
      </c>
      <c r="E93" s="47" t="s">
        <v>354</v>
      </c>
      <c r="F93" s="47" t="s">
        <v>354</v>
      </c>
      <c r="G93" s="235" t="s">
        <v>354</v>
      </c>
      <c r="H93" s="235" t="s">
        <v>354</v>
      </c>
      <c r="I93" s="235" t="s">
        <v>354</v>
      </c>
      <c r="J93" s="235" t="s">
        <v>354</v>
      </c>
      <c r="K93" s="235" t="s">
        <v>354</v>
      </c>
      <c r="L93" s="235"/>
      <c r="M93" s="235" t="s">
        <v>354</v>
      </c>
      <c r="N93" s="235"/>
      <c r="O93" s="235" t="s">
        <v>354</v>
      </c>
      <c r="P93" s="154">
        <v>18.1127403993443</v>
      </c>
      <c r="Q93" s="157" t="s">
        <v>354</v>
      </c>
      <c r="R93" s="154">
        <v>28.2907300028797</v>
      </c>
      <c r="S93" s="551" t="s">
        <v>354</v>
      </c>
      <c r="T93" s="551" t="s">
        <v>354</v>
      </c>
      <c r="U93" s="551" t="s">
        <v>354</v>
      </c>
      <c r="V93" s="154">
        <v>23.6209564124545</v>
      </c>
      <c r="W93" s="140">
        <v>26.46</v>
      </c>
      <c r="X93" s="551" t="s">
        <v>354</v>
      </c>
      <c r="Y93" s="551" t="s">
        <v>354</v>
      </c>
      <c r="Z93" s="157" t="s">
        <v>354</v>
      </c>
      <c r="AA93" s="157" t="s">
        <v>354</v>
      </c>
      <c r="AB93" s="157" t="s">
        <v>354</v>
      </c>
      <c r="AC93" s="157" t="s">
        <v>354</v>
      </c>
      <c r="AD93" s="724" t="s">
        <v>365</v>
      </c>
      <c r="AE93" s="732" t="s">
        <v>1400</v>
      </c>
      <c r="AF93" s="734" t="s">
        <v>365</v>
      </c>
      <c r="AG93" s="675" t="s">
        <v>1400</v>
      </c>
      <c r="AH93" s="735" t="s">
        <v>365</v>
      </c>
      <c r="AI93" s="733" t="s">
        <v>1400</v>
      </c>
      <c r="AJ93" s="46">
        <f t="shared" si="1"/>
        <v>4</v>
      </c>
      <c r="AN93" s="80" t="s">
        <v>1406</v>
      </c>
      <c r="AO93" s="743">
        <f t="shared" ref="AO93:AV93" si="5">AO92/$AW$92</f>
        <v>0.2028985507</v>
      </c>
      <c r="AP93" s="743">
        <f t="shared" si="5"/>
        <v>0.1449275362</v>
      </c>
      <c r="AQ93" s="743">
        <f t="shared" si="5"/>
        <v>0.1304347826</v>
      </c>
      <c r="AR93" s="743">
        <f t="shared" si="5"/>
        <v>0</v>
      </c>
      <c r="AS93" s="743">
        <f t="shared" si="5"/>
        <v>0.2753623188</v>
      </c>
      <c r="AT93" s="743">
        <f t="shared" si="5"/>
        <v>0.2463768116</v>
      </c>
      <c r="AU93" s="743">
        <f t="shared" si="5"/>
        <v>0</v>
      </c>
      <c r="AV93" s="743">
        <f t="shared" si="5"/>
        <v>0</v>
      </c>
      <c r="AW93" s="380">
        <f t="shared" si="2"/>
        <v>1</v>
      </c>
      <c r="AX93" s="182"/>
    </row>
    <row r="94">
      <c r="W94" s="265"/>
      <c r="X94" s="265"/>
      <c r="Y94" s="265"/>
      <c r="AO94" s="265"/>
      <c r="AP94" s="265"/>
      <c r="AQ94" s="265"/>
      <c r="AR94" s="265"/>
      <c r="AS94" s="265"/>
      <c r="AT94" s="265"/>
      <c r="AU94" s="265"/>
      <c r="AV94" s="265"/>
      <c r="AW94" s="265"/>
      <c r="AX94" s="265"/>
    </row>
    <row r="95">
      <c r="P95" s="340">
        <f>sum(countif(P2:P30,"&gt;0"),countif(P32:P35,"&gt;0"),countif(P37:P40,"&gt;0"),countif(P43:P47,"&gt;0"),countif(P50,"&gt;0"),countif(P51:P72,"&gt;0"),countif(P76,"&gt;0"),countif(P77:P90,"&gt;0"))</f>
        <v>14</v>
      </c>
      <c r="W95" s="265"/>
      <c r="X95" s="265"/>
      <c r="Y95" s="265"/>
      <c r="AD95" s="340">
        <f>sum(countif(AD2:AD30,"POS"),countif(AD32:AD35,"POS"),countif(AD37:AD40,"POS"),countif(AD43:AD47,"POS"),countif(AD50,"POS"),countif(AD51:AD72,"POS"),countif(AD76,"POS"),countif(AD77:AD90,"POS"))</f>
        <v>21</v>
      </c>
      <c r="AE95" s="46"/>
      <c r="AF95" s="340">
        <f>sum(countif(AF2:AF30,"POS"),countif(AF32:AF35,"POS"),countif(AF37:AF40,"POS"),countif(AF43:AF47,"POS"),countif(AF50,"POS"),countif(AF51:AF72,"POS"),countif(AF76,"POS"),countif(AF77:AF90,"POS"))</f>
        <v>19</v>
      </c>
      <c r="AG95" s="46"/>
      <c r="AH95" s="340">
        <f>sum(countif(AH2:AH30,"POS"),countif(AH32:AH35,"POS"),countif(AH37:AH40,"POS"),countif(AH43:AH47,"POS"),countif(AH50,"POS"),countif(AH51:AH72,"POS"),countif(AH76,"POS"),countif(AH77:AH90,"POS"))</f>
        <v>29</v>
      </c>
      <c r="AI95" s="46"/>
      <c r="AJ95" s="340">
        <f>sum(countif($AJ$2:$AJ$30,"&gt;0"),countif($AJ$32:$AJ$35,"&gt;0"),countif($AJ$37:$AJ$40,"&gt;0"),countif($AJ$43:$AJ$47,"&gt;0"),countif($AJ$50,"&gt;0"),countif($AJ$51:$AJ$72,"&gt;0"),countif($AJ$76,"&gt;0"),countif($AJ$77:$AJ$90,"&gt;0"))-1</f>
        <v>33</v>
      </c>
      <c r="AK95" s="340">
        <f>sum(countif($AJ$2:$AJ$30,"&gt;1"),countif($AJ$32:$AJ$35,"&gt;1"),countif($AJ$37:$AJ$40,"&gt;1"),countif($AJ$43:$AJ$47,"&gt;1"),countif($AJ$50,"&gt;1"),countif($AJ$51:$AJ$72,"&gt;1"),countif($AJ$76,"&gt;1"),countif($AJ$77:$AJ$90,"&gt;1"))</f>
        <v>24</v>
      </c>
      <c r="AL95" s="340">
        <f>sum(countif($AJ$2:$AJ$30,"&gt;2"),countif($AJ$32:$AJ$35,"&gt;2"),countif($AJ$37:$AJ$40,"&gt;2"),countif($AJ$43:$AJ$47,"&gt;2"),countif($AJ$50,"&gt;2"),countif($AJ$51:$AJ$72,"&gt;2"),countif($AJ$76,"&gt;2"),countif($AJ$77:$AJ$90,"&gt;2"))</f>
        <v>17</v>
      </c>
      <c r="AM95" s="340">
        <f>sum(countif($AJ$2:$AJ$30,"&gt;3"),countif($AJ$32:$AJ$35,"&gt;3"),countif($AJ$37:$AJ$40,"&gt;3"),countif($AJ$43:$AJ$47,"&gt;3"),countif($AJ$51,"&gt;3"),countif($AJ$52:$AJ$72,"&gt;3"),countif($AJ$76,"&gt;3"),countif($AJ$77:$AJ$90,"&gt;3"))</f>
        <v>8</v>
      </c>
      <c r="AN95" s="340">
        <f>sum(countif(AX2:AX30,"&gt;1"),countif(AX32:AX35,"&gt;1"),countif(AX37:AX40,"&gt;1"),countif(AX43:AX47,"&gt;1"),countif(AX50,"&gt;1"),countif(AX51:AX72,"&gt;1"),countif(AX76,"&gt;1"),countif(AX77:AX90,"&gt;1"))</f>
        <v>11</v>
      </c>
      <c r="AO95" s="157">
        <v>4.0</v>
      </c>
      <c r="AP95" s="157">
        <v>5.0</v>
      </c>
      <c r="AQ95" s="157">
        <v>3.0</v>
      </c>
      <c r="AR95" s="157">
        <v>0.0</v>
      </c>
      <c r="AS95" s="157">
        <v>3.0</v>
      </c>
      <c r="AT95" s="157">
        <v>7.0</v>
      </c>
      <c r="AU95" s="157">
        <v>0.0</v>
      </c>
      <c r="AV95" s="157">
        <v>0.0</v>
      </c>
      <c r="AW95" s="265"/>
      <c r="AX95" s="265"/>
    </row>
    <row r="96">
      <c r="P96" s="46">
        <f>COUNT($P$2:$P$30,$P$32:$P$35,$P$37:$P$40,$P$43:$P$47,$P$49,$P$51:$P$72,$P$74,$P$77:$P$90)</f>
        <v>80</v>
      </c>
      <c r="W96" s="265"/>
      <c r="X96" s="265"/>
      <c r="Y96" s="265"/>
      <c r="AD96" s="46">
        <f>COUNT($P$2:$P$30,$P$32:$P$35,$P$37:$P$40,$P$43:$P$47,$P$49,$P$51:$P$72,$P$74,$P$77:$P$90)</f>
        <v>80</v>
      </c>
      <c r="AE96" s="46"/>
      <c r="AF96" s="46">
        <f>COUNT($P$2:$P$30,$P$32:$P$35,$P$37:$P$40,$P$43:$P$47,$P$49,$P$51:$P$72,$P$74,$P$77:$P$90)</f>
        <v>80</v>
      </c>
      <c r="AG96" s="46"/>
      <c r="AH96" s="46">
        <f>COUNT($P$2:$P$30,$P$32:$P$35,$P$37:$P$40,$P$43:$P$47,$P$49,$P$51:$P$72,$P$74,$P$77:$P$90)</f>
        <v>80</v>
      </c>
      <c r="AI96" s="46"/>
      <c r="AJ96" s="372">
        <f t="shared" ref="AJ96:AN96" si="6">COUNT($P$2:$P$30,$P$32:$P$35,$P$37:$P$40,$P$43:$P$47,$P$49,$P$51:$P$72,$P$74,$P$77:$P$90)</f>
        <v>80</v>
      </c>
      <c r="AK96" s="372">
        <f t="shared" si="6"/>
        <v>80</v>
      </c>
      <c r="AL96" s="372">
        <f t="shared" si="6"/>
        <v>80</v>
      </c>
      <c r="AM96" s="372">
        <f t="shared" si="6"/>
        <v>80</v>
      </c>
      <c r="AN96" s="372">
        <f t="shared" si="6"/>
        <v>80</v>
      </c>
      <c r="AO96" s="265"/>
      <c r="AP96" s="265"/>
      <c r="AQ96" s="265"/>
      <c r="AR96" s="265"/>
      <c r="AS96" s="265"/>
      <c r="AT96" s="265"/>
      <c r="AU96" s="265"/>
      <c r="AV96" s="265"/>
      <c r="AW96" s="265"/>
      <c r="AX96" s="265"/>
    </row>
    <row r="97">
      <c r="P97" s="374">
        <f>P95/P96</f>
        <v>0.175</v>
      </c>
      <c r="W97" s="265"/>
      <c r="X97" s="265"/>
      <c r="Y97" s="265"/>
      <c r="AD97" s="374">
        <f>AD95/AD96</f>
        <v>0.2625</v>
      </c>
      <c r="AE97" s="46"/>
      <c r="AF97" s="374">
        <f>AF95/AF96</f>
        <v>0.2375</v>
      </c>
      <c r="AG97" s="46"/>
      <c r="AH97" s="374">
        <f>AH95/AH96</f>
        <v>0.3625</v>
      </c>
      <c r="AI97" s="46"/>
      <c r="AJ97" s="564">
        <f t="shared" ref="AJ97:AN97" si="7">AJ95/AJ96</f>
        <v>0.4125</v>
      </c>
      <c r="AK97" s="564">
        <f t="shared" si="7"/>
        <v>0.3</v>
      </c>
      <c r="AL97" s="641">
        <f t="shared" si="7"/>
        <v>0.2125</v>
      </c>
      <c r="AM97" s="641">
        <f t="shared" si="7"/>
        <v>0.1</v>
      </c>
      <c r="AN97" s="630">
        <f t="shared" si="7"/>
        <v>0.1375</v>
      </c>
      <c r="AO97" s="265"/>
      <c r="AP97" s="265"/>
      <c r="AQ97" s="265"/>
      <c r="AR97" s="265"/>
      <c r="AS97" s="265"/>
      <c r="AT97" s="265"/>
      <c r="AU97" s="265"/>
      <c r="AV97" s="265"/>
      <c r="AW97" s="265"/>
      <c r="AX97" s="265"/>
    </row>
    <row r="98">
      <c r="W98" s="265"/>
      <c r="X98" s="265"/>
      <c r="Y98" s="265"/>
      <c r="AD98" s="46"/>
      <c r="AE98" s="46"/>
      <c r="AF98" s="46"/>
      <c r="AG98" s="46"/>
      <c r="AH98" s="46"/>
      <c r="AI98" s="46"/>
      <c r="AJ98" s="372" t="s">
        <v>1401</v>
      </c>
      <c r="AK98" s="372" t="s">
        <v>1402</v>
      </c>
      <c r="AL98" s="372" t="s">
        <v>1403</v>
      </c>
      <c r="AM98" s="378" t="s">
        <v>1404</v>
      </c>
      <c r="AN98" s="378" t="s">
        <v>1376</v>
      </c>
      <c r="AO98" s="265"/>
      <c r="AP98" s="265"/>
      <c r="AQ98" s="265"/>
      <c r="AR98" s="265"/>
      <c r="AS98" s="265"/>
      <c r="AT98" s="265"/>
      <c r="AU98" s="265"/>
      <c r="AV98" s="265"/>
      <c r="AW98" s="265"/>
      <c r="AX98" s="265"/>
    </row>
    <row r="99">
      <c r="W99" s="265"/>
      <c r="X99" s="265"/>
      <c r="Y99" s="265"/>
      <c r="AO99" s="265"/>
      <c r="AP99" s="265"/>
      <c r="AQ99" s="265"/>
      <c r="AR99" s="265"/>
      <c r="AS99" s="265"/>
      <c r="AT99" s="265"/>
      <c r="AU99" s="265"/>
      <c r="AV99" s="265"/>
      <c r="AW99" s="265"/>
      <c r="AX99" s="265"/>
    </row>
    <row r="100">
      <c r="N100" s="331" t="s">
        <v>1497</v>
      </c>
      <c r="O100" s="345" t="s">
        <v>389</v>
      </c>
      <c r="P100" s="346" t="s">
        <v>420</v>
      </c>
      <c r="Q100" s="347" t="s">
        <v>358</v>
      </c>
      <c r="R100" s="348" t="s">
        <v>363</v>
      </c>
      <c r="S100" s="349" t="s">
        <v>413</v>
      </c>
      <c r="T100" s="350" t="s">
        <v>357</v>
      </c>
      <c r="U100" s="351" t="s">
        <v>380</v>
      </c>
      <c r="V100" s="352" t="s">
        <v>387</v>
      </c>
      <c r="W100" s="642" t="s">
        <v>1427</v>
      </c>
      <c r="X100" s="643" t="s">
        <v>1190</v>
      </c>
      <c r="Y100" s="644" t="s">
        <v>1214</v>
      </c>
      <c r="Z100" s="645" t="s">
        <v>1120</v>
      </c>
      <c r="AA100" s="646" t="s">
        <v>1188</v>
      </c>
      <c r="AB100" s="647" t="s">
        <v>1428</v>
      </c>
      <c r="AC100" s="648" t="s">
        <v>1429</v>
      </c>
      <c r="AD100" s="649" t="s">
        <v>1178</v>
      </c>
      <c r="AE100" s="650" t="s">
        <v>1145</v>
      </c>
      <c r="AF100" s="651" t="s">
        <v>1301</v>
      </c>
      <c r="AG100" s="652" t="s">
        <v>1130</v>
      </c>
      <c r="AH100" s="653" t="s">
        <v>1314</v>
      </c>
      <c r="AI100" s="654" t="s">
        <v>1431</v>
      </c>
      <c r="AJ100" s="655" t="s">
        <v>1095</v>
      </c>
      <c r="AK100" s="656" t="s">
        <v>1103</v>
      </c>
      <c r="AL100" s="657" t="s">
        <v>1090</v>
      </c>
      <c r="AM100" s="658" t="s">
        <v>1296</v>
      </c>
      <c r="AN100" s="659" t="s">
        <v>1270</v>
      </c>
      <c r="AO100" s="660" t="s">
        <v>1115</v>
      </c>
      <c r="AP100" s="661" t="s">
        <v>1089</v>
      </c>
      <c r="AQ100" s="662" t="s">
        <v>1182</v>
      </c>
      <c r="AR100" s="663" t="s">
        <v>1298</v>
      </c>
      <c r="AS100" s="664" t="s">
        <v>1163</v>
      </c>
      <c r="AT100" s="665" t="s">
        <v>1223</v>
      </c>
      <c r="AU100" s="666" t="s">
        <v>1441</v>
      </c>
      <c r="AV100" s="667" t="s">
        <v>1129</v>
      </c>
      <c r="AW100" s="668" t="s">
        <v>1447</v>
      </c>
      <c r="AX100" s="669" t="s">
        <v>1454</v>
      </c>
    </row>
    <row r="101">
      <c r="N101" s="468">
        <f>correl(O101:V101,AO92:AV92)</f>
        <v>0.9790107716</v>
      </c>
      <c r="O101" s="80">
        <f t="shared" ref="O101:V101" si="8">sum(countif(AO2:AO30,"&gt;0"),countif(AO32:AO35,"&gt;0"),countif(AO37:AO40,"&gt;0"),countif(AO42:AO47,"&gt;0"),countif(AO50,"&gt;0"),countif(AO51:AO72,"&gt;0"),countif(AO76,"&gt;0"),countif(AO77:AO90,"&gt;0"))</f>
        <v>8</v>
      </c>
      <c r="P101" s="80">
        <f t="shared" si="8"/>
        <v>8</v>
      </c>
      <c r="Q101" s="80">
        <f t="shared" si="8"/>
        <v>8</v>
      </c>
      <c r="R101" s="80">
        <f t="shared" si="8"/>
        <v>0</v>
      </c>
      <c r="S101" s="80">
        <f t="shared" si="8"/>
        <v>12</v>
      </c>
      <c r="T101" s="80">
        <f t="shared" si="8"/>
        <v>11</v>
      </c>
      <c r="U101" s="80">
        <f t="shared" si="8"/>
        <v>0</v>
      </c>
      <c r="V101" s="80">
        <f t="shared" si="8"/>
        <v>0</v>
      </c>
      <c r="W101" s="80">
        <f t="shared" ref="W101:AC101" si="9">sum(countifs($AO$2:$AO$30,"&gt;0",AP2:AP30,"&gt;0"),countifs($AO$32:$AO$35,"&gt;0",AP32:AP35,"&gt;0"),countifs($AO$37:$AO$40,"&gt;0",AP37:AP40,"&gt;0"),countifs($AO$42:$AO$47,"&gt;0",AP42:AP47,"&gt;0"),countifs($AO$50,"&gt;0",AP50,"&gt;0"),countifs($AO$51:$AO$72,"&gt;0",AP51:AP72,"&gt;0"),countifs($AO$76,"&gt;0",AP76,"&gt;0"),countifs($AO$77:$AO$90,"&gt;0",AP77:AP90,"&gt;0"))</f>
        <v>0</v>
      </c>
      <c r="X101" s="80">
        <f t="shared" si="9"/>
        <v>0</v>
      </c>
      <c r="Y101" s="80">
        <f t="shared" si="9"/>
        <v>0</v>
      </c>
      <c r="Z101" s="670">
        <f t="shared" si="9"/>
        <v>4</v>
      </c>
      <c r="AA101" s="670">
        <f t="shared" si="9"/>
        <v>1</v>
      </c>
      <c r="AB101" s="80">
        <f t="shared" si="9"/>
        <v>0</v>
      </c>
      <c r="AC101" s="80">
        <f t="shared" si="9"/>
        <v>0</v>
      </c>
      <c r="AD101" s="670">
        <f t="shared" ref="AD101:AI101" si="10">sum(countifs($AP$2:$AP$30,"&gt;0",AQ2:AQ30,"&gt;0"),countifs($AP$32:$AP$35,"&gt;0",AQ32:AQ35,"&gt;0"),countifs($AP$37:$AP$40,"&gt;0",AQ37:AQ40,"&gt;0"),countifs($AP$42:$AP$47,"&gt;0",AQ42:AQ47,"&gt;0"),countifs($AP$50,"&gt;0",AQ50,"&gt;0"),countifs($AP$51:$AP$72,"&gt;0",AQ51:AQ72,"&gt;0"),countifs($AP$76,"&gt;0",AQ76,"&gt;0"),countifs($AP$77:$AP$90,"&gt;0",AQ77:AQ90,"&gt;0"))</f>
        <v>1</v>
      </c>
      <c r="AE101" s="80">
        <f t="shared" si="10"/>
        <v>0</v>
      </c>
      <c r="AF101" s="670">
        <f t="shared" si="10"/>
        <v>2</v>
      </c>
      <c r="AG101" s="670">
        <f t="shared" si="10"/>
        <v>1</v>
      </c>
      <c r="AH101" s="80">
        <f t="shared" si="10"/>
        <v>0</v>
      </c>
      <c r="AI101" s="80">
        <f t="shared" si="10"/>
        <v>0</v>
      </c>
      <c r="AJ101" s="80">
        <f t="shared" ref="AJ101:AN101" si="11">sum(countifs($AQ$2:$AQ$30,"&gt;0",AR2:AR30,"&gt;0"),countifs($AQ$32:$AQ$35,"&gt;0",AR32:AR35,"&gt;0"),countifs($AQ$37:$AQ$40,"&gt;0",AR37:AR40,"&gt;0"),countifs($AQ$42:$AQ$47,"&gt;0",AR42:AR47,"&gt;0"),countifs($AQ$50,"&gt;0",AR50,"&gt;0"),countifs($AQ$51:$AQ$72,"&gt;0",AR51:AR72,"&gt;0"),countifs($AQ$76,"&gt;0",AR76,"&gt;0"),countifs($AQ$77:$AQ$90,"&gt;0",AR77:AR90,"&gt;0"))</f>
        <v>0</v>
      </c>
      <c r="AK101" s="670">
        <f t="shared" si="11"/>
        <v>3</v>
      </c>
      <c r="AL101" s="670">
        <f t="shared" si="11"/>
        <v>2</v>
      </c>
      <c r="AM101" s="80">
        <f t="shared" si="11"/>
        <v>0</v>
      </c>
      <c r="AN101" s="80">
        <f t="shared" si="11"/>
        <v>0</v>
      </c>
      <c r="AO101" s="80">
        <f t="shared" ref="AO101:AR101" si="12">sum(countifs($AR$2:$AR$30,"&gt;0",AS2:AS30,"&gt;0"),countifs($AR$32:$AR$35,"&gt;0",AS32:AS35,"&gt;0"),countifs($AR$37:$AR$40,"&gt;0",AS37:AS40,"&gt;0"),countifs($AR$42:$AR$47,"&gt;0",AS42:AS47,"&gt;0"),countifs($AR$50,"&gt;0",AS50,"&gt;0"),countifs($AR$51:$AR$72,"&gt;0",AS51:AS72,"&gt;0"),countifs($AR$76,"&gt;0",AS76,"&gt;0"),countifs($AR$77:$AR$90,"&gt;0",AS77:AS90,"&gt;0"))</f>
        <v>0</v>
      </c>
      <c r="AP101" s="80">
        <f t="shared" si="12"/>
        <v>0</v>
      </c>
      <c r="AQ101" s="80">
        <f t="shared" si="12"/>
        <v>0</v>
      </c>
      <c r="AR101" s="80">
        <f t="shared" si="12"/>
        <v>0</v>
      </c>
      <c r="AS101" s="670">
        <f t="shared" ref="AS101:AU101" si="13">sum(countifs($AS$2:$AS$30,"&gt;0",AT2:AT30,"&gt;0"),countifs($AS$32:$AS$35,"&gt;0",AT32:AT35,"&gt;0"),countifs($AS$37:$AS$40,"&gt;0",AT37:AT40,"&gt;0"),countifs($AS$42:$AS$47,"&gt;0",AT42:AT47,"&gt;0"),countifs($AS$50,"&gt;0",AT50,"&gt;0"),countifs($AS$51:$AS$72,"&gt;0",AT51:AT72,"&gt;0"),countifs($AS$76,"&gt;0",AT76,"&gt;0"),countifs($AS$77:$AS$90,"&gt;0",AT77:AT90,"&gt;0"))</f>
        <v>3</v>
      </c>
      <c r="AT101" s="80">
        <f t="shared" si="13"/>
        <v>0</v>
      </c>
      <c r="AU101" s="80">
        <f t="shared" si="13"/>
        <v>0</v>
      </c>
      <c r="AV101" s="80">
        <f t="shared" ref="AV101:AW101" si="14">sum(countifs($AT$2:$AT$30,"&gt;0",AU2:AU30,"&gt;0"),countifs($AT$32:$AT$35,"&gt;0",AU32:AU35,"&gt;0"),countifs($AT$37:$AT$40,"&gt;0",AU37:AU40,"&gt;0"),countifs($AT$42:$AT$47,"&gt;0",AU42:AU47,"&gt;0"),countifs($AT$50,"&gt;0",AU50,"&gt;0"),countifs($AT$51:$AT$72,"&gt;0",AU51:AU72,"&gt;0"),countifs($AT$76,"&gt;0",AU76,"&gt;0"),countifs($AT$77:$AT$90,"&gt;0",AU77:AU90,"&gt;0"))</f>
        <v>0</v>
      </c>
      <c r="AW101" s="80">
        <f t="shared" si="14"/>
        <v>0</v>
      </c>
      <c r="AX101" s="80">
        <f>sum(countifs($AU$2:$AU$30,"&gt;0",AV2:AV30,"&gt;0"),countifs($AU$32:$AU$35,"&gt;0",AV32:AV35,"&gt;0"),countifs($AU$37:$AU$40,"&gt;0",AV37:AV40,"&gt;0"),countifs($AU$42:$AU$47,"&gt;0",AV42:AV47,"&gt;0"),countifs($AU$50,"&gt;0",AV50,"&gt;0"),countifs($AU$51:$AU$72,"&gt;0",AV51:AV72,"&gt;0"),countifs($AU$76,"&gt;0",AV76,"&gt;0"),countifs($AU$77:$AU$90,"&gt;0",AV77:AV90,"&gt;0"))</f>
        <v>0</v>
      </c>
    </row>
    <row r="102">
      <c r="N102" s="468"/>
      <c r="O102" s="76">
        <f t="shared" ref="O102:V102" si="15">O101/sum($O$101:$V$101)</f>
        <v>0.170212766</v>
      </c>
      <c r="P102" s="76">
        <f t="shared" si="15"/>
        <v>0.170212766</v>
      </c>
      <c r="Q102" s="76">
        <f t="shared" si="15"/>
        <v>0.170212766</v>
      </c>
      <c r="R102" s="76">
        <f t="shared" si="15"/>
        <v>0</v>
      </c>
      <c r="S102" s="76">
        <f t="shared" si="15"/>
        <v>0.2553191489</v>
      </c>
      <c r="T102" s="76">
        <f t="shared" si="15"/>
        <v>0.2340425532</v>
      </c>
      <c r="U102" s="76">
        <f t="shared" si="15"/>
        <v>0</v>
      </c>
      <c r="V102" s="76">
        <f t="shared" si="15"/>
        <v>0</v>
      </c>
      <c r="W102" s="80"/>
      <c r="X102" s="80"/>
      <c r="Y102" s="80"/>
      <c r="Z102" s="80"/>
      <c r="AA102" s="80"/>
      <c r="AB102" s="80"/>
      <c r="AC102" s="80"/>
      <c r="AD102" s="80"/>
      <c r="AE102" s="80"/>
      <c r="AF102" s="80"/>
      <c r="AG102" s="80"/>
      <c r="AH102" s="80"/>
      <c r="AI102" s="80"/>
      <c r="AJ102" s="80"/>
      <c r="AK102" s="80"/>
      <c r="AL102" s="80"/>
      <c r="AM102" s="80"/>
      <c r="AN102" s="80"/>
      <c r="AO102" s="80"/>
      <c r="AP102" s="80"/>
      <c r="AQ102" s="80"/>
      <c r="AR102" s="80"/>
      <c r="AS102" s="80"/>
      <c r="AT102" s="80"/>
      <c r="AU102" s="80"/>
      <c r="AV102" s="80"/>
      <c r="AW102" s="80"/>
      <c r="AX102" s="8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7.29" defaultRowHeight="15.0"/>
  <cols>
    <col customWidth="1" min="1" max="1" width="9.14"/>
    <col customWidth="1" min="2" max="2" width="9.86"/>
    <col customWidth="1" min="3" max="4" width="21.29"/>
    <col customWidth="1" min="5" max="5" width="14.14"/>
    <col customWidth="1" min="6" max="6" width="7.0"/>
    <col customWidth="1" min="7" max="7" width="4.0"/>
    <col customWidth="1" min="10" max="10" width="10.0"/>
    <col customWidth="1" min="11" max="11" width="4.86"/>
    <col customWidth="1" min="12" max="12" width="6.43"/>
    <col customWidth="1" min="13" max="13" width="8.29"/>
    <col customWidth="1" min="14" max="14" width="6.71"/>
    <col customWidth="1" min="15" max="15" width="28.0"/>
    <col customWidth="1" min="16" max="16" width="19.43"/>
    <col customWidth="1" min="17" max="17" width="13.0"/>
    <col customWidth="1" min="18" max="18" width="16.0"/>
    <col customWidth="1" min="19" max="19" width="14.14"/>
    <col customWidth="1" min="20" max="20" width="20.57"/>
    <col customWidth="1" min="21" max="21" width="13.0"/>
    <col customWidth="1" min="22" max="22" width="8.43"/>
    <col customWidth="1" min="23" max="23" width="12.57"/>
    <col customWidth="1" min="24" max="24" width="8.71"/>
    <col customWidth="1" min="25" max="25" width="14.57"/>
    <col customWidth="1" min="26" max="26" width="9.71"/>
    <col customWidth="1" min="27" max="27" width="14.86"/>
    <col customWidth="1" min="28" max="28" width="9.86"/>
    <col customWidth="1" min="29" max="30" width="12.0"/>
    <col customWidth="1" min="31" max="31" width="8.71"/>
    <col customWidth="1" min="32" max="34" width="9.43"/>
    <col customWidth="1" min="35" max="35" width="8.71"/>
    <col customWidth="1" min="36" max="36" width="6.14"/>
    <col customWidth="1" min="37" max="37" width="6.57"/>
    <col customWidth="1" min="38" max="39" width="8.71"/>
    <col customWidth="1" min="40" max="40" width="6.57"/>
    <col customWidth="1" min="41" max="42" width="8.71"/>
    <col customWidth="1" min="43" max="44" width="9.14"/>
    <col customWidth="1" min="45" max="45" width="11.29"/>
  </cols>
  <sheetData>
    <row r="1">
      <c r="A1" s="340" t="s">
        <v>1355</v>
      </c>
      <c r="B1" s="309" t="s">
        <v>1356</v>
      </c>
      <c r="C1" s="309" t="s">
        <v>1246</v>
      </c>
      <c r="D1" s="310" t="s">
        <v>331</v>
      </c>
      <c r="E1" s="340" t="s">
        <v>1357</v>
      </c>
      <c r="F1" s="719" t="s">
        <v>1</v>
      </c>
      <c r="G1" s="372" t="s">
        <v>4</v>
      </c>
      <c r="H1" s="340" t="s">
        <v>1358</v>
      </c>
      <c r="I1" s="310" t="s">
        <v>1359</v>
      </c>
      <c r="J1" s="310" t="s">
        <v>336</v>
      </c>
      <c r="K1" s="310" t="s">
        <v>337</v>
      </c>
      <c r="L1" s="311" t="s">
        <v>338</v>
      </c>
      <c r="M1" s="311" t="s">
        <v>332</v>
      </c>
      <c r="N1" s="311" t="s">
        <v>1360</v>
      </c>
      <c r="O1" s="543" t="s">
        <v>339</v>
      </c>
      <c r="P1" s="339" t="s">
        <v>1361</v>
      </c>
      <c r="Q1" s="339" t="s">
        <v>1596</v>
      </c>
      <c r="R1" s="339" t="s">
        <v>1362</v>
      </c>
      <c r="S1" s="339" t="s">
        <v>1364</v>
      </c>
      <c r="T1" s="340" t="s">
        <v>1407</v>
      </c>
      <c r="U1" s="339" t="s">
        <v>1597</v>
      </c>
      <c r="V1" s="339" t="s">
        <v>1598</v>
      </c>
      <c r="W1" s="340" t="s">
        <v>1784</v>
      </c>
      <c r="X1" s="340" t="s">
        <v>1785</v>
      </c>
      <c r="Y1" s="671" t="s">
        <v>1368</v>
      </c>
      <c r="Z1" s="671" t="s">
        <v>1369</v>
      </c>
      <c r="AA1" s="672" t="s">
        <v>1370</v>
      </c>
      <c r="AB1" s="672" t="s">
        <v>1371</v>
      </c>
      <c r="AC1" s="343" t="s">
        <v>1372</v>
      </c>
      <c r="AD1" s="344" t="s">
        <v>1373</v>
      </c>
      <c r="AE1" s="378" t="s">
        <v>1374</v>
      </c>
      <c r="AF1" s="544"/>
      <c r="AG1" s="310"/>
      <c r="AH1" s="182"/>
      <c r="AI1" s="182"/>
      <c r="AJ1" s="345" t="s">
        <v>389</v>
      </c>
      <c r="AK1" s="346" t="s">
        <v>420</v>
      </c>
      <c r="AL1" s="347" t="s">
        <v>358</v>
      </c>
      <c r="AM1" s="348" t="s">
        <v>363</v>
      </c>
      <c r="AN1" s="349" t="s">
        <v>413</v>
      </c>
      <c r="AO1" s="350" t="s">
        <v>357</v>
      </c>
      <c r="AP1" s="351" t="s">
        <v>380</v>
      </c>
      <c r="AQ1" s="352" t="s">
        <v>387</v>
      </c>
      <c r="AR1" s="353" t="s">
        <v>1375</v>
      </c>
      <c r="AS1" s="353" t="s">
        <v>1376</v>
      </c>
    </row>
    <row r="2">
      <c r="A2" s="49">
        <v>1.0</v>
      </c>
      <c r="B2" s="41" t="s">
        <v>1868</v>
      </c>
      <c r="C2" s="690" t="s">
        <v>259</v>
      </c>
      <c r="D2" s="687" t="s">
        <v>977</v>
      </c>
      <c r="E2" s="720">
        <v>40953.0</v>
      </c>
      <c r="F2" s="47" t="s">
        <v>354</v>
      </c>
      <c r="G2" s="49" t="s">
        <v>67</v>
      </c>
      <c r="H2" s="49" t="s">
        <v>433</v>
      </c>
      <c r="I2" s="235" t="s">
        <v>354</v>
      </c>
      <c r="J2" s="235" t="s">
        <v>354</v>
      </c>
      <c r="K2" s="184">
        <v>0.0</v>
      </c>
      <c r="L2" s="184" t="s">
        <v>354</v>
      </c>
      <c r="M2" s="265"/>
      <c r="N2" s="265"/>
      <c r="O2" s="184" t="s">
        <v>371</v>
      </c>
      <c r="P2" s="723">
        <v>0.0</v>
      </c>
      <c r="Q2" s="166" t="s">
        <v>356</v>
      </c>
      <c r="R2" s="49">
        <v>0.0</v>
      </c>
      <c r="S2" s="49">
        <v>0.0</v>
      </c>
      <c r="T2" s="49">
        <v>0.0</v>
      </c>
      <c r="U2" s="49" t="s">
        <v>356</v>
      </c>
      <c r="V2" s="166" t="s">
        <v>354</v>
      </c>
      <c r="W2" s="49" t="s">
        <v>356</v>
      </c>
      <c r="X2" s="49" t="s">
        <v>354</v>
      </c>
      <c r="Y2" s="732" t="s">
        <v>356</v>
      </c>
      <c r="Z2" s="732" t="s">
        <v>354</v>
      </c>
      <c r="AA2" s="725" t="s">
        <v>356</v>
      </c>
      <c r="AB2" s="725" t="s">
        <v>354</v>
      </c>
      <c r="AC2" s="726" t="s">
        <v>365</v>
      </c>
      <c r="AD2" s="62" t="s">
        <v>1869</v>
      </c>
      <c r="AE2" s="367">
        <f t="shared" ref="AE2:AE94" si="1">sum(COUNTIF(Y2:AD2,"POS"),countif(P2,"&gt;0"))</f>
        <v>1</v>
      </c>
      <c r="AF2" s="182"/>
      <c r="AG2" s="182"/>
      <c r="AH2" s="182"/>
      <c r="AI2" s="182"/>
      <c r="AJ2" s="224">
        <v>1.0</v>
      </c>
      <c r="AK2" s="80">
        <v>0.0</v>
      </c>
      <c r="AL2" s="80">
        <v>0.0</v>
      </c>
      <c r="AM2" s="80">
        <v>0.0</v>
      </c>
      <c r="AN2" s="80">
        <v>0.0</v>
      </c>
      <c r="AO2" s="224">
        <v>0.0</v>
      </c>
      <c r="AP2" s="80">
        <v>0.0</v>
      </c>
      <c r="AQ2" s="80">
        <v>0.0</v>
      </c>
      <c r="AR2" s="363">
        <f t="shared" ref="AR2:AR76" si="2">sum(AJ2:AQ2)</f>
        <v>1</v>
      </c>
      <c r="AS2" s="363">
        <f t="shared" ref="AS2:AS76" si="3">countif(AJ2:AQ2,"&gt;0")</f>
        <v>1</v>
      </c>
    </row>
    <row r="3">
      <c r="A3" s="49">
        <v>2.0</v>
      </c>
      <c r="B3" s="44" t="s">
        <v>1062</v>
      </c>
      <c r="C3" s="224" t="s">
        <v>1062</v>
      </c>
      <c r="D3" s="744" t="s">
        <v>1062</v>
      </c>
      <c r="E3" s="720">
        <v>40953.0</v>
      </c>
      <c r="F3" s="47" t="s">
        <v>354</v>
      </c>
      <c r="G3" s="49" t="s">
        <v>1057</v>
      </c>
      <c r="H3" s="49" t="s">
        <v>291</v>
      </c>
      <c r="I3" s="235" t="s">
        <v>354</v>
      </c>
      <c r="J3" s="235" t="s">
        <v>354</v>
      </c>
      <c r="K3" s="235" t="s">
        <v>354</v>
      </c>
      <c r="L3" s="235"/>
      <c r="M3" s="235" t="s">
        <v>354</v>
      </c>
      <c r="N3" s="235" t="s">
        <v>354</v>
      </c>
      <c r="O3" s="235" t="s">
        <v>354</v>
      </c>
      <c r="P3" s="721">
        <v>29.8489942356249</v>
      </c>
      <c r="Q3" s="164" t="s">
        <v>413</v>
      </c>
      <c r="R3" s="49">
        <v>0.0</v>
      </c>
      <c r="S3" s="49">
        <v>0.0</v>
      </c>
      <c r="T3" s="49">
        <v>0.0</v>
      </c>
      <c r="U3" s="56" t="s">
        <v>365</v>
      </c>
      <c r="V3" s="164" t="s">
        <v>413</v>
      </c>
      <c r="W3" s="56" t="s">
        <v>365</v>
      </c>
      <c r="X3" s="164" t="s">
        <v>1870</v>
      </c>
      <c r="Y3" s="724" t="s">
        <v>365</v>
      </c>
      <c r="Z3" s="164" t="s">
        <v>1870</v>
      </c>
      <c r="AA3" s="734" t="s">
        <v>365</v>
      </c>
      <c r="AB3" s="105" t="s">
        <v>413</v>
      </c>
      <c r="AC3" s="726" t="s">
        <v>365</v>
      </c>
      <c r="AD3" s="164" t="s">
        <v>1871</v>
      </c>
      <c r="AE3" s="357">
        <f t="shared" si="1"/>
        <v>4</v>
      </c>
      <c r="AF3" s="182"/>
      <c r="AG3" s="182"/>
      <c r="AH3" s="182"/>
      <c r="AI3" s="182"/>
      <c r="AJ3" s="80">
        <v>0.0</v>
      </c>
      <c r="AK3" s="80">
        <v>0.0</v>
      </c>
      <c r="AL3" s="80">
        <v>0.0</v>
      </c>
      <c r="AM3" s="80">
        <v>0.0</v>
      </c>
      <c r="AN3" s="224">
        <v>3.0</v>
      </c>
      <c r="AO3" s="224">
        <v>0.0</v>
      </c>
      <c r="AP3" s="80">
        <v>0.0</v>
      </c>
      <c r="AQ3" s="80">
        <v>0.0</v>
      </c>
      <c r="AR3" s="358">
        <f t="shared" si="2"/>
        <v>3</v>
      </c>
      <c r="AS3" s="358">
        <f t="shared" si="3"/>
        <v>1</v>
      </c>
    </row>
    <row r="4">
      <c r="A4" s="49">
        <v>3.0</v>
      </c>
      <c r="B4" s="49" t="s">
        <v>1049</v>
      </c>
      <c r="C4" s="63" t="s">
        <v>1049</v>
      </c>
      <c r="D4" s="482" t="s">
        <v>1046</v>
      </c>
      <c r="E4" s="720">
        <v>40953.0</v>
      </c>
      <c r="F4" s="47" t="s">
        <v>354</v>
      </c>
      <c r="G4" s="49" t="s">
        <v>8</v>
      </c>
      <c r="H4" s="49" t="s">
        <v>433</v>
      </c>
      <c r="I4" s="235" t="s">
        <v>354</v>
      </c>
      <c r="J4" s="235" t="s">
        <v>354</v>
      </c>
      <c r="K4" s="235" t="s">
        <v>354</v>
      </c>
      <c r="L4" s="235" t="s">
        <v>354</v>
      </c>
      <c r="M4" s="235" t="s">
        <v>354</v>
      </c>
      <c r="N4" s="235" t="s">
        <v>354</v>
      </c>
      <c r="O4" s="235" t="s">
        <v>354</v>
      </c>
      <c r="P4" s="723">
        <v>0.0</v>
      </c>
      <c r="Q4" s="166" t="s">
        <v>356</v>
      </c>
      <c r="R4" s="49">
        <v>0.0</v>
      </c>
      <c r="S4" s="49">
        <v>0.0</v>
      </c>
      <c r="T4" s="49">
        <v>0.0</v>
      </c>
      <c r="U4" s="49" t="s">
        <v>356</v>
      </c>
      <c r="V4" s="166" t="s">
        <v>354</v>
      </c>
      <c r="W4" s="722" t="s">
        <v>361</v>
      </c>
      <c r="X4" s="722" t="s">
        <v>361</v>
      </c>
      <c r="Y4" s="727" t="s">
        <v>356</v>
      </c>
      <c r="Z4" s="727" t="s">
        <v>354</v>
      </c>
      <c r="AA4" s="725" t="s">
        <v>356</v>
      </c>
      <c r="AB4" s="725" t="s">
        <v>354</v>
      </c>
      <c r="AC4" s="728" t="s">
        <v>356</v>
      </c>
      <c r="AD4" s="745" t="s">
        <v>354</v>
      </c>
      <c r="AE4" s="46">
        <f t="shared" si="1"/>
        <v>0</v>
      </c>
      <c r="AF4" s="182"/>
      <c r="AG4" s="182"/>
      <c r="AH4" s="182"/>
      <c r="AI4" s="182"/>
      <c r="AJ4" s="80">
        <v>0.0</v>
      </c>
      <c r="AK4" s="80">
        <v>0.0</v>
      </c>
      <c r="AL4" s="80">
        <v>0.0</v>
      </c>
      <c r="AM4" s="80">
        <v>0.0</v>
      </c>
      <c r="AN4" s="80">
        <v>0.0</v>
      </c>
      <c r="AO4" s="224">
        <v>0.0</v>
      </c>
      <c r="AP4" s="80">
        <v>0.0</v>
      </c>
      <c r="AQ4" s="80">
        <v>0.0</v>
      </c>
      <c r="AR4" s="182">
        <f t="shared" si="2"/>
        <v>0</v>
      </c>
      <c r="AS4" s="182">
        <f t="shared" si="3"/>
        <v>0</v>
      </c>
    </row>
    <row r="5">
      <c r="A5" s="49">
        <v>4.0</v>
      </c>
      <c r="B5" s="746" t="s">
        <v>1872</v>
      </c>
      <c r="C5" s="747" t="s">
        <v>799</v>
      </c>
      <c r="D5" s="697" t="s">
        <v>797</v>
      </c>
      <c r="E5" s="720">
        <v>40953.0</v>
      </c>
      <c r="F5" s="47" t="s">
        <v>354</v>
      </c>
      <c r="G5" s="49" t="s">
        <v>67</v>
      </c>
      <c r="H5" s="49" t="s">
        <v>433</v>
      </c>
      <c r="I5" s="235" t="s">
        <v>354</v>
      </c>
      <c r="J5" s="235" t="s">
        <v>354</v>
      </c>
      <c r="K5" s="179">
        <v>1.0</v>
      </c>
      <c r="L5" s="179" t="s">
        <v>354</v>
      </c>
      <c r="M5" s="265"/>
      <c r="N5" s="265"/>
      <c r="O5" s="179" t="s">
        <v>485</v>
      </c>
      <c r="P5" s="721">
        <v>34.8341334999339</v>
      </c>
      <c r="Q5" s="722" t="s">
        <v>361</v>
      </c>
      <c r="R5" s="49">
        <v>0.0</v>
      </c>
      <c r="S5" s="49">
        <v>0.0</v>
      </c>
      <c r="T5" s="49">
        <v>0.0</v>
      </c>
      <c r="U5" s="49" t="s">
        <v>356</v>
      </c>
      <c r="V5" s="166" t="s">
        <v>354</v>
      </c>
      <c r="W5" s="722" t="s">
        <v>361</v>
      </c>
      <c r="X5" s="722" t="s">
        <v>361</v>
      </c>
      <c r="Y5" s="724" t="s">
        <v>365</v>
      </c>
      <c r="Z5" s="62" t="s">
        <v>1869</v>
      </c>
      <c r="AA5" s="734" t="s">
        <v>365</v>
      </c>
      <c r="AB5" s="618" t="s">
        <v>389</v>
      </c>
      <c r="AC5" s="748" t="s">
        <v>1873</v>
      </c>
      <c r="AD5" s="748" t="s">
        <v>1873</v>
      </c>
      <c r="AE5" s="357">
        <f t="shared" si="1"/>
        <v>3</v>
      </c>
      <c r="AF5" s="182"/>
      <c r="AG5" s="182"/>
      <c r="AH5" s="182"/>
      <c r="AI5" s="182"/>
      <c r="AJ5" s="224">
        <v>2.0</v>
      </c>
      <c r="AK5" s="80">
        <v>0.0</v>
      </c>
      <c r="AL5" s="224">
        <v>1.0</v>
      </c>
      <c r="AM5" s="80">
        <v>0.0</v>
      </c>
      <c r="AN5" s="80">
        <v>0.0</v>
      </c>
      <c r="AO5" s="224">
        <v>0.0</v>
      </c>
      <c r="AP5" s="80">
        <v>0.0</v>
      </c>
      <c r="AQ5" s="80">
        <v>0.0</v>
      </c>
      <c r="AR5" s="358">
        <f t="shared" si="2"/>
        <v>3</v>
      </c>
      <c r="AS5" s="358">
        <f t="shared" si="3"/>
        <v>2</v>
      </c>
    </row>
    <row r="6">
      <c r="A6" s="235">
        <v>83.0</v>
      </c>
      <c r="B6" s="749" t="s">
        <v>799</v>
      </c>
      <c r="C6" s="747" t="s">
        <v>799</v>
      </c>
      <c r="D6" s="697" t="s">
        <v>797</v>
      </c>
      <c r="E6" s="720">
        <v>40953.0</v>
      </c>
      <c r="F6" s="47" t="s">
        <v>354</v>
      </c>
      <c r="G6" s="235" t="s">
        <v>67</v>
      </c>
      <c r="H6" s="235" t="s">
        <v>433</v>
      </c>
      <c r="I6" s="235" t="s">
        <v>354</v>
      </c>
      <c r="J6" s="235" t="s">
        <v>354</v>
      </c>
      <c r="K6" s="179">
        <v>1.0</v>
      </c>
      <c r="L6" s="179" t="s">
        <v>354</v>
      </c>
      <c r="M6" s="265"/>
      <c r="N6" s="265"/>
      <c r="O6" s="179" t="s">
        <v>485</v>
      </c>
      <c r="P6" s="723">
        <v>0.0</v>
      </c>
      <c r="Q6" s="235" t="s">
        <v>354</v>
      </c>
      <c r="R6" s="49">
        <v>0.0</v>
      </c>
      <c r="S6" s="49">
        <v>0.0</v>
      </c>
      <c r="T6" s="49">
        <v>0.0</v>
      </c>
      <c r="U6" s="235" t="s">
        <v>354</v>
      </c>
      <c r="V6" s="235" t="s">
        <v>354</v>
      </c>
      <c r="W6" s="49" t="s">
        <v>354</v>
      </c>
      <c r="X6" s="49" t="s">
        <v>354</v>
      </c>
      <c r="Y6" s="727" t="s">
        <v>356</v>
      </c>
      <c r="Z6" s="727" t="s">
        <v>354</v>
      </c>
      <c r="AA6" s="730" t="s">
        <v>361</v>
      </c>
      <c r="AB6" s="725" t="s">
        <v>354</v>
      </c>
      <c r="AC6" s="726" t="s">
        <v>365</v>
      </c>
      <c r="AD6" s="731" t="s">
        <v>1602</v>
      </c>
      <c r="AE6" s="367">
        <f t="shared" si="1"/>
        <v>1</v>
      </c>
      <c r="AF6" s="182"/>
      <c r="AG6" s="182"/>
      <c r="AH6" s="182"/>
      <c r="AI6" s="182"/>
      <c r="AJ6" s="80">
        <v>0.0</v>
      </c>
      <c r="AK6" s="80">
        <v>0.0</v>
      </c>
      <c r="AL6" s="224">
        <v>0.0</v>
      </c>
      <c r="AM6" s="80">
        <v>0.0</v>
      </c>
      <c r="AN6" s="80">
        <v>0.0</v>
      </c>
      <c r="AO6" s="224">
        <v>0.0</v>
      </c>
      <c r="AP6" s="80">
        <v>0.0</v>
      </c>
      <c r="AQ6" s="80">
        <v>0.0</v>
      </c>
      <c r="AR6" s="363">
        <f t="shared" si="2"/>
        <v>0</v>
      </c>
      <c r="AS6" s="363">
        <f t="shared" si="3"/>
        <v>0</v>
      </c>
    </row>
    <row r="7">
      <c r="A7" s="49">
        <v>5.0</v>
      </c>
      <c r="B7" s="49" t="s">
        <v>1874</v>
      </c>
      <c r="C7" s="63" t="s">
        <v>982</v>
      </c>
      <c r="D7" s="482" t="s">
        <v>980</v>
      </c>
      <c r="E7" s="720">
        <v>40953.0</v>
      </c>
      <c r="F7" s="47" t="s">
        <v>354</v>
      </c>
      <c r="G7" s="49" t="s">
        <v>8</v>
      </c>
      <c r="H7" s="49" t="s">
        <v>433</v>
      </c>
      <c r="I7" s="235" t="s">
        <v>354</v>
      </c>
      <c r="J7" s="235" t="s">
        <v>354</v>
      </c>
      <c r="K7" s="235" t="s">
        <v>354</v>
      </c>
      <c r="L7" s="235"/>
      <c r="M7" s="235" t="s">
        <v>354</v>
      </c>
      <c r="N7" s="235" t="s">
        <v>354</v>
      </c>
      <c r="O7" s="235" t="s">
        <v>354</v>
      </c>
      <c r="P7" s="723">
        <v>0.0</v>
      </c>
      <c r="Q7" s="166" t="s">
        <v>356</v>
      </c>
      <c r="R7" s="49">
        <v>0.0</v>
      </c>
      <c r="S7" s="49">
        <v>0.0</v>
      </c>
      <c r="T7" s="49">
        <v>0.0</v>
      </c>
      <c r="U7" s="49" t="s">
        <v>356</v>
      </c>
      <c r="V7" s="166" t="s">
        <v>354</v>
      </c>
      <c r="W7" s="49" t="s">
        <v>356</v>
      </c>
      <c r="X7" s="49" t="s">
        <v>354</v>
      </c>
      <c r="Y7" s="727" t="s">
        <v>356</v>
      </c>
      <c r="Z7" s="727" t="s">
        <v>354</v>
      </c>
      <c r="AA7" s="725" t="s">
        <v>356</v>
      </c>
      <c r="AB7" s="725" t="s">
        <v>354</v>
      </c>
      <c r="AC7" s="728" t="s">
        <v>356</v>
      </c>
      <c r="AD7" s="728" t="s">
        <v>354</v>
      </c>
      <c r="AE7" s="46">
        <f t="shared" si="1"/>
        <v>0</v>
      </c>
      <c r="AF7" s="182"/>
      <c r="AG7" s="182"/>
      <c r="AH7" s="182"/>
      <c r="AI7" s="182"/>
      <c r="AJ7" s="80">
        <v>0.0</v>
      </c>
      <c r="AK7" s="80">
        <v>0.0</v>
      </c>
      <c r="AL7" s="80">
        <v>0.0</v>
      </c>
      <c r="AM7" s="80">
        <v>0.0</v>
      </c>
      <c r="AN7" s="80">
        <v>0.0</v>
      </c>
      <c r="AO7" s="224">
        <v>0.0</v>
      </c>
      <c r="AP7" s="80">
        <v>0.0</v>
      </c>
      <c r="AQ7" s="80">
        <v>0.0</v>
      </c>
      <c r="AR7" s="182">
        <f t="shared" si="2"/>
        <v>0</v>
      </c>
      <c r="AS7" s="182">
        <f t="shared" si="3"/>
        <v>0</v>
      </c>
    </row>
    <row r="8">
      <c r="A8" s="49">
        <v>6.0</v>
      </c>
      <c r="B8" s="41" t="s">
        <v>1875</v>
      </c>
      <c r="C8" s="715" t="s">
        <v>488</v>
      </c>
      <c r="D8" s="687" t="s">
        <v>489</v>
      </c>
      <c r="E8" s="720">
        <v>40953.0</v>
      </c>
      <c r="F8" s="47" t="s">
        <v>354</v>
      </c>
      <c r="G8" s="49" t="s">
        <v>8</v>
      </c>
      <c r="H8" s="49" t="s">
        <v>291</v>
      </c>
      <c r="I8" s="235" t="s">
        <v>354</v>
      </c>
      <c r="J8" s="235" t="s">
        <v>354</v>
      </c>
      <c r="K8" s="184">
        <v>0.0</v>
      </c>
      <c r="L8" s="184" t="s">
        <v>354</v>
      </c>
      <c r="M8" s="265"/>
      <c r="N8" s="265"/>
      <c r="O8" s="184" t="s">
        <v>371</v>
      </c>
      <c r="P8" s="721">
        <v>34.411393275955</v>
      </c>
      <c r="Q8" s="722" t="s">
        <v>361</v>
      </c>
      <c r="R8" s="49">
        <v>0.0</v>
      </c>
      <c r="S8" s="49">
        <v>0.0</v>
      </c>
      <c r="T8" s="49">
        <v>0.0</v>
      </c>
      <c r="U8" s="49" t="s">
        <v>356</v>
      </c>
      <c r="V8" s="166" t="s">
        <v>354</v>
      </c>
      <c r="W8" s="56" t="s">
        <v>365</v>
      </c>
      <c r="X8" s="164" t="s">
        <v>1876</v>
      </c>
      <c r="Y8" s="724" t="s">
        <v>365</v>
      </c>
      <c r="Z8" s="164" t="s">
        <v>1876</v>
      </c>
      <c r="AA8" s="734" t="s">
        <v>365</v>
      </c>
      <c r="AB8" s="618" t="s">
        <v>389</v>
      </c>
      <c r="AC8" s="726" t="s">
        <v>365</v>
      </c>
      <c r="AD8" s="164" t="s">
        <v>1877</v>
      </c>
      <c r="AE8" s="357">
        <f t="shared" si="1"/>
        <v>4</v>
      </c>
      <c r="AF8" s="182"/>
      <c r="AG8" s="182"/>
      <c r="AH8" s="182"/>
      <c r="AI8" s="182"/>
      <c r="AJ8" s="224">
        <v>1.0</v>
      </c>
      <c r="AK8" s="80">
        <v>0.0</v>
      </c>
      <c r="AL8" s="80">
        <v>0.0</v>
      </c>
      <c r="AM8" s="80">
        <v>0.0</v>
      </c>
      <c r="AN8" s="224">
        <v>2.0</v>
      </c>
      <c r="AO8" s="224">
        <v>0.0</v>
      </c>
      <c r="AP8" s="80">
        <v>0.0</v>
      </c>
      <c r="AQ8" s="80">
        <v>0.0</v>
      </c>
      <c r="AR8" s="358">
        <f t="shared" si="2"/>
        <v>3</v>
      </c>
      <c r="AS8" s="358">
        <f t="shared" si="3"/>
        <v>2</v>
      </c>
    </row>
    <row r="9">
      <c r="A9" s="49">
        <v>8.0</v>
      </c>
      <c r="B9" s="41" t="s">
        <v>1878</v>
      </c>
      <c r="C9" s="41" t="s">
        <v>988</v>
      </c>
      <c r="D9" s="687" t="s">
        <v>985</v>
      </c>
      <c r="E9" s="720">
        <v>40953.0</v>
      </c>
      <c r="F9" s="47" t="s">
        <v>354</v>
      </c>
      <c r="G9" s="49" t="s">
        <v>8</v>
      </c>
      <c r="H9" s="49" t="s">
        <v>37</v>
      </c>
      <c r="I9" s="235" t="s">
        <v>354</v>
      </c>
      <c r="J9" s="235" t="s">
        <v>354</v>
      </c>
      <c r="K9" s="184">
        <v>0.0</v>
      </c>
      <c r="L9" s="184" t="s">
        <v>354</v>
      </c>
      <c r="M9" s="265"/>
      <c r="N9" s="265"/>
      <c r="O9" s="184" t="s">
        <v>371</v>
      </c>
      <c r="P9" s="723">
        <v>0.0</v>
      </c>
      <c r="Q9" s="166" t="s">
        <v>356</v>
      </c>
      <c r="R9" s="49">
        <v>0.0</v>
      </c>
      <c r="S9" s="49">
        <v>0.0</v>
      </c>
      <c r="T9" s="49">
        <v>0.0</v>
      </c>
      <c r="U9" s="49" t="s">
        <v>356</v>
      </c>
      <c r="V9" s="166" t="s">
        <v>354</v>
      </c>
      <c r="W9" s="49" t="s">
        <v>356</v>
      </c>
      <c r="X9" s="49" t="s">
        <v>354</v>
      </c>
      <c r="Y9" s="724" t="s">
        <v>365</v>
      </c>
      <c r="Z9" s="44" t="s">
        <v>1786</v>
      </c>
      <c r="AA9" s="725" t="s">
        <v>356</v>
      </c>
      <c r="AB9" s="725" t="s">
        <v>354</v>
      </c>
      <c r="AC9" s="728" t="s">
        <v>356</v>
      </c>
      <c r="AD9" s="728" t="s">
        <v>354</v>
      </c>
      <c r="AE9" s="367">
        <f t="shared" si="1"/>
        <v>1</v>
      </c>
      <c r="AF9" s="182"/>
      <c r="AG9" s="182"/>
      <c r="AH9" s="182"/>
      <c r="AI9" s="182"/>
      <c r="AJ9" s="80">
        <v>0.0</v>
      </c>
      <c r="AK9" s="224">
        <v>1.0</v>
      </c>
      <c r="AL9" s="80">
        <v>0.0</v>
      </c>
      <c r="AM9" s="80">
        <v>0.0</v>
      </c>
      <c r="AN9" s="80">
        <v>0.0</v>
      </c>
      <c r="AO9" s="224">
        <v>0.0</v>
      </c>
      <c r="AP9" s="80">
        <v>0.0</v>
      </c>
      <c r="AQ9" s="80">
        <v>0.0</v>
      </c>
      <c r="AR9" s="363">
        <f t="shared" si="2"/>
        <v>1</v>
      </c>
      <c r="AS9" s="363">
        <f t="shared" si="3"/>
        <v>1</v>
      </c>
    </row>
    <row r="10">
      <c r="A10" s="49">
        <v>10.0</v>
      </c>
      <c r="B10" s="49" t="s">
        <v>842</v>
      </c>
      <c r="C10" s="63" t="s">
        <v>835</v>
      </c>
      <c r="D10" s="482" t="s">
        <v>1661</v>
      </c>
      <c r="E10" s="720">
        <v>40953.0</v>
      </c>
      <c r="F10" s="47" t="s">
        <v>354</v>
      </c>
      <c r="G10" s="49" t="s">
        <v>67</v>
      </c>
      <c r="H10" s="49" t="s">
        <v>7</v>
      </c>
      <c r="I10" s="235" t="s">
        <v>354</v>
      </c>
      <c r="J10" s="235" t="s">
        <v>354</v>
      </c>
      <c r="K10" s="235" t="s">
        <v>354</v>
      </c>
      <c r="L10" s="235"/>
      <c r="M10" s="235" t="s">
        <v>354</v>
      </c>
      <c r="N10" s="235" t="s">
        <v>354</v>
      </c>
      <c r="O10" s="235" t="s">
        <v>354</v>
      </c>
      <c r="P10" s="723">
        <v>0.0</v>
      </c>
      <c r="Q10" s="722" t="s">
        <v>361</v>
      </c>
      <c r="R10" s="49">
        <v>0.0</v>
      </c>
      <c r="S10" s="49">
        <v>0.0</v>
      </c>
      <c r="T10" s="49">
        <v>0.0</v>
      </c>
      <c r="U10" s="49" t="s">
        <v>356</v>
      </c>
      <c r="V10" s="166" t="s">
        <v>354</v>
      </c>
      <c r="W10" s="49" t="s">
        <v>356</v>
      </c>
      <c r="X10" s="49" t="s">
        <v>354</v>
      </c>
      <c r="Y10" s="729" t="s">
        <v>361</v>
      </c>
      <c r="Z10" s="729" t="s">
        <v>361</v>
      </c>
      <c r="AA10" s="725" t="s">
        <v>356</v>
      </c>
      <c r="AB10" s="725" t="s">
        <v>354</v>
      </c>
      <c r="AC10" s="728" t="s">
        <v>356</v>
      </c>
      <c r="AD10" s="728" t="s">
        <v>354</v>
      </c>
      <c r="AE10" s="46">
        <f t="shared" si="1"/>
        <v>0</v>
      </c>
      <c r="AF10" s="182"/>
      <c r="AG10" s="182"/>
      <c r="AH10" s="182"/>
      <c r="AI10" s="182"/>
      <c r="AJ10" s="80">
        <v>0.0</v>
      </c>
      <c r="AK10" s="80">
        <v>0.0</v>
      </c>
      <c r="AL10" s="80">
        <v>0.0</v>
      </c>
      <c r="AM10" s="80">
        <v>0.0</v>
      </c>
      <c r="AN10" s="80">
        <v>0.0</v>
      </c>
      <c r="AO10" s="224">
        <v>0.0</v>
      </c>
      <c r="AP10" s="80">
        <v>0.0</v>
      </c>
      <c r="AQ10" s="80">
        <v>0.0</v>
      </c>
      <c r="AR10" s="182">
        <f t="shared" si="2"/>
        <v>0</v>
      </c>
      <c r="AS10" s="182">
        <f t="shared" si="3"/>
        <v>0</v>
      </c>
    </row>
    <row r="11">
      <c r="A11" s="49">
        <v>11.0</v>
      </c>
      <c r="B11" s="41" t="s">
        <v>624</v>
      </c>
      <c r="C11" s="715" t="s">
        <v>616</v>
      </c>
      <c r="D11" s="687" t="s">
        <v>617</v>
      </c>
      <c r="E11" s="545">
        <v>40953.0</v>
      </c>
      <c r="F11" s="47" t="s">
        <v>354</v>
      </c>
      <c r="G11" s="49" t="s">
        <v>8</v>
      </c>
      <c r="H11" s="49" t="s">
        <v>7</v>
      </c>
      <c r="I11" s="235" t="s">
        <v>354</v>
      </c>
      <c r="J11" s="235" t="s">
        <v>354</v>
      </c>
      <c r="K11" s="184">
        <v>0.0</v>
      </c>
      <c r="L11" s="184" t="s">
        <v>354</v>
      </c>
      <c r="M11" s="265"/>
      <c r="N11" s="265"/>
      <c r="O11" s="184" t="s">
        <v>371</v>
      </c>
      <c r="P11" s="750">
        <v>43.763023623232</v>
      </c>
      <c r="Q11" s="164" t="s">
        <v>413</v>
      </c>
      <c r="R11" s="49">
        <v>0.0</v>
      </c>
      <c r="S11" s="49">
        <v>0.0</v>
      </c>
      <c r="T11" s="49">
        <v>0.0</v>
      </c>
      <c r="U11" s="56" t="s">
        <v>365</v>
      </c>
      <c r="V11" s="164" t="s">
        <v>413</v>
      </c>
      <c r="W11" s="56" t="s">
        <v>365</v>
      </c>
      <c r="X11" s="164" t="s">
        <v>1879</v>
      </c>
      <c r="Y11" s="724" t="s">
        <v>365</v>
      </c>
      <c r="Z11" s="164" t="s">
        <v>1879</v>
      </c>
      <c r="AA11" s="734" t="s">
        <v>365</v>
      </c>
      <c r="AB11" s="105" t="s">
        <v>413</v>
      </c>
      <c r="AC11" s="726" t="s">
        <v>365</v>
      </c>
      <c r="AD11" s="164" t="s">
        <v>1871</v>
      </c>
      <c r="AE11" s="357">
        <f t="shared" si="1"/>
        <v>4</v>
      </c>
      <c r="AF11" s="182"/>
      <c r="AG11" s="182"/>
      <c r="AH11" s="182"/>
      <c r="AI11" s="182"/>
      <c r="AJ11" s="80">
        <v>0.0</v>
      </c>
      <c r="AK11" s="80">
        <v>0.0</v>
      </c>
      <c r="AL11" s="80">
        <v>0.0</v>
      </c>
      <c r="AM11" s="80">
        <v>0.0</v>
      </c>
      <c r="AN11" s="224">
        <v>3.0</v>
      </c>
      <c r="AO11" s="224">
        <v>0.0</v>
      </c>
      <c r="AP11" s="80">
        <v>0.0</v>
      </c>
      <c r="AQ11" s="80">
        <v>0.0</v>
      </c>
      <c r="AR11" s="358">
        <f t="shared" si="2"/>
        <v>3</v>
      </c>
      <c r="AS11" s="358">
        <f t="shared" si="3"/>
        <v>1</v>
      </c>
    </row>
    <row r="12">
      <c r="A12" s="49">
        <v>12.0</v>
      </c>
      <c r="B12" s="78" t="s">
        <v>1880</v>
      </c>
      <c r="C12" s="710" t="s">
        <v>1422</v>
      </c>
      <c r="D12" s="685" t="s">
        <v>775</v>
      </c>
      <c r="E12" s="545">
        <v>40953.0</v>
      </c>
      <c r="F12" s="47" t="s">
        <v>354</v>
      </c>
      <c r="G12" s="49" t="s">
        <v>67</v>
      </c>
      <c r="H12" s="49" t="s">
        <v>7</v>
      </c>
      <c r="I12" s="235" t="s">
        <v>354</v>
      </c>
      <c r="J12" s="235" t="s">
        <v>354</v>
      </c>
      <c r="K12" s="158">
        <v>1.0</v>
      </c>
      <c r="L12" s="158" t="s">
        <v>778</v>
      </c>
      <c r="M12" s="265"/>
      <c r="N12" s="265"/>
      <c r="O12" s="158" t="s">
        <v>455</v>
      </c>
      <c r="P12" s="723">
        <v>0.0</v>
      </c>
      <c r="Q12" s="166" t="s">
        <v>356</v>
      </c>
      <c r="R12" s="49">
        <v>0.0</v>
      </c>
      <c r="S12" s="49">
        <v>0.0</v>
      </c>
      <c r="T12" s="49">
        <v>0.0</v>
      </c>
      <c r="U12" s="49" t="s">
        <v>356</v>
      </c>
      <c r="V12" s="166" t="s">
        <v>354</v>
      </c>
      <c r="W12" s="49" t="s">
        <v>356</v>
      </c>
      <c r="X12" s="49" t="s">
        <v>354</v>
      </c>
      <c r="Y12" s="727" t="s">
        <v>356</v>
      </c>
      <c r="Z12" s="727" t="s">
        <v>354</v>
      </c>
      <c r="AA12" s="725" t="s">
        <v>356</v>
      </c>
      <c r="AB12" s="725" t="s">
        <v>354</v>
      </c>
      <c r="AC12" s="728" t="s">
        <v>356</v>
      </c>
      <c r="AD12" s="728" t="s">
        <v>354</v>
      </c>
      <c r="AE12" s="46">
        <f t="shared" si="1"/>
        <v>0</v>
      </c>
      <c r="AF12" s="182"/>
      <c r="AG12" s="182"/>
      <c r="AH12" s="182"/>
      <c r="AI12" s="182"/>
      <c r="AJ12" s="80">
        <v>0.0</v>
      </c>
      <c r="AK12" s="80">
        <v>0.0</v>
      </c>
      <c r="AL12" s="80">
        <v>0.0</v>
      </c>
      <c r="AM12" s="80">
        <v>0.0</v>
      </c>
      <c r="AN12" s="80">
        <v>0.0</v>
      </c>
      <c r="AO12" s="224">
        <v>0.0</v>
      </c>
      <c r="AP12" s="80">
        <v>0.0</v>
      </c>
      <c r="AQ12" s="80">
        <v>0.0</v>
      </c>
      <c r="AR12" s="182">
        <f t="shared" si="2"/>
        <v>0</v>
      </c>
      <c r="AS12" s="182">
        <f t="shared" si="3"/>
        <v>0</v>
      </c>
    </row>
    <row r="13">
      <c r="A13" s="49">
        <v>13.0</v>
      </c>
      <c r="B13" s="78" t="s">
        <v>1881</v>
      </c>
      <c r="C13" s="710" t="s">
        <v>1782</v>
      </c>
      <c r="D13" s="692" t="s">
        <v>783</v>
      </c>
      <c r="E13" s="720">
        <v>40953.0</v>
      </c>
      <c r="F13" s="47" t="s">
        <v>354</v>
      </c>
      <c r="G13" s="49" t="s">
        <v>67</v>
      </c>
      <c r="H13" s="49" t="s">
        <v>433</v>
      </c>
      <c r="I13" s="235" t="s">
        <v>354</v>
      </c>
      <c r="J13" s="235" t="s">
        <v>354</v>
      </c>
      <c r="K13" s="158">
        <v>0.0</v>
      </c>
      <c r="L13" s="158" t="s">
        <v>785</v>
      </c>
      <c r="M13" s="265"/>
      <c r="N13" s="265"/>
      <c r="O13" s="158" t="s">
        <v>556</v>
      </c>
      <c r="P13" s="723">
        <v>0.0</v>
      </c>
      <c r="Q13" s="166" t="s">
        <v>356</v>
      </c>
      <c r="R13" s="49">
        <v>0.0</v>
      </c>
      <c r="S13" s="49">
        <v>0.0</v>
      </c>
      <c r="T13" s="49">
        <v>0.0</v>
      </c>
      <c r="U13" s="49" t="s">
        <v>356</v>
      </c>
      <c r="V13" s="166" t="s">
        <v>354</v>
      </c>
      <c r="W13" s="49" t="s">
        <v>356</v>
      </c>
      <c r="X13" s="49" t="s">
        <v>354</v>
      </c>
      <c r="Y13" s="727" t="s">
        <v>356</v>
      </c>
      <c r="Z13" s="727" t="s">
        <v>354</v>
      </c>
      <c r="AA13" s="725" t="s">
        <v>356</v>
      </c>
      <c r="AB13" s="725" t="s">
        <v>354</v>
      </c>
      <c r="AC13" s="728" t="s">
        <v>356</v>
      </c>
      <c r="AD13" s="728" t="s">
        <v>354</v>
      </c>
      <c r="AE13" s="46">
        <f t="shared" si="1"/>
        <v>0</v>
      </c>
      <c r="AF13" s="182"/>
      <c r="AG13" s="182"/>
      <c r="AH13" s="182"/>
      <c r="AI13" s="182"/>
      <c r="AJ13" s="80">
        <v>0.0</v>
      </c>
      <c r="AK13" s="80">
        <v>0.0</v>
      </c>
      <c r="AL13" s="80">
        <v>0.0</v>
      </c>
      <c r="AM13" s="80">
        <v>0.0</v>
      </c>
      <c r="AN13" s="80">
        <v>0.0</v>
      </c>
      <c r="AO13" s="224">
        <v>0.0</v>
      </c>
      <c r="AP13" s="80">
        <v>0.0</v>
      </c>
      <c r="AQ13" s="80">
        <v>0.0</v>
      </c>
      <c r="AR13" s="182">
        <f t="shared" si="2"/>
        <v>0</v>
      </c>
      <c r="AS13" s="182">
        <f t="shared" si="3"/>
        <v>0</v>
      </c>
    </row>
    <row r="14">
      <c r="A14" s="49">
        <v>14.0</v>
      </c>
      <c r="B14" s="78" t="s">
        <v>1882</v>
      </c>
      <c r="C14" s="710" t="s">
        <v>1425</v>
      </c>
      <c r="D14" s="692" t="s">
        <v>1818</v>
      </c>
      <c r="E14" s="545">
        <v>40953.0</v>
      </c>
      <c r="F14" s="47" t="s">
        <v>354</v>
      </c>
      <c r="G14" s="49" t="s">
        <v>67</v>
      </c>
      <c r="H14" s="49" t="s">
        <v>7</v>
      </c>
      <c r="I14" s="235" t="s">
        <v>354</v>
      </c>
      <c r="J14" s="235" t="s">
        <v>354</v>
      </c>
      <c r="K14" s="158">
        <v>2.0</v>
      </c>
      <c r="L14" s="158" t="s">
        <v>581</v>
      </c>
      <c r="M14" s="265"/>
      <c r="N14" s="265"/>
      <c r="O14" s="158" t="s">
        <v>580</v>
      </c>
      <c r="P14" s="723">
        <v>0.0</v>
      </c>
      <c r="Q14" s="166" t="s">
        <v>356</v>
      </c>
      <c r="R14" s="49">
        <v>0.0</v>
      </c>
      <c r="S14" s="49">
        <v>0.0</v>
      </c>
      <c r="T14" s="49">
        <v>0.0</v>
      </c>
      <c r="U14" s="56" t="s">
        <v>365</v>
      </c>
      <c r="V14" s="164" t="s">
        <v>413</v>
      </c>
      <c r="W14" s="49" t="s">
        <v>356</v>
      </c>
      <c r="X14" s="49" t="s">
        <v>354</v>
      </c>
      <c r="Y14" s="727" t="s">
        <v>356</v>
      </c>
      <c r="Z14" s="727" t="s">
        <v>354</v>
      </c>
      <c r="AA14" s="725" t="s">
        <v>356</v>
      </c>
      <c r="AB14" s="725" t="s">
        <v>354</v>
      </c>
      <c r="AC14" s="728" t="s">
        <v>356</v>
      </c>
      <c r="AD14" s="728" t="s">
        <v>354</v>
      </c>
      <c r="AE14" s="46">
        <f t="shared" si="1"/>
        <v>0</v>
      </c>
      <c r="AF14" s="182"/>
      <c r="AG14" s="182"/>
      <c r="AH14" s="182"/>
      <c r="AI14" s="182"/>
      <c r="AJ14" s="80">
        <v>0.0</v>
      </c>
      <c r="AK14" s="80">
        <v>0.0</v>
      </c>
      <c r="AL14" s="80">
        <v>0.0</v>
      </c>
      <c r="AM14" s="80">
        <v>0.0</v>
      </c>
      <c r="AN14" s="80">
        <v>0.0</v>
      </c>
      <c r="AO14" s="224">
        <v>0.0</v>
      </c>
      <c r="AP14" s="80">
        <v>0.0</v>
      </c>
      <c r="AQ14" s="80">
        <v>0.0</v>
      </c>
      <c r="AR14" s="182">
        <f t="shared" si="2"/>
        <v>0</v>
      </c>
      <c r="AS14" s="182">
        <f t="shared" si="3"/>
        <v>0</v>
      </c>
    </row>
    <row r="15">
      <c r="A15" s="235">
        <v>15.0</v>
      </c>
      <c r="B15" s="201" t="s">
        <v>448</v>
      </c>
      <c r="C15" s="747" t="s">
        <v>437</v>
      </c>
      <c r="D15" s="751" t="s">
        <v>438</v>
      </c>
      <c r="E15" s="545">
        <v>40953.0</v>
      </c>
      <c r="F15" s="47" t="s">
        <v>354</v>
      </c>
      <c r="G15" s="235" t="s">
        <v>8</v>
      </c>
      <c r="H15" s="235" t="s">
        <v>7</v>
      </c>
      <c r="I15" s="235" t="s">
        <v>354</v>
      </c>
      <c r="J15" s="235" t="s">
        <v>354</v>
      </c>
      <c r="K15" s="179">
        <v>2.0</v>
      </c>
      <c r="L15" s="179" t="s">
        <v>447</v>
      </c>
      <c r="M15" s="265"/>
      <c r="N15" s="265"/>
      <c r="O15" s="179" t="s">
        <v>446</v>
      </c>
      <c r="P15" s="721">
        <v>32.6275185514065</v>
      </c>
      <c r="Q15" s="722" t="s">
        <v>361</v>
      </c>
      <c r="R15" s="49">
        <v>0.0</v>
      </c>
      <c r="S15" s="49">
        <v>0.0</v>
      </c>
      <c r="T15" s="49">
        <v>0.0</v>
      </c>
      <c r="U15" s="56" t="s">
        <v>365</v>
      </c>
      <c r="V15" s="164" t="s">
        <v>413</v>
      </c>
      <c r="W15" s="56" t="s">
        <v>365</v>
      </c>
      <c r="X15" s="164" t="s">
        <v>1883</v>
      </c>
      <c r="Y15" s="724" t="s">
        <v>365</v>
      </c>
      <c r="Z15" s="164" t="s">
        <v>1883</v>
      </c>
      <c r="AA15" s="734" t="s">
        <v>365</v>
      </c>
      <c r="AB15" s="105" t="s">
        <v>413</v>
      </c>
      <c r="AC15" s="726" t="s">
        <v>365</v>
      </c>
      <c r="AD15" s="164" t="s">
        <v>1884</v>
      </c>
      <c r="AE15" s="357">
        <f t="shared" si="1"/>
        <v>4</v>
      </c>
      <c r="AF15" s="182"/>
      <c r="AG15" s="182"/>
      <c r="AH15" s="182"/>
      <c r="AI15" s="182"/>
      <c r="AJ15" s="80">
        <v>0.0</v>
      </c>
      <c r="AK15" s="80">
        <v>0.0</v>
      </c>
      <c r="AL15" s="80">
        <v>0.0</v>
      </c>
      <c r="AM15" s="80">
        <v>0.0</v>
      </c>
      <c r="AN15" s="224">
        <v>3.0</v>
      </c>
      <c r="AO15" s="224">
        <v>0.0</v>
      </c>
      <c r="AP15" s="80">
        <v>0.0</v>
      </c>
      <c r="AQ15" s="80">
        <v>0.0</v>
      </c>
      <c r="AR15" s="358">
        <f t="shared" si="2"/>
        <v>3</v>
      </c>
      <c r="AS15" s="358">
        <f t="shared" si="3"/>
        <v>1</v>
      </c>
    </row>
    <row r="16">
      <c r="A16" s="235">
        <v>16.0</v>
      </c>
      <c r="B16" s="690" t="s">
        <v>1885</v>
      </c>
      <c r="C16" s="715" t="s">
        <v>899</v>
      </c>
      <c r="D16" s="687" t="s">
        <v>900</v>
      </c>
      <c r="E16" s="720">
        <v>40953.0</v>
      </c>
      <c r="F16" s="47" t="s">
        <v>354</v>
      </c>
      <c r="G16" s="46" t="s">
        <v>67</v>
      </c>
      <c r="H16" s="48" t="s">
        <v>7</v>
      </c>
      <c r="I16" s="235" t="s">
        <v>354</v>
      </c>
      <c r="J16" s="235" t="s">
        <v>354</v>
      </c>
      <c r="K16" s="184">
        <v>0.0</v>
      </c>
      <c r="L16" s="184" t="s">
        <v>354</v>
      </c>
      <c r="M16" s="265"/>
      <c r="N16" s="265"/>
      <c r="O16" s="184" t="s">
        <v>371</v>
      </c>
      <c r="P16" s="723">
        <v>0.0</v>
      </c>
      <c r="Q16" s="166" t="s">
        <v>356</v>
      </c>
      <c r="R16" s="49">
        <v>0.0</v>
      </c>
      <c r="S16" s="49">
        <v>0.0</v>
      </c>
      <c r="T16" s="49">
        <v>0.0</v>
      </c>
      <c r="U16" s="49" t="s">
        <v>356</v>
      </c>
      <c r="V16" s="166" t="s">
        <v>354</v>
      </c>
      <c r="W16" s="49" t="s">
        <v>356</v>
      </c>
      <c r="X16" s="49" t="s">
        <v>354</v>
      </c>
      <c r="Y16" s="727" t="s">
        <v>356</v>
      </c>
      <c r="Z16" s="727" t="s">
        <v>354</v>
      </c>
      <c r="AA16" s="725" t="s">
        <v>356</v>
      </c>
      <c r="AB16" s="725" t="s">
        <v>354</v>
      </c>
      <c r="AC16" s="728" t="s">
        <v>356</v>
      </c>
      <c r="AD16" s="728" t="s">
        <v>354</v>
      </c>
      <c r="AE16" s="46">
        <f t="shared" si="1"/>
        <v>0</v>
      </c>
      <c r="AF16" s="182"/>
      <c r="AG16" s="182"/>
      <c r="AH16" s="182"/>
      <c r="AI16" s="182"/>
      <c r="AJ16" s="80">
        <v>0.0</v>
      </c>
      <c r="AK16" s="80">
        <v>0.0</v>
      </c>
      <c r="AL16" s="80">
        <v>0.0</v>
      </c>
      <c r="AM16" s="80">
        <v>0.0</v>
      </c>
      <c r="AN16" s="80">
        <v>0.0</v>
      </c>
      <c r="AO16" s="224">
        <v>0.0</v>
      </c>
      <c r="AP16" s="80">
        <v>0.0</v>
      </c>
      <c r="AQ16" s="80">
        <v>0.0</v>
      </c>
      <c r="AR16" s="182">
        <f t="shared" si="2"/>
        <v>0</v>
      </c>
      <c r="AS16" s="182">
        <f t="shared" si="3"/>
        <v>0</v>
      </c>
    </row>
    <row r="17">
      <c r="A17" s="235">
        <v>17.0</v>
      </c>
      <c r="B17" s="235" t="s">
        <v>1886</v>
      </c>
      <c r="C17" s="49" t="s">
        <v>1823</v>
      </c>
      <c r="D17" s="18" t="s">
        <v>971</v>
      </c>
      <c r="E17" s="720">
        <v>40953.0</v>
      </c>
      <c r="F17" s="47" t="s">
        <v>354</v>
      </c>
      <c r="G17" s="49" t="s">
        <v>67</v>
      </c>
      <c r="H17" s="63" t="s">
        <v>291</v>
      </c>
      <c r="I17" s="235" t="s">
        <v>354</v>
      </c>
      <c r="J17" s="235" t="s">
        <v>354</v>
      </c>
      <c r="K17" s="235" t="s">
        <v>354</v>
      </c>
      <c r="L17" s="235"/>
      <c r="M17" s="235" t="s">
        <v>354</v>
      </c>
      <c r="N17" s="235" t="s">
        <v>354</v>
      </c>
      <c r="O17" s="235" t="s">
        <v>354</v>
      </c>
      <c r="P17" s="721">
        <v>35.8893409680081</v>
      </c>
      <c r="Q17" s="752" t="s">
        <v>413</v>
      </c>
      <c r="R17" s="49">
        <v>0.0</v>
      </c>
      <c r="S17" s="49">
        <v>0.0</v>
      </c>
      <c r="T17" s="49">
        <v>0.0</v>
      </c>
      <c r="U17" s="56" t="s">
        <v>365</v>
      </c>
      <c r="V17" s="753" t="s">
        <v>389</v>
      </c>
      <c r="W17" s="49" t="s">
        <v>356</v>
      </c>
      <c r="X17" s="49" t="s">
        <v>354</v>
      </c>
      <c r="Y17" s="724" t="s">
        <v>365</v>
      </c>
      <c r="Z17" s="62" t="s">
        <v>1869</v>
      </c>
      <c r="AA17" s="734" t="s">
        <v>365</v>
      </c>
      <c r="AB17" s="618" t="s">
        <v>389</v>
      </c>
      <c r="AC17" s="726" t="s">
        <v>365</v>
      </c>
      <c r="AD17" s="752" t="s">
        <v>1877</v>
      </c>
      <c r="AE17" s="357">
        <f t="shared" si="1"/>
        <v>4</v>
      </c>
      <c r="AF17" s="182"/>
      <c r="AG17" s="182"/>
      <c r="AH17" s="182"/>
      <c r="AI17" s="182"/>
      <c r="AJ17" s="224">
        <v>2.0</v>
      </c>
      <c r="AK17" s="80">
        <v>0.0</v>
      </c>
      <c r="AL17" s="80">
        <v>0.0</v>
      </c>
      <c r="AM17" s="80">
        <v>0.0</v>
      </c>
      <c r="AN17" s="224">
        <v>1.0</v>
      </c>
      <c r="AO17" s="224">
        <v>0.0</v>
      </c>
      <c r="AP17" s="80">
        <v>0.0</v>
      </c>
      <c r="AQ17" s="80">
        <v>0.0</v>
      </c>
      <c r="AR17" s="358">
        <f t="shared" si="2"/>
        <v>3</v>
      </c>
      <c r="AS17" s="358">
        <f t="shared" si="3"/>
        <v>2</v>
      </c>
    </row>
    <row r="18">
      <c r="A18" s="235">
        <v>18.0</v>
      </c>
      <c r="B18" s="235" t="s">
        <v>719</v>
      </c>
      <c r="C18" s="63" t="s">
        <v>712</v>
      </c>
      <c r="D18" s="754" t="s">
        <v>1171</v>
      </c>
      <c r="E18" s="545">
        <v>40953.0</v>
      </c>
      <c r="F18" s="47" t="s">
        <v>354</v>
      </c>
      <c r="G18" s="46" t="s">
        <v>67</v>
      </c>
      <c r="H18" s="48" t="s">
        <v>7</v>
      </c>
      <c r="I18" s="235" t="s">
        <v>354</v>
      </c>
      <c r="J18" s="235" t="s">
        <v>354</v>
      </c>
      <c r="K18" s="235" t="s">
        <v>354</v>
      </c>
      <c r="L18" s="235"/>
      <c r="M18" s="235" t="s">
        <v>354</v>
      </c>
      <c r="N18" s="235" t="s">
        <v>354</v>
      </c>
      <c r="O18" s="235" t="s">
        <v>354</v>
      </c>
      <c r="P18" s="723">
        <v>0.0</v>
      </c>
      <c r="Q18" s="752" t="s">
        <v>413</v>
      </c>
      <c r="R18" s="49">
        <v>0.0</v>
      </c>
      <c r="S18" s="49">
        <v>0.0</v>
      </c>
      <c r="T18" s="49">
        <v>0.0</v>
      </c>
      <c r="U18" s="49" t="s">
        <v>356</v>
      </c>
      <c r="V18" s="166" t="s">
        <v>354</v>
      </c>
      <c r="W18" s="49" t="s">
        <v>356</v>
      </c>
      <c r="X18" s="49" t="s">
        <v>354</v>
      </c>
      <c r="Y18" s="729" t="s">
        <v>361</v>
      </c>
      <c r="Z18" s="729" t="s">
        <v>361</v>
      </c>
      <c r="AA18" s="725" t="s">
        <v>356</v>
      </c>
      <c r="AB18" s="725" t="s">
        <v>354</v>
      </c>
      <c r="AC18" s="728" t="s">
        <v>356</v>
      </c>
      <c r="AD18" s="728" t="s">
        <v>354</v>
      </c>
      <c r="AE18" s="46">
        <f t="shared" si="1"/>
        <v>0</v>
      </c>
      <c r="AF18" s="182"/>
      <c r="AG18" s="182"/>
      <c r="AH18" s="182"/>
      <c r="AI18" s="182"/>
      <c r="AJ18" s="80">
        <v>0.0</v>
      </c>
      <c r="AK18" s="80">
        <v>0.0</v>
      </c>
      <c r="AL18" s="80">
        <v>0.0</v>
      </c>
      <c r="AM18" s="80">
        <v>0.0</v>
      </c>
      <c r="AN18" s="80">
        <v>0.0</v>
      </c>
      <c r="AO18" s="224">
        <v>0.0</v>
      </c>
      <c r="AP18" s="80">
        <v>0.0</v>
      </c>
      <c r="AQ18" s="80">
        <v>0.0</v>
      </c>
      <c r="AR18" s="182">
        <f t="shared" si="2"/>
        <v>0</v>
      </c>
      <c r="AS18" s="182">
        <f t="shared" si="3"/>
        <v>0</v>
      </c>
    </row>
    <row r="19">
      <c r="A19" s="235">
        <v>19.0</v>
      </c>
      <c r="B19" s="717" t="s">
        <v>1887</v>
      </c>
      <c r="C19" s="710" t="s">
        <v>675</v>
      </c>
      <c r="D19" s="685" t="s">
        <v>676</v>
      </c>
      <c r="E19" s="545">
        <v>40953.0</v>
      </c>
      <c r="F19" s="47" t="s">
        <v>354</v>
      </c>
      <c r="G19" s="235" t="s">
        <v>8</v>
      </c>
      <c r="H19" s="235" t="s">
        <v>7</v>
      </c>
      <c r="I19" s="235" t="s">
        <v>354</v>
      </c>
      <c r="J19" s="235" t="s">
        <v>354</v>
      </c>
      <c r="K19" s="158">
        <v>1.0</v>
      </c>
      <c r="L19" s="158" t="s">
        <v>681</v>
      </c>
      <c r="M19" s="265"/>
      <c r="N19" s="265"/>
      <c r="O19" s="158" t="s">
        <v>455</v>
      </c>
      <c r="P19" s="723">
        <v>0.0</v>
      </c>
      <c r="Q19" s="722" t="s">
        <v>361</v>
      </c>
      <c r="R19" s="49">
        <v>0.0</v>
      </c>
      <c r="S19" s="49">
        <v>0.0</v>
      </c>
      <c r="T19" s="49">
        <v>0.0</v>
      </c>
      <c r="U19" s="49" t="s">
        <v>356</v>
      </c>
      <c r="V19" s="166" t="s">
        <v>354</v>
      </c>
      <c r="W19" s="722" t="s">
        <v>361</v>
      </c>
      <c r="X19" s="722" t="s">
        <v>361</v>
      </c>
      <c r="Y19" s="729" t="s">
        <v>361</v>
      </c>
      <c r="Z19" s="729" t="s">
        <v>361</v>
      </c>
      <c r="AA19" s="725" t="s">
        <v>356</v>
      </c>
      <c r="AB19" s="725" t="s">
        <v>354</v>
      </c>
      <c r="AC19" s="728" t="s">
        <v>356</v>
      </c>
      <c r="AD19" s="728" t="s">
        <v>354</v>
      </c>
      <c r="AE19" s="46">
        <f t="shared" si="1"/>
        <v>0</v>
      </c>
      <c r="AF19" s="182"/>
      <c r="AG19" s="182"/>
      <c r="AH19" s="182"/>
      <c r="AI19" s="182"/>
      <c r="AJ19" s="80">
        <v>0.0</v>
      </c>
      <c r="AK19" s="80">
        <v>0.0</v>
      </c>
      <c r="AL19" s="80">
        <v>0.0</v>
      </c>
      <c r="AM19" s="80">
        <v>0.0</v>
      </c>
      <c r="AN19" s="80">
        <v>0.0</v>
      </c>
      <c r="AO19" s="224">
        <v>0.0</v>
      </c>
      <c r="AP19" s="80">
        <v>0.0</v>
      </c>
      <c r="AQ19" s="80">
        <v>0.0</v>
      </c>
      <c r="AR19" s="182">
        <f t="shared" si="2"/>
        <v>0</v>
      </c>
      <c r="AS19" s="182">
        <f t="shared" si="3"/>
        <v>0</v>
      </c>
    </row>
    <row r="20">
      <c r="A20" s="235">
        <v>20.0</v>
      </c>
      <c r="B20" s="690" t="s">
        <v>1888</v>
      </c>
      <c r="C20" s="715" t="s">
        <v>959</v>
      </c>
      <c r="D20" s="687" t="s">
        <v>960</v>
      </c>
      <c r="E20" s="720">
        <v>40953.0</v>
      </c>
      <c r="F20" s="47" t="s">
        <v>354</v>
      </c>
      <c r="G20" s="235">
        <v>5.0</v>
      </c>
      <c r="H20" s="235" t="s">
        <v>1787</v>
      </c>
      <c r="I20" s="235" t="s">
        <v>354</v>
      </c>
      <c r="J20" s="235" t="s">
        <v>354</v>
      </c>
      <c r="K20" s="184">
        <v>0.0</v>
      </c>
      <c r="L20" s="184" t="s">
        <v>354</v>
      </c>
      <c r="M20" s="265"/>
      <c r="N20" s="265"/>
      <c r="O20" s="184" t="s">
        <v>371</v>
      </c>
      <c r="P20" s="723">
        <v>0.0</v>
      </c>
      <c r="Q20" s="722" t="s">
        <v>1788</v>
      </c>
      <c r="R20" s="49">
        <v>0.0</v>
      </c>
      <c r="S20" s="49">
        <v>0.0</v>
      </c>
      <c r="T20" s="49">
        <v>0.0</v>
      </c>
      <c r="U20" s="49" t="s">
        <v>356</v>
      </c>
      <c r="V20" s="166" t="s">
        <v>354</v>
      </c>
      <c r="W20" s="49" t="s">
        <v>356</v>
      </c>
      <c r="X20" s="49" t="s">
        <v>354</v>
      </c>
      <c r="Y20" s="729" t="s">
        <v>361</v>
      </c>
      <c r="Z20" s="729" t="s">
        <v>361</v>
      </c>
      <c r="AA20" s="725" t="s">
        <v>356</v>
      </c>
      <c r="AB20" s="725" t="s">
        <v>354</v>
      </c>
      <c r="AC20" s="728" t="s">
        <v>356</v>
      </c>
      <c r="AD20" s="728" t="s">
        <v>354</v>
      </c>
      <c r="AE20" s="46">
        <f t="shared" si="1"/>
        <v>0</v>
      </c>
      <c r="AF20" s="182"/>
      <c r="AG20" s="182"/>
      <c r="AH20" s="182"/>
      <c r="AI20" s="182"/>
      <c r="AJ20" s="80">
        <v>0.0</v>
      </c>
      <c r="AK20" s="80">
        <v>0.0</v>
      </c>
      <c r="AL20" s="80">
        <v>0.0</v>
      </c>
      <c r="AM20" s="80">
        <v>0.0</v>
      </c>
      <c r="AN20" s="80">
        <v>0.0</v>
      </c>
      <c r="AO20" s="224">
        <v>0.0</v>
      </c>
      <c r="AP20" s="80">
        <v>0.0</v>
      </c>
      <c r="AQ20" s="80">
        <v>0.0</v>
      </c>
      <c r="AR20" s="182">
        <f t="shared" si="2"/>
        <v>0</v>
      </c>
      <c r="AS20" s="182">
        <f t="shared" si="3"/>
        <v>0</v>
      </c>
    </row>
    <row r="21">
      <c r="A21" s="235">
        <v>22.0</v>
      </c>
      <c r="B21" s="717" t="s">
        <v>1889</v>
      </c>
      <c r="C21" s="710" t="s">
        <v>863</v>
      </c>
      <c r="D21" s="741" t="s">
        <v>864</v>
      </c>
      <c r="E21" s="545">
        <v>40953.0</v>
      </c>
      <c r="F21" s="47" t="s">
        <v>354</v>
      </c>
      <c r="G21" s="235" t="s">
        <v>8</v>
      </c>
      <c r="H21" s="235" t="s">
        <v>7</v>
      </c>
      <c r="I21" s="235" t="s">
        <v>354</v>
      </c>
      <c r="J21" s="235" t="s">
        <v>354</v>
      </c>
      <c r="K21" s="158">
        <v>3.0</v>
      </c>
      <c r="L21" s="158" t="s">
        <v>868</v>
      </c>
      <c r="M21" s="265"/>
      <c r="N21" s="265"/>
      <c r="O21" s="158" t="s">
        <v>600</v>
      </c>
      <c r="P21" s="721">
        <v>34.8031535167802</v>
      </c>
      <c r="Q21" s="166" t="s">
        <v>356</v>
      </c>
      <c r="R21" s="49">
        <v>0.0</v>
      </c>
      <c r="S21" s="49">
        <v>0.0</v>
      </c>
      <c r="T21" s="49">
        <v>0.0</v>
      </c>
      <c r="U21" s="49" t="s">
        <v>356</v>
      </c>
      <c r="V21" s="166" t="s">
        <v>354</v>
      </c>
      <c r="W21" s="56" t="s">
        <v>365</v>
      </c>
      <c r="X21" s="164" t="s">
        <v>1890</v>
      </c>
      <c r="Y21" s="727" t="s">
        <v>356</v>
      </c>
      <c r="Z21" s="727" t="s">
        <v>354</v>
      </c>
      <c r="AA21" s="734" t="s">
        <v>365</v>
      </c>
      <c r="AB21" s="105" t="s">
        <v>413</v>
      </c>
      <c r="AC21" s="726" t="s">
        <v>365</v>
      </c>
      <c r="AD21" s="164" t="s">
        <v>1883</v>
      </c>
      <c r="AE21" s="357">
        <f t="shared" si="1"/>
        <v>3</v>
      </c>
      <c r="AF21" s="182"/>
      <c r="AG21" s="182"/>
      <c r="AH21" s="182"/>
      <c r="AI21" s="182"/>
      <c r="AJ21" s="80">
        <v>0.0</v>
      </c>
      <c r="AK21" s="80">
        <v>0.0</v>
      </c>
      <c r="AL21" s="80">
        <v>0.0</v>
      </c>
      <c r="AM21" s="80">
        <v>0.0</v>
      </c>
      <c r="AN21" s="224">
        <v>2.0</v>
      </c>
      <c r="AO21" s="224">
        <v>0.0</v>
      </c>
      <c r="AP21" s="80">
        <v>0.0</v>
      </c>
      <c r="AQ21" s="80">
        <v>0.0</v>
      </c>
      <c r="AR21" s="358">
        <f t="shared" si="2"/>
        <v>2</v>
      </c>
      <c r="AS21" s="358">
        <f t="shared" si="3"/>
        <v>1</v>
      </c>
    </row>
    <row r="22">
      <c r="A22" s="235">
        <v>23.0</v>
      </c>
      <c r="B22" s="690" t="s">
        <v>562</v>
      </c>
      <c r="C22" s="715" t="s">
        <v>560</v>
      </c>
      <c r="D22" s="687" t="s">
        <v>561</v>
      </c>
      <c r="E22" s="755">
        <v>40953.0</v>
      </c>
      <c r="F22" s="47" t="s">
        <v>354</v>
      </c>
      <c r="G22" s="235" t="s">
        <v>8</v>
      </c>
      <c r="H22" s="235" t="s">
        <v>7</v>
      </c>
      <c r="I22" s="235" t="s">
        <v>354</v>
      </c>
      <c r="J22" s="235" t="s">
        <v>354</v>
      </c>
      <c r="K22" s="184">
        <v>0.0</v>
      </c>
      <c r="L22" s="184" t="s">
        <v>354</v>
      </c>
      <c r="M22" s="265"/>
      <c r="N22" s="265"/>
      <c r="O22" s="184" t="s">
        <v>371</v>
      </c>
      <c r="P22" s="723">
        <v>0.0</v>
      </c>
      <c r="Q22" s="166" t="s">
        <v>356</v>
      </c>
      <c r="R22" s="49">
        <v>0.0</v>
      </c>
      <c r="S22" s="49">
        <v>0.0</v>
      </c>
      <c r="T22" s="49">
        <v>0.0</v>
      </c>
      <c r="U22" s="49" t="s">
        <v>356</v>
      </c>
      <c r="V22" s="166" t="s">
        <v>354</v>
      </c>
      <c r="W22" s="49" t="s">
        <v>356</v>
      </c>
      <c r="X22" s="49" t="s">
        <v>354</v>
      </c>
      <c r="Y22" s="729" t="s">
        <v>361</v>
      </c>
      <c r="Z22" s="729" t="s">
        <v>361</v>
      </c>
      <c r="AA22" s="725" t="s">
        <v>356</v>
      </c>
      <c r="AB22" s="725" t="s">
        <v>354</v>
      </c>
      <c r="AC22" s="728" t="s">
        <v>356</v>
      </c>
      <c r="AD22" s="728" t="s">
        <v>354</v>
      </c>
      <c r="AE22" s="46">
        <f t="shared" si="1"/>
        <v>0</v>
      </c>
      <c r="AF22" s="182"/>
      <c r="AG22" s="182"/>
      <c r="AH22" s="182"/>
      <c r="AI22" s="182"/>
      <c r="AJ22" s="80">
        <v>0.0</v>
      </c>
      <c r="AK22" s="80">
        <v>0.0</v>
      </c>
      <c r="AL22" s="80">
        <v>0.0</v>
      </c>
      <c r="AM22" s="80">
        <v>0.0</v>
      </c>
      <c r="AN22" s="80">
        <v>0.0</v>
      </c>
      <c r="AO22" s="224">
        <v>0.0</v>
      </c>
      <c r="AP22" s="80">
        <v>0.0</v>
      </c>
      <c r="AQ22" s="80">
        <v>0.0</v>
      </c>
      <c r="AR22" s="182">
        <f t="shared" si="2"/>
        <v>0</v>
      </c>
      <c r="AS22" s="182">
        <f t="shared" si="3"/>
        <v>0</v>
      </c>
    </row>
    <row r="23">
      <c r="A23" s="235">
        <v>24.0</v>
      </c>
      <c r="B23" s="690" t="s">
        <v>951</v>
      </c>
      <c r="C23" s="715" t="s">
        <v>947</v>
      </c>
      <c r="D23" s="687" t="s">
        <v>1665</v>
      </c>
      <c r="E23" s="720">
        <v>40953.0</v>
      </c>
      <c r="F23" s="47" t="s">
        <v>354</v>
      </c>
      <c r="G23" s="46" t="s">
        <v>67</v>
      </c>
      <c r="H23" s="63" t="s">
        <v>62</v>
      </c>
      <c r="I23" s="235" t="s">
        <v>354</v>
      </c>
      <c r="J23" s="235" t="s">
        <v>354</v>
      </c>
      <c r="K23" s="184">
        <v>0.0</v>
      </c>
      <c r="L23" s="184" t="s">
        <v>354</v>
      </c>
      <c r="M23" s="265"/>
      <c r="N23" s="265"/>
      <c r="O23" s="184" t="s">
        <v>371</v>
      </c>
      <c r="P23" s="721">
        <v>33.6778225221767</v>
      </c>
      <c r="Q23" s="164" t="s">
        <v>413</v>
      </c>
      <c r="R23" s="49">
        <v>0.0</v>
      </c>
      <c r="S23" s="49">
        <v>0.0</v>
      </c>
      <c r="T23" s="49">
        <v>0.0</v>
      </c>
      <c r="U23" s="56" t="s">
        <v>365</v>
      </c>
      <c r="V23" s="164" t="s">
        <v>413</v>
      </c>
      <c r="W23" s="56" t="s">
        <v>365</v>
      </c>
      <c r="X23" s="164" t="s">
        <v>1879</v>
      </c>
      <c r="Y23" s="724" t="s">
        <v>365</v>
      </c>
      <c r="Z23" s="164" t="s">
        <v>1879</v>
      </c>
      <c r="AA23" s="734" t="s">
        <v>365</v>
      </c>
      <c r="AB23" s="105" t="s">
        <v>413</v>
      </c>
      <c r="AC23" s="726" t="s">
        <v>365</v>
      </c>
      <c r="AD23" s="164" t="s">
        <v>1871</v>
      </c>
      <c r="AE23" s="357">
        <f t="shared" si="1"/>
        <v>4</v>
      </c>
      <c r="AF23" s="182"/>
      <c r="AG23" s="182"/>
      <c r="AH23" s="182"/>
      <c r="AI23" s="182"/>
      <c r="AJ23" s="80">
        <v>0.0</v>
      </c>
      <c r="AK23" s="80">
        <v>0.0</v>
      </c>
      <c r="AL23" s="80">
        <v>0.0</v>
      </c>
      <c r="AM23" s="80">
        <v>0.0</v>
      </c>
      <c r="AN23" s="224">
        <v>3.0</v>
      </c>
      <c r="AO23" s="224">
        <v>0.0</v>
      </c>
      <c r="AP23" s="80">
        <v>0.0</v>
      </c>
      <c r="AQ23" s="80">
        <v>0.0</v>
      </c>
      <c r="AR23" s="358">
        <f t="shared" si="2"/>
        <v>3</v>
      </c>
      <c r="AS23" s="358">
        <f t="shared" si="3"/>
        <v>1</v>
      </c>
    </row>
    <row r="24">
      <c r="A24" s="235">
        <v>26.0</v>
      </c>
      <c r="B24" s="749" t="s">
        <v>820</v>
      </c>
      <c r="C24" s="715" t="s">
        <v>816</v>
      </c>
      <c r="D24" s="711" t="s">
        <v>817</v>
      </c>
      <c r="E24" s="545">
        <v>40953.0</v>
      </c>
      <c r="F24" s="47" t="s">
        <v>354</v>
      </c>
      <c r="G24" s="235" t="s">
        <v>67</v>
      </c>
      <c r="H24" s="235" t="s">
        <v>7</v>
      </c>
      <c r="I24" s="235" t="s">
        <v>354</v>
      </c>
      <c r="J24" s="235" t="s">
        <v>354</v>
      </c>
      <c r="K24" s="184">
        <v>0.0</v>
      </c>
      <c r="L24" s="184" t="s">
        <v>354</v>
      </c>
      <c r="M24" s="265"/>
      <c r="N24" s="265"/>
      <c r="O24" s="184" t="s">
        <v>371</v>
      </c>
      <c r="P24" s="723">
        <v>0.0</v>
      </c>
      <c r="Q24" s="166" t="s">
        <v>356</v>
      </c>
      <c r="R24" s="49">
        <v>0.0</v>
      </c>
      <c r="S24" s="49">
        <v>0.0</v>
      </c>
      <c r="T24" s="49">
        <v>0.0</v>
      </c>
      <c r="U24" s="49" t="s">
        <v>356</v>
      </c>
      <c r="V24" s="166" t="s">
        <v>354</v>
      </c>
      <c r="W24" s="49" t="s">
        <v>356</v>
      </c>
      <c r="X24" s="49" t="s">
        <v>354</v>
      </c>
      <c r="Y24" s="727" t="s">
        <v>356</v>
      </c>
      <c r="Z24" s="727" t="s">
        <v>354</v>
      </c>
      <c r="AA24" s="730" t="s">
        <v>361</v>
      </c>
      <c r="AB24" s="730" t="s">
        <v>361</v>
      </c>
      <c r="AC24" s="728" t="s">
        <v>356</v>
      </c>
      <c r="AD24" s="728" t="s">
        <v>354</v>
      </c>
      <c r="AE24" s="46">
        <f t="shared" si="1"/>
        <v>0</v>
      </c>
      <c r="AF24" s="182"/>
      <c r="AG24" s="182"/>
      <c r="AH24" s="182"/>
      <c r="AI24" s="182"/>
      <c r="AJ24" s="80">
        <v>0.0</v>
      </c>
      <c r="AK24" s="80">
        <v>0.0</v>
      </c>
      <c r="AL24" s="80">
        <v>0.0</v>
      </c>
      <c r="AM24" s="80">
        <v>0.0</v>
      </c>
      <c r="AN24" s="224">
        <v>0.0</v>
      </c>
      <c r="AO24" s="224">
        <v>0.0</v>
      </c>
      <c r="AP24" s="80">
        <v>0.0</v>
      </c>
      <c r="AQ24" s="80">
        <v>0.0</v>
      </c>
      <c r="AR24" s="182">
        <f t="shared" si="2"/>
        <v>0</v>
      </c>
      <c r="AS24" s="182">
        <f t="shared" si="3"/>
        <v>0</v>
      </c>
    </row>
    <row r="25">
      <c r="A25" s="235" t="s">
        <v>1891</v>
      </c>
      <c r="B25" s="749">
        <v>3904.0</v>
      </c>
      <c r="C25" s="715" t="s">
        <v>816</v>
      </c>
      <c r="D25" s="711" t="s">
        <v>817</v>
      </c>
      <c r="E25" s="720">
        <v>40953.0</v>
      </c>
      <c r="F25" s="235" t="s">
        <v>354</v>
      </c>
      <c r="G25" s="235" t="s">
        <v>354</v>
      </c>
      <c r="H25" s="235" t="s">
        <v>354</v>
      </c>
      <c r="I25" s="235" t="s">
        <v>354</v>
      </c>
      <c r="J25" s="235" t="s">
        <v>354</v>
      </c>
      <c r="K25" s="184">
        <v>0.0</v>
      </c>
      <c r="L25" s="184" t="s">
        <v>354</v>
      </c>
      <c r="M25" s="265"/>
      <c r="N25" s="265"/>
      <c r="O25" s="184" t="s">
        <v>371</v>
      </c>
      <c r="P25" s="723">
        <v>0.0</v>
      </c>
      <c r="Q25" s="756" t="s">
        <v>354</v>
      </c>
      <c r="R25" s="49">
        <v>0.0</v>
      </c>
      <c r="S25" s="49">
        <v>0.0</v>
      </c>
      <c r="T25" s="49">
        <v>0.0</v>
      </c>
      <c r="U25" s="756" t="s">
        <v>354</v>
      </c>
      <c r="V25" s="756" t="s">
        <v>354</v>
      </c>
      <c r="W25" s="235" t="s">
        <v>354</v>
      </c>
      <c r="X25" s="235" t="s">
        <v>354</v>
      </c>
      <c r="Y25" s="727" t="s">
        <v>356</v>
      </c>
      <c r="Z25" s="732" t="s">
        <v>354</v>
      </c>
      <c r="AA25" s="757" t="s">
        <v>356</v>
      </c>
      <c r="AB25" s="757" t="s">
        <v>354</v>
      </c>
      <c r="AC25" s="728" t="s">
        <v>356</v>
      </c>
      <c r="AD25" s="758" t="s">
        <v>354</v>
      </c>
      <c r="AE25" s="46">
        <f t="shared" si="1"/>
        <v>0</v>
      </c>
      <c r="AF25" s="182"/>
      <c r="AG25" s="182"/>
      <c r="AH25" s="182"/>
      <c r="AI25" s="182"/>
      <c r="AJ25" s="80">
        <v>0.0</v>
      </c>
      <c r="AK25" s="80">
        <v>0.0</v>
      </c>
      <c r="AL25" s="80">
        <v>0.0</v>
      </c>
      <c r="AM25" s="80">
        <v>0.0</v>
      </c>
      <c r="AN25" s="80">
        <v>0.0</v>
      </c>
      <c r="AO25" s="224">
        <v>0.0</v>
      </c>
      <c r="AP25" s="80">
        <v>0.0</v>
      </c>
      <c r="AQ25" s="80">
        <v>0.0</v>
      </c>
      <c r="AR25" s="182">
        <f t="shared" si="2"/>
        <v>0</v>
      </c>
      <c r="AS25" s="182">
        <f t="shared" si="3"/>
        <v>0</v>
      </c>
    </row>
    <row r="26">
      <c r="A26" s="235">
        <v>27.0</v>
      </c>
      <c r="B26" s="717" t="s">
        <v>1892</v>
      </c>
      <c r="C26" s="710" t="s">
        <v>666</v>
      </c>
      <c r="D26" s="692" t="s">
        <v>667</v>
      </c>
      <c r="E26" s="545">
        <v>40953.0</v>
      </c>
      <c r="F26" s="47" t="s">
        <v>354</v>
      </c>
      <c r="G26" s="235" t="s">
        <v>8</v>
      </c>
      <c r="H26" s="235" t="s">
        <v>7</v>
      </c>
      <c r="I26" s="235" t="s">
        <v>354</v>
      </c>
      <c r="J26" s="235" t="s">
        <v>354</v>
      </c>
      <c r="K26" s="158">
        <v>3.0</v>
      </c>
      <c r="L26" s="158" t="s">
        <v>670</v>
      </c>
      <c r="M26" s="265"/>
      <c r="N26" s="265"/>
      <c r="O26" s="158" t="s">
        <v>600</v>
      </c>
      <c r="P26" s="723">
        <v>0.0</v>
      </c>
      <c r="Q26" s="166" t="s">
        <v>356</v>
      </c>
      <c r="R26" s="49">
        <v>0.0</v>
      </c>
      <c r="S26" s="49">
        <v>0.0</v>
      </c>
      <c r="T26" s="49">
        <v>0.0</v>
      </c>
      <c r="U26" s="49" t="s">
        <v>356</v>
      </c>
      <c r="V26" s="166" t="s">
        <v>354</v>
      </c>
      <c r="W26" s="759" t="s">
        <v>361</v>
      </c>
      <c r="X26" s="722" t="s">
        <v>361</v>
      </c>
      <c r="Y26" s="727" t="s">
        <v>356</v>
      </c>
      <c r="Z26" s="727" t="s">
        <v>354</v>
      </c>
      <c r="AA26" s="725" t="s">
        <v>356</v>
      </c>
      <c r="AB26" s="725" t="s">
        <v>354</v>
      </c>
      <c r="AC26" s="728" t="s">
        <v>356</v>
      </c>
      <c r="AD26" s="728" t="s">
        <v>354</v>
      </c>
      <c r="AE26" s="46">
        <f t="shared" si="1"/>
        <v>0</v>
      </c>
      <c r="AF26" s="182"/>
      <c r="AG26" s="182"/>
      <c r="AH26" s="182"/>
      <c r="AI26" s="182"/>
      <c r="AJ26" s="80">
        <v>0.0</v>
      </c>
      <c r="AK26" s="80">
        <v>0.0</v>
      </c>
      <c r="AL26" s="80">
        <v>0.0</v>
      </c>
      <c r="AM26" s="80">
        <v>0.0</v>
      </c>
      <c r="AN26" s="80">
        <v>0.0</v>
      </c>
      <c r="AO26" s="224">
        <v>0.0</v>
      </c>
      <c r="AP26" s="80">
        <v>0.0</v>
      </c>
      <c r="AQ26" s="80">
        <v>0.0</v>
      </c>
      <c r="AR26" s="182">
        <f t="shared" si="2"/>
        <v>0</v>
      </c>
      <c r="AS26" s="182">
        <f t="shared" si="3"/>
        <v>0</v>
      </c>
    </row>
    <row r="27">
      <c r="A27" s="235">
        <v>28.0</v>
      </c>
      <c r="B27" s="717" t="s">
        <v>593</v>
      </c>
      <c r="C27" s="78" t="s">
        <v>587</v>
      </c>
      <c r="D27" s="692" t="s">
        <v>588</v>
      </c>
      <c r="E27" s="545">
        <v>40953.0</v>
      </c>
      <c r="F27" s="47" t="s">
        <v>354</v>
      </c>
      <c r="G27" s="235" t="s">
        <v>67</v>
      </c>
      <c r="H27" s="235" t="s">
        <v>7</v>
      </c>
      <c r="I27" s="235" t="s">
        <v>354</v>
      </c>
      <c r="J27" s="235" t="s">
        <v>354</v>
      </c>
      <c r="K27" s="158">
        <v>1.0</v>
      </c>
      <c r="L27" s="158" t="s">
        <v>399</v>
      </c>
      <c r="M27" s="265"/>
      <c r="N27" s="265"/>
      <c r="O27" s="158" t="s">
        <v>455</v>
      </c>
      <c r="P27" s="723">
        <v>0.0</v>
      </c>
      <c r="Q27" s="166" t="s">
        <v>356</v>
      </c>
      <c r="R27" s="49">
        <v>0.0</v>
      </c>
      <c r="S27" s="49">
        <v>0.0</v>
      </c>
      <c r="T27" s="49">
        <v>0.0</v>
      </c>
      <c r="U27" s="49" t="s">
        <v>356</v>
      </c>
      <c r="V27" s="166" t="s">
        <v>354</v>
      </c>
      <c r="W27" s="49" t="s">
        <v>356</v>
      </c>
      <c r="X27" s="49" t="s">
        <v>354</v>
      </c>
      <c r="Y27" s="727" t="s">
        <v>356</v>
      </c>
      <c r="Z27" s="727" t="s">
        <v>354</v>
      </c>
      <c r="AA27" s="725" t="s">
        <v>356</v>
      </c>
      <c r="AB27" s="725" t="s">
        <v>354</v>
      </c>
      <c r="AC27" s="728" t="s">
        <v>356</v>
      </c>
      <c r="AD27" s="728" t="s">
        <v>354</v>
      </c>
      <c r="AE27" s="46">
        <f t="shared" si="1"/>
        <v>0</v>
      </c>
      <c r="AF27" s="182"/>
      <c r="AG27" s="182"/>
      <c r="AH27" s="182"/>
      <c r="AI27" s="182"/>
      <c r="AJ27" s="80">
        <v>0.0</v>
      </c>
      <c r="AK27" s="80">
        <v>0.0</v>
      </c>
      <c r="AL27" s="80">
        <v>0.0</v>
      </c>
      <c r="AM27" s="80">
        <v>0.0</v>
      </c>
      <c r="AN27" s="80">
        <v>0.0</v>
      </c>
      <c r="AO27" s="224">
        <v>0.0</v>
      </c>
      <c r="AP27" s="80">
        <v>0.0</v>
      </c>
      <c r="AQ27" s="80">
        <v>0.0</v>
      </c>
      <c r="AR27" s="182">
        <f t="shared" si="2"/>
        <v>0</v>
      </c>
      <c r="AS27" s="182">
        <f t="shared" si="3"/>
        <v>0</v>
      </c>
    </row>
    <row r="28">
      <c r="A28" s="235">
        <v>29.0</v>
      </c>
      <c r="B28" s="749" t="s">
        <v>1893</v>
      </c>
      <c r="C28" s="78" t="s">
        <v>939</v>
      </c>
      <c r="D28" s="692" t="s">
        <v>940</v>
      </c>
      <c r="E28" s="545">
        <v>40953.0</v>
      </c>
      <c r="F28" s="47" t="s">
        <v>354</v>
      </c>
      <c r="G28" s="235" t="s">
        <v>67</v>
      </c>
      <c r="H28" s="235" t="s">
        <v>7</v>
      </c>
      <c r="I28" s="235" t="s">
        <v>354</v>
      </c>
      <c r="J28" s="235" t="s">
        <v>354</v>
      </c>
      <c r="K28" s="158">
        <v>1.0</v>
      </c>
      <c r="L28" s="158" t="s">
        <v>944</v>
      </c>
      <c r="M28" s="265"/>
      <c r="N28" s="265"/>
      <c r="O28" s="158" t="s">
        <v>455</v>
      </c>
      <c r="P28" s="723">
        <v>0.0</v>
      </c>
      <c r="Q28" s="166" t="s">
        <v>356</v>
      </c>
      <c r="R28" s="49">
        <v>0.0</v>
      </c>
      <c r="S28" s="49">
        <v>0.0</v>
      </c>
      <c r="T28" s="49">
        <v>0.0</v>
      </c>
      <c r="U28" s="49" t="s">
        <v>356</v>
      </c>
      <c r="V28" s="166" t="s">
        <v>354</v>
      </c>
      <c r="W28" s="49" t="s">
        <v>356</v>
      </c>
      <c r="X28" s="49" t="s">
        <v>354</v>
      </c>
      <c r="Y28" s="727" t="s">
        <v>356</v>
      </c>
      <c r="Z28" s="727" t="s">
        <v>354</v>
      </c>
      <c r="AA28" s="730" t="s">
        <v>361</v>
      </c>
      <c r="AB28" s="730" t="s">
        <v>361</v>
      </c>
      <c r="AC28" s="728" t="s">
        <v>356</v>
      </c>
      <c r="AD28" s="728" t="s">
        <v>354</v>
      </c>
      <c r="AE28" s="46">
        <f t="shared" si="1"/>
        <v>0</v>
      </c>
      <c r="AF28" s="182"/>
      <c r="AG28" s="182"/>
      <c r="AH28" s="182"/>
      <c r="AI28" s="182"/>
      <c r="AJ28" s="80">
        <v>0.0</v>
      </c>
      <c r="AK28" s="80">
        <v>0.0</v>
      </c>
      <c r="AL28" s="80">
        <v>0.0</v>
      </c>
      <c r="AM28" s="80">
        <v>0.0</v>
      </c>
      <c r="AN28" s="80">
        <v>0.0</v>
      </c>
      <c r="AO28" s="224">
        <v>0.0</v>
      </c>
      <c r="AP28" s="80">
        <v>0.0</v>
      </c>
      <c r="AQ28" s="80">
        <v>0.0</v>
      </c>
      <c r="AR28" s="182">
        <f t="shared" si="2"/>
        <v>0</v>
      </c>
      <c r="AS28" s="182">
        <f t="shared" si="3"/>
        <v>0</v>
      </c>
    </row>
    <row r="29">
      <c r="A29" s="235">
        <v>84.0</v>
      </c>
      <c r="B29" s="749" t="s">
        <v>288</v>
      </c>
      <c r="C29" s="710" t="s">
        <v>939</v>
      </c>
      <c r="D29" s="685" t="s">
        <v>940</v>
      </c>
      <c r="E29" s="545">
        <v>40953.0</v>
      </c>
      <c r="F29" s="47" t="s">
        <v>354</v>
      </c>
      <c r="G29" s="235" t="s">
        <v>1057</v>
      </c>
      <c r="H29" s="235" t="s">
        <v>1057</v>
      </c>
      <c r="I29" s="235" t="s">
        <v>354</v>
      </c>
      <c r="J29" s="235" t="s">
        <v>354</v>
      </c>
      <c r="K29" s="158">
        <v>1.0</v>
      </c>
      <c r="L29" s="158" t="s">
        <v>944</v>
      </c>
      <c r="M29" s="265"/>
      <c r="N29" s="265"/>
      <c r="O29" s="158" t="s">
        <v>455</v>
      </c>
      <c r="P29" s="723">
        <v>0.0</v>
      </c>
      <c r="Q29" s="235" t="s">
        <v>354</v>
      </c>
      <c r="R29" s="49">
        <v>0.0</v>
      </c>
      <c r="S29" s="49">
        <v>0.0</v>
      </c>
      <c r="T29" s="49">
        <v>0.0</v>
      </c>
      <c r="U29" s="235" t="s">
        <v>354</v>
      </c>
      <c r="V29" s="182"/>
      <c r="W29" s="49" t="s">
        <v>354</v>
      </c>
      <c r="X29" s="49" t="s">
        <v>354</v>
      </c>
      <c r="Y29" s="727" t="s">
        <v>356</v>
      </c>
      <c r="Z29" s="727" t="s">
        <v>354</v>
      </c>
      <c r="AA29" s="730" t="s">
        <v>361</v>
      </c>
      <c r="AB29" s="725" t="s">
        <v>354</v>
      </c>
      <c r="AC29" s="728" t="s">
        <v>356</v>
      </c>
      <c r="AD29" s="758" t="s">
        <v>354</v>
      </c>
      <c r="AE29" s="46">
        <f t="shared" si="1"/>
        <v>0</v>
      </c>
      <c r="AF29" s="182"/>
      <c r="AG29" s="182"/>
      <c r="AH29" s="182"/>
      <c r="AI29" s="182"/>
      <c r="AJ29" s="80">
        <v>0.0</v>
      </c>
      <c r="AK29" s="80">
        <v>0.0</v>
      </c>
      <c r="AL29" s="80">
        <v>0.0</v>
      </c>
      <c r="AM29" s="80">
        <v>0.0</v>
      </c>
      <c r="AN29" s="80">
        <v>0.0</v>
      </c>
      <c r="AO29" s="224">
        <v>0.0</v>
      </c>
      <c r="AP29" s="80">
        <v>0.0</v>
      </c>
      <c r="AQ29" s="80">
        <v>0.0</v>
      </c>
      <c r="AR29" s="182">
        <f t="shared" si="2"/>
        <v>0</v>
      </c>
      <c r="AS29" s="182">
        <f t="shared" si="3"/>
        <v>0</v>
      </c>
    </row>
    <row r="30">
      <c r="A30" s="235">
        <v>31.0</v>
      </c>
      <c r="B30" s="690" t="s">
        <v>1894</v>
      </c>
      <c r="C30" s="271" t="s">
        <v>71</v>
      </c>
      <c r="D30" s="687" t="s">
        <v>459</v>
      </c>
      <c r="E30" s="545">
        <v>40953.0</v>
      </c>
      <c r="F30" s="47" t="s">
        <v>354</v>
      </c>
      <c r="G30" s="235" t="s">
        <v>8</v>
      </c>
      <c r="H30" s="235" t="s">
        <v>7</v>
      </c>
      <c r="I30" s="235" t="s">
        <v>354</v>
      </c>
      <c r="J30" s="235" t="s">
        <v>354</v>
      </c>
      <c r="K30" s="184">
        <v>0.0</v>
      </c>
      <c r="L30" s="184" t="s">
        <v>354</v>
      </c>
      <c r="M30" s="265"/>
      <c r="N30" s="265"/>
      <c r="O30" s="184" t="s">
        <v>371</v>
      </c>
      <c r="P30" s="750">
        <v>45.4678737858883</v>
      </c>
      <c r="Q30" s="699" t="s">
        <v>363</v>
      </c>
      <c r="R30" s="49">
        <v>0.0</v>
      </c>
      <c r="S30" s="49">
        <v>0.0</v>
      </c>
      <c r="T30" s="49">
        <v>0.0</v>
      </c>
      <c r="U30" s="49" t="s">
        <v>356</v>
      </c>
      <c r="V30" s="166" t="s">
        <v>354</v>
      </c>
      <c r="W30" s="49" t="s">
        <v>356</v>
      </c>
      <c r="X30" s="49" t="s">
        <v>354</v>
      </c>
      <c r="Y30" s="729" t="s">
        <v>361</v>
      </c>
      <c r="Z30" s="729" t="s">
        <v>361</v>
      </c>
      <c r="AA30" s="730" t="s">
        <v>361</v>
      </c>
      <c r="AB30" s="730" t="s">
        <v>361</v>
      </c>
      <c r="AC30" s="726" t="s">
        <v>365</v>
      </c>
      <c r="AD30" s="699" t="s">
        <v>1605</v>
      </c>
      <c r="AE30" s="357">
        <f t="shared" si="1"/>
        <v>2</v>
      </c>
      <c r="AF30" s="182"/>
      <c r="AG30" s="182"/>
      <c r="AH30" s="182"/>
      <c r="AI30" s="182"/>
      <c r="AJ30" s="80">
        <v>0.0</v>
      </c>
      <c r="AK30" s="80">
        <v>0.0</v>
      </c>
      <c r="AL30" s="80">
        <v>0.0</v>
      </c>
      <c r="AM30" s="224">
        <v>1.0</v>
      </c>
      <c r="AN30" s="80">
        <v>0.0</v>
      </c>
      <c r="AO30" s="224">
        <v>0.0</v>
      </c>
      <c r="AP30" s="80">
        <v>0.0</v>
      </c>
      <c r="AQ30" s="80">
        <v>0.0</v>
      </c>
      <c r="AR30" s="358">
        <f t="shared" si="2"/>
        <v>1</v>
      </c>
      <c r="AS30" s="358">
        <f t="shared" si="3"/>
        <v>1</v>
      </c>
    </row>
    <row r="31">
      <c r="A31" s="235">
        <v>32.0</v>
      </c>
      <c r="B31" s="717" t="s">
        <v>274</v>
      </c>
      <c r="C31" s="684" t="s">
        <v>271</v>
      </c>
      <c r="D31" s="692" t="s">
        <v>924</v>
      </c>
      <c r="E31" s="545">
        <v>40953.0</v>
      </c>
      <c r="F31" s="47" t="s">
        <v>354</v>
      </c>
      <c r="G31" s="46" t="s">
        <v>67</v>
      </c>
      <c r="H31" s="63" t="s">
        <v>7</v>
      </c>
      <c r="I31" s="235" t="s">
        <v>354</v>
      </c>
      <c r="J31" s="235" t="s">
        <v>354</v>
      </c>
      <c r="K31" s="158">
        <v>1.0</v>
      </c>
      <c r="L31" s="158" t="s">
        <v>929</v>
      </c>
      <c r="M31" s="265"/>
      <c r="N31" s="265"/>
      <c r="O31" s="158" t="s">
        <v>455</v>
      </c>
      <c r="P31" s="723">
        <v>0.0</v>
      </c>
      <c r="Q31" s="722" t="s">
        <v>1788</v>
      </c>
      <c r="R31" s="49">
        <v>0.0</v>
      </c>
      <c r="S31" s="49">
        <v>0.0</v>
      </c>
      <c r="T31" s="49">
        <v>0.0</v>
      </c>
      <c r="U31" s="49" t="s">
        <v>356</v>
      </c>
      <c r="V31" s="166" t="s">
        <v>354</v>
      </c>
      <c r="W31" s="49" t="s">
        <v>356</v>
      </c>
      <c r="X31" s="49" t="s">
        <v>354</v>
      </c>
      <c r="Y31" s="729" t="s">
        <v>361</v>
      </c>
      <c r="Z31" s="729" t="s">
        <v>361</v>
      </c>
      <c r="AA31" s="730" t="s">
        <v>361</v>
      </c>
      <c r="AB31" s="730" t="s">
        <v>361</v>
      </c>
      <c r="AC31" s="728" t="s">
        <v>356</v>
      </c>
      <c r="AD31" s="728" t="s">
        <v>354</v>
      </c>
      <c r="AE31" s="46">
        <f t="shared" si="1"/>
        <v>0</v>
      </c>
      <c r="AF31" s="182"/>
      <c r="AG31" s="182"/>
      <c r="AH31" s="182"/>
      <c r="AI31" s="182"/>
      <c r="AJ31" s="80">
        <v>0.0</v>
      </c>
      <c r="AK31" s="80">
        <v>0.0</v>
      </c>
      <c r="AL31" s="80">
        <v>0.0</v>
      </c>
      <c r="AM31" s="80">
        <v>0.0</v>
      </c>
      <c r="AN31" s="80">
        <v>0.0</v>
      </c>
      <c r="AO31" s="224">
        <v>0.0</v>
      </c>
      <c r="AP31" s="80">
        <v>0.0</v>
      </c>
      <c r="AQ31" s="80">
        <v>0.0</v>
      </c>
      <c r="AR31" s="182">
        <f t="shared" si="2"/>
        <v>0</v>
      </c>
      <c r="AS31" s="182">
        <f t="shared" si="3"/>
        <v>0</v>
      </c>
    </row>
    <row r="32">
      <c r="A32" s="235">
        <v>33.0</v>
      </c>
      <c r="B32" s="690" t="s">
        <v>260</v>
      </c>
      <c r="C32" s="41" t="s">
        <v>888</v>
      </c>
      <c r="D32" s="687" t="s">
        <v>889</v>
      </c>
      <c r="E32" s="545">
        <v>40953.0</v>
      </c>
      <c r="F32" s="47" t="s">
        <v>354</v>
      </c>
      <c r="G32" s="46" t="s">
        <v>67</v>
      </c>
      <c r="H32" s="63" t="s">
        <v>7</v>
      </c>
      <c r="I32" s="235" t="s">
        <v>354</v>
      </c>
      <c r="J32" s="235" t="s">
        <v>354</v>
      </c>
      <c r="K32" s="184">
        <v>0.0</v>
      </c>
      <c r="L32" s="184" t="s">
        <v>354</v>
      </c>
      <c r="M32" s="265"/>
      <c r="N32" s="265"/>
      <c r="O32" s="184" t="s">
        <v>371</v>
      </c>
      <c r="P32" s="723">
        <v>0.0</v>
      </c>
      <c r="Q32" s="166" t="s">
        <v>356</v>
      </c>
      <c r="R32" s="49">
        <v>0.0</v>
      </c>
      <c r="S32" s="49">
        <v>0.0</v>
      </c>
      <c r="T32" s="49">
        <v>0.0</v>
      </c>
      <c r="U32" s="49" t="s">
        <v>356</v>
      </c>
      <c r="V32" s="166" t="s">
        <v>354</v>
      </c>
      <c r="W32" s="49" t="s">
        <v>356</v>
      </c>
      <c r="X32" s="49" t="s">
        <v>354</v>
      </c>
      <c r="Y32" s="727" t="s">
        <v>356</v>
      </c>
      <c r="Z32" s="727" t="s">
        <v>354</v>
      </c>
      <c r="AA32" s="730" t="s">
        <v>361</v>
      </c>
      <c r="AB32" s="730" t="s">
        <v>361</v>
      </c>
      <c r="AC32" s="728" t="s">
        <v>356</v>
      </c>
      <c r="AD32" s="728" t="s">
        <v>354</v>
      </c>
      <c r="AE32" s="46">
        <f t="shared" si="1"/>
        <v>0</v>
      </c>
      <c r="AF32" s="182"/>
      <c r="AG32" s="182"/>
      <c r="AH32" s="182"/>
      <c r="AI32" s="182"/>
      <c r="AJ32" s="80">
        <v>0.0</v>
      </c>
      <c r="AK32" s="80">
        <v>0.0</v>
      </c>
      <c r="AL32" s="80">
        <v>0.0</v>
      </c>
      <c r="AM32" s="80">
        <v>0.0</v>
      </c>
      <c r="AN32" s="80">
        <v>0.0</v>
      </c>
      <c r="AO32" s="224">
        <v>0.0</v>
      </c>
      <c r="AP32" s="80">
        <v>0.0</v>
      </c>
      <c r="AQ32" s="80">
        <v>0.0</v>
      </c>
      <c r="AR32" s="182">
        <f t="shared" si="2"/>
        <v>0</v>
      </c>
      <c r="AS32" s="182">
        <f t="shared" si="3"/>
        <v>0</v>
      </c>
    </row>
    <row r="33">
      <c r="A33" s="235">
        <v>34.0</v>
      </c>
      <c r="B33" s="717" t="s">
        <v>1895</v>
      </c>
      <c r="C33" s="684" t="s">
        <v>66</v>
      </c>
      <c r="D33" s="692" t="s">
        <v>451</v>
      </c>
      <c r="E33" s="545">
        <v>40953.0</v>
      </c>
      <c r="F33" s="47" t="s">
        <v>354</v>
      </c>
      <c r="G33" s="46" t="s">
        <v>67</v>
      </c>
      <c r="H33" s="48" t="s">
        <v>7</v>
      </c>
      <c r="I33" s="235" t="s">
        <v>354</v>
      </c>
      <c r="J33" s="235" t="s">
        <v>354</v>
      </c>
      <c r="K33" s="158">
        <v>1.0</v>
      </c>
      <c r="L33" s="158" t="s">
        <v>456</v>
      </c>
      <c r="M33" s="265"/>
      <c r="N33" s="265"/>
      <c r="O33" s="158" t="s">
        <v>455</v>
      </c>
      <c r="P33" s="723">
        <v>0.0</v>
      </c>
      <c r="Q33" s="166" t="s">
        <v>356</v>
      </c>
      <c r="R33" s="49">
        <v>0.0</v>
      </c>
      <c r="S33" s="49">
        <v>0.0</v>
      </c>
      <c r="T33" s="49">
        <v>0.0</v>
      </c>
      <c r="U33" s="49" t="s">
        <v>356</v>
      </c>
      <c r="V33" s="166" t="s">
        <v>354</v>
      </c>
      <c r="W33" s="49" t="s">
        <v>356</v>
      </c>
      <c r="X33" s="49" t="s">
        <v>354</v>
      </c>
      <c r="Y33" s="729" t="s">
        <v>361</v>
      </c>
      <c r="Z33" s="729" t="s">
        <v>361</v>
      </c>
      <c r="AA33" s="725" t="s">
        <v>356</v>
      </c>
      <c r="AB33" s="725" t="s">
        <v>354</v>
      </c>
      <c r="AC33" s="728" t="s">
        <v>356</v>
      </c>
      <c r="AD33" s="728" t="s">
        <v>354</v>
      </c>
      <c r="AE33" s="46">
        <f t="shared" si="1"/>
        <v>0</v>
      </c>
      <c r="AF33" s="182"/>
      <c r="AG33" s="182"/>
      <c r="AH33" s="182"/>
      <c r="AI33" s="182"/>
      <c r="AJ33" s="80">
        <v>0.0</v>
      </c>
      <c r="AK33" s="80">
        <v>0.0</v>
      </c>
      <c r="AL33" s="80">
        <v>0.0</v>
      </c>
      <c r="AM33" s="80">
        <v>0.0</v>
      </c>
      <c r="AN33" s="80">
        <v>0.0</v>
      </c>
      <c r="AO33" s="224">
        <v>0.0</v>
      </c>
      <c r="AP33" s="80">
        <v>0.0</v>
      </c>
      <c r="AQ33" s="80">
        <v>0.0</v>
      </c>
      <c r="AR33" s="182">
        <f t="shared" si="2"/>
        <v>0</v>
      </c>
      <c r="AS33" s="182">
        <f t="shared" si="3"/>
        <v>0</v>
      </c>
    </row>
    <row r="34">
      <c r="A34" s="235">
        <v>35.0</v>
      </c>
      <c r="B34" s="717" t="s">
        <v>1896</v>
      </c>
      <c r="C34" s="702" t="s">
        <v>80</v>
      </c>
      <c r="D34" s="692" t="s">
        <v>467</v>
      </c>
      <c r="E34" s="545">
        <v>40953.0</v>
      </c>
      <c r="F34" s="47" t="s">
        <v>354</v>
      </c>
      <c r="G34" s="46" t="s">
        <v>8</v>
      </c>
      <c r="H34" s="48" t="s">
        <v>7</v>
      </c>
      <c r="I34" s="235" t="s">
        <v>354</v>
      </c>
      <c r="J34" s="235" t="s">
        <v>354</v>
      </c>
      <c r="K34" s="158">
        <v>1.0</v>
      </c>
      <c r="L34" s="158" t="s">
        <v>354</v>
      </c>
      <c r="M34" s="265"/>
      <c r="N34" s="265"/>
      <c r="O34" s="158" t="s">
        <v>473</v>
      </c>
      <c r="P34" s="723">
        <v>0.0</v>
      </c>
      <c r="Q34" s="166" t="s">
        <v>356</v>
      </c>
      <c r="R34" s="49">
        <v>0.0</v>
      </c>
      <c r="S34" s="49">
        <v>0.0</v>
      </c>
      <c r="T34" s="49">
        <v>0.0</v>
      </c>
      <c r="U34" s="49" t="s">
        <v>356</v>
      </c>
      <c r="V34" s="166" t="s">
        <v>354</v>
      </c>
      <c r="W34" s="49" t="s">
        <v>354</v>
      </c>
      <c r="X34" s="49" t="s">
        <v>354</v>
      </c>
      <c r="Y34" s="727" t="s">
        <v>356</v>
      </c>
      <c r="Z34" s="727" t="s">
        <v>354</v>
      </c>
      <c r="AA34" s="730" t="s">
        <v>361</v>
      </c>
      <c r="AB34" s="730" t="s">
        <v>361</v>
      </c>
      <c r="AC34" s="726" t="s">
        <v>365</v>
      </c>
      <c r="AD34" s="731" t="s">
        <v>1602</v>
      </c>
      <c r="AE34" s="367">
        <f t="shared" si="1"/>
        <v>1</v>
      </c>
      <c r="AF34" s="182"/>
      <c r="AG34" s="182"/>
      <c r="AH34" s="182"/>
      <c r="AI34" s="182"/>
      <c r="AJ34" s="80">
        <v>0.0</v>
      </c>
      <c r="AK34" s="80">
        <v>0.0</v>
      </c>
      <c r="AL34" s="224">
        <v>1.0</v>
      </c>
      <c r="AM34" s="80">
        <v>0.0</v>
      </c>
      <c r="AN34" s="80">
        <v>0.0</v>
      </c>
      <c r="AO34" s="224">
        <v>0.0</v>
      </c>
      <c r="AP34" s="80">
        <v>0.0</v>
      </c>
      <c r="AQ34" s="80">
        <v>0.0</v>
      </c>
      <c r="AR34" s="363">
        <f t="shared" si="2"/>
        <v>1</v>
      </c>
      <c r="AS34" s="363">
        <f t="shared" si="3"/>
        <v>1</v>
      </c>
    </row>
    <row r="35">
      <c r="A35" s="235">
        <v>37.0</v>
      </c>
      <c r="B35" s="201" t="s">
        <v>1897</v>
      </c>
      <c r="C35" s="136" t="s">
        <v>84</v>
      </c>
      <c r="D35" s="697" t="s">
        <v>474</v>
      </c>
      <c r="E35" s="545">
        <v>40953.0</v>
      </c>
      <c r="F35" s="47" t="s">
        <v>354</v>
      </c>
      <c r="G35" s="46" t="s">
        <v>67</v>
      </c>
      <c r="H35" s="48" t="s">
        <v>7</v>
      </c>
      <c r="I35" s="235" t="s">
        <v>354</v>
      </c>
      <c r="J35" s="235" t="s">
        <v>354</v>
      </c>
      <c r="K35" s="179">
        <v>1.0</v>
      </c>
      <c r="L35" s="179" t="s">
        <v>354</v>
      </c>
      <c r="M35" s="265"/>
      <c r="N35" s="265"/>
      <c r="O35" s="179" t="s">
        <v>485</v>
      </c>
      <c r="P35" s="723">
        <v>0.0</v>
      </c>
      <c r="Q35" s="166" t="s">
        <v>356</v>
      </c>
      <c r="R35" s="49">
        <v>0.0</v>
      </c>
      <c r="S35" s="49">
        <v>0.0</v>
      </c>
      <c r="T35" s="49">
        <v>0.0</v>
      </c>
      <c r="U35" s="49" t="s">
        <v>356</v>
      </c>
      <c r="V35" s="166" t="s">
        <v>354</v>
      </c>
      <c r="W35" s="49" t="s">
        <v>356</v>
      </c>
      <c r="X35" s="49" t="s">
        <v>354</v>
      </c>
      <c r="Y35" s="729" t="s">
        <v>361</v>
      </c>
      <c r="Z35" s="729" t="s">
        <v>361</v>
      </c>
      <c r="AA35" s="730" t="s">
        <v>361</v>
      </c>
      <c r="AB35" s="730" t="s">
        <v>361</v>
      </c>
      <c r="AC35" s="728" t="s">
        <v>356</v>
      </c>
      <c r="AD35" s="728" t="s">
        <v>354</v>
      </c>
      <c r="AE35" s="46">
        <f t="shared" si="1"/>
        <v>0</v>
      </c>
      <c r="AF35" s="182"/>
      <c r="AG35" s="182"/>
      <c r="AH35" s="182"/>
      <c r="AI35" s="182"/>
      <c r="AJ35" s="80">
        <v>0.0</v>
      </c>
      <c r="AK35" s="80">
        <v>0.0</v>
      </c>
      <c r="AL35" s="80">
        <v>0.0</v>
      </c>
      <c r="AM35" s="80">
        <v>0.0</v>
      </c>
      <c r="AN35" s="80">
        <v>0.0</v>
      </c>
      <c r="AO35" s="224">
        <v>0.0</v>
      </c>
      <c r="AP35" s="80">
        <v>0.0</v>
      </c>
      <c r="AQ35" s="80">
        <v>0.0</v>
      </c>
      <c r="AR35" s="182">
        <f t="shared" si="2"/>
        <v>0</v>
      </c>
      <c r="AS35" s="182">
        <f t="shared" si="3"/>
        <v>0</v>
      </c>
    </row>
    <row r="36">
      <c r="A36" s="235">
        <v>38.0</v>
      </c>
      <c r="B36" s="690" t="s">
        <v>1898</v>
      </c>
      <c r="C36" s="714" t="s">
        <v>101</v>
      </c>
      <c r="D36" s="716" t="s">
        <v>518</v>
      </c>
      <c r="E36" s="545">
        <v>40953.0</v>
      </c>
      <c r="F36" s="47" t="s">
        <v>354</v>
      </c>
      <c r="G36" s="46" t="s">
        <v>8</v>
      </c>
      <c r="H36" s="48" t="s">
        <v>7</v>
      </c>
      <c r="I36" s="235" t="s">
        <v>354</v>
      </c>
      <c r="J36" s="235" t="s">
        <v>354</v>
      </c>
      <c r="K36" s="184">
        <v>0.0</v>
      </c>
      <c r="L36" s="184" t="s">
        <v>354</v>
      </c>
      <c r="M36" s="265"/>
      <c r="N36" s="265"/>
      <c r="O36" s="184" t="s">
        <v>371</v>
      </c>
      <c r="P36" s="750">
        <v>43.0771894918745</v>
      </c>
      <c r="Q36" s="26" t="s">
        <v>357</v>
      </c>
      <c r="R36" s="49">
        <v>0.0</v>
      </c>
      <c r="S36" s="49">
        <v>0.0</v>
      </c>
      <c r="T36" s="49">
        <v>0.0</v>
      </c>
      <c r="U36" s="49" t="s">
        <v>356</v>
      </c>
      <c r="V36" s="166" t="s">
        <v>354</v>
      </c>
      <c r="W36" s="56" t="s">
        <v>365</v>
      </c>
      <c r="X36" s="26" t="s">
        <v>1646</v>
      </c>
      <c r="Y36" s="727" t="s">
        <v>356</v>
      </c>
      <c r="Z36" s="727" t="s">
        <v>354</v>
      </c>
      <c r="AA36" s="730" t="s">
        <v>361</v>
      </c>
      <c r="AB36" s="730" t="s">
        <v>361</v>
      </c>
      <c r="AC36" s="726" t="s">
        <v>365</v>
      </c>
      <c r="AD36" s="42" t="s">
        <v>1791</v>
      </c>
      <c r="AE36" s="357">
        <f t="shared" si="1"/>
        <v>2</v>
      </c>
      <c r="AF36" s="182"/>
      <c r="AG36" s="182"/>
      <c r="AH36" s="182"/>
      <c r="AI36" s="182"/>
      <c r="AJ36" s="80">
        <v>0.0</v>
      </c>
      <c r="AK36" s="80">
        <v>0.0</v>
      </c>
      <c r="AL36" s="80">
        <v>0.0</v>
      </c>
      <c r="AM36" s="80">
        <v>0.0</v>
      </c>
      <c r="AN36" s="80">
        <v>0.0</v>
      </c>
      <c r="AO36" s="224">
        <v>1.0</v>
      </c>
      <c r="AP36" s="80">
        <v>0.0</v>
      </c>
      <c r="AQ36" s="80">
        <v>0.0</v>
      </c>
      <c r="AR36" s="358">
        <f t="shared" si="2"/>
        <v>1</v>
      </c>
      <c r="AS36" s="358">
        <f t="shared" si="3"/>
        <v>1</v>
      </c>
    </row>
    <row r="37">
      <c r="A37" s="235">
        <v>39.0</v>
      </c>
      <c r="B37" s="717" t="s">
        <v>105</v>
      </c>
      <c r="C37" s="684" t="s">
        <v>105</v>
      </c>
      <c r="D37" s="685" t="s">
        <v>522</v>
      </c>
      <c r="E37" s="545">
        <v>40953.0</v>
      </c>
      <c r="F37" s="47" t="s">
        <v>354</v>
      </c>
      <c r="G37" s="46" t="s">
        <v>67</v>
      </c>
      <c r="H37" s="48" t="s">
        <v>7</v>
      </c>
      <c r="I37" s="235" t="s">
        <v>354</v>
      </c>
      <c r="J37" s="235" t="s">
        <v>354</v>
      </c>
      <c r="K37" s="158">
        <v>1.0</v>
      </c>
      <c r="L37" s="158" t="s">
        <v>530</v>
      </c>
      <c r="M37" s="265"/>
      <c r="N37" s="265"/>
      <c r="O37" s="158" t="s">
        <v>529</v>
      </c>
      <c r="P37" s="721">
        <v>32.8461540392762</v>
      </c>
      <c r="Q37" s="731" t="s">
        <v>358</v>
      </c>
      <c r="R37" s="49">
        <v>0.0</v>
      </c>
      <c r="S37" s="49">
        <v>0.0</v>
      </c>
      <c r="T37" s="49">
        <v>0.0</v>
      </c>
      <c r="U37" s="49" t="s">
        <v>356</v>
      </c>
      <c r="V37" s="166" t="s">
        <v>354</v>
      </c>
      <c r="W37" s="49" t="s">
        <v>356</v>
      </c>
      <c r="X37" s="49" t="s">
        <v>354</v>
      </c>
      <c r="Y37" s="727" t="s">
        <v>356</v>
      </c>
      <c r="Z37" s="727" t="s">
        <v>354</v>
      </c>
      <c r="AA37" s="730" t="s">
        <v>361</v>
      </c>
      <c r="AB37" s="730" t="s">
        <v>361</v>
      </c>
      <c r="AC37" s="726" t="s">
        <v>365</v>
      </c>
      <c r="AD37" s="731" t="s">
        <v>1602</v>
      </c>
      <c r="AE37" s="357">
        <f t="shared" si="1"/>
        <v>2</v>
      </c>
      <c r="AF37" s="182"/>
      <c r="AG37" s="182"/>
      <c r="AH37" s="182"/>
      <c r="AI37" s="182"/>
      <c r="AJ37" s="80">
        <v>0.0</v>
      </c>
      <c r="AK37" s="80">
        <v>0.0</v>
      </c>
      <c r="AL37" s="224">
        <v>1.0</v>
      </c>
      <c r="AM37" s="80">
        <v>0.0</v>
      </c>
      <c r="AN37" s="80">
        <v>0.0</v>
      </c>
      <c r="AO37" s="224">
        <v>0.0</v>
      </c>
      <c r="AP37" s="80">
        <v>0.0</v>
      </c>
      <c r="AQ37" s="80">
        <v>0.0</v>
      </c>
      <c r="AR37" s="358">
        <f t="shared" si="2"/>
        <v>1</v>
      </c>
      <c r="AS37" s="358">
        <f t="shared" si="3"/>
        <v>1</v>
      </c>
    </row>
    <row r="38">
      <c r="A38" s="235">
        <v>40.0</v>
      </c>
      <c r="B38" s="717" t="s">
        <v>1899</v>
      </c>
      <c r="C38" s="684" t="s">
        <v>109</v>
      </c>
      <c r="D38" s="685" t="s">
        <v>536</v>
      </c>
      <c r="E38" s="545">
        <v>40953.0</v>
      </c>
      <c r="F38" s="47" t="s">
        <v>354</v>
      </c>
      <c r="G38" s="46" t="s">
        <v>8</v>
      </c>
      <c r="H38" s="63" t="s">
        <v>7</v>
      </c>
      <c r="I38" s="235" t="s">
        <v>354</v>
      </c>
      <c r="J38" s="235" t="s">
        <v>354</v>
      </c>
      <c r="K38" s="158">
        <v>1.0</v>
      </c>
      <c r="L38" s="158" t="s">
        <v>538</v>
      </c>
      <c r="M38" s="265"/>
      <c r="N38" s="265"/>
      <c r="O38" s="158" t="s">
        <v>455</v>
      </c>
      <c r="P38" s="723">
        <v>0.0</v>
      </c>
      <c r="Q38" s="166" t="s">
        <v>356</v>
      </c>
      <c r="R38" s="49">
        <v>0.0</v>
      </c>
      <c r="S38" s="49">
        <v>0.0</v>
      </c>
      <c r="T38" s="49">
        <v>0.0</v>
      </c>
      <c r="U38" s="49" t="s">
        <v>356</v>
      </c>
      <c r="V38" s="166" t="s">
        <v>354</v>
      </c>
      <c r="W38" s="49" t="s">
        <v>356</v>
      </c>
      <c r="X38" s="49" t="s">
        <v>354</v>
      </c>
      <c r="Y38" s="724" t="s">
        <v>365</v>
      </c>
      <c r="Z38" s="26" t="s">
        <v>1646</v>
      </c>
      <c r="AA38" s="677" t="s">
        <v>365</v>
      </c>
      <c r="AB38" s="42" t="s">
        <v>357</v>
      </c>
      <c r="AC38" s="726" t="s">
        <v>365</v>
      </c>
      <c r="AD38" s="42" t="s">
        <v>1791</v>
      </c>
      <c r="AE38" s="357">
        <f t="shared" si="1"/>
        <v>3</v>
      </c>
      <c r="AF38" s="182"/>
      <c r="AG38" s="182"/>
      <c r="AH38" s="182"/>
      <c r="AI38" s="182"/>
      <c r="AJ38" s="80">
        <v>0.0</v>
      </c>
      <c r="AK38" s="80">
        <v>0.0</v>
      </c>
      <c r="AL38" s="80">
        <v>0.0</v>
      </c>
      <c r="AM38" s="80">
        <v>0.0</v>
      </c>
      <c r="AN38" s="80">
        <v>0.0</v>
      </c>
      <c r="AO38" s="224">
        <v>3.0</v>
      </c>
      <c r="AP38" s="80">
        <v>0.0</v>
      </c>
      <c r="AQ38" s="80">
        <v>0.0</v>
      </c>
      <c r="AR38" s="358">
        <f t="shared" si="2"/>
        <v>3</v>
      </c>
      <c r="AS38" s="358">
        <f t="shared" si="3"/>
        <v>1</v>
      </c>
    </row>
    <row r="39">
      <c r="A39" s="235">
        <v>41.0</v>
      </c>
      <c r="B39" s="717" t="s">
        <v>1900</v>
      </c>
      <c r="C39" s="684" t="s">
        <v>117</v>
      </c>
      <c r="D39" s="685" t="s">
        <v>546</v>
      </c>
      <c r="E39" s="545">
        <v>40953.0</v>
      </c>
      <c r="F39" s="47" t="s">
        <v>354</v>
      </c>
      <c r="G39" s="46" t="s">
        <v>8</v>
      </c>
      <c r="H39" s="48" t="s">
        <v>7</v>
      </c>
      <c r="I39" s="235" t="s">
        <v>354</v>
      </c>
      <c r="J39" s="235" t="s">
        <v>354</v>
      </c>
      <c r="K39" s="158">
        <v>2.0</v>
      </c>
      <c r="L39" s="158" t="s">
        <v>549</v>
      </c>
      <c r="M39" s="265"/>
      <c r="N39" s="265"/>
      <c r="O39" s="158" t="s">
        <v>398</v>
      </c>
      <c r="P39" s="723">
        <v>0.0</v>
      </c>
      <c r="Q39" s="166" t="s">
        <v>356</v>
      </c>
      <c r="R39" s="49">
        <v>0.0</v>
      </c>
      <c r="S39" s="49">
        <v>0.0</v>
      </c>
      <c r="T39" s="49">
        <v>0.0</v>
      </c>
      <c r="U39" s="49" t="s">
        <v>356</v>
      </c>
      <c r="V39" s="166" t="s">
        <v>354</v>
      </c>
      <c r="W39" s="49" t="s">
        <v>356</v>
      </c>
      <c r="X39" s="49" t="s">
        <v>354</v>
      </c>
      <c r="Y39" s="727" t="s">
        <v>356</v>
      </c>
      <c r="Z39" s="727" t="s">
        <v>354</v>
      </c>
      <c r="AA39" s="730" t="s">
        <v>361</v>
      </c>
      <c r="AB39" s="730" t="s">
        <v>361</v>
      </c>
      <c r="AC39" s="726" t="s">
        <v>365</v>
      </c>
      <c r="AD39" s="42" t="s">
        <v>1791</v>
      </c>
      <c r="AE39" s="367">
        <f t="shared" si="1"/>
        <v>1</v>
      </c>
      <c r="AF39" s="182"/>
      <c r="AG39" s="182"/>
      <c r="AH39" s="182"/>
      <c r="AI39" s="182"/>
      <c r="AJ39" s="80">
        <v>0.0</v>
      </c>
      <c r="AK39" s="80">
        <v>0.0</v>
      </c>
      <c r="AL39" s="80">
        <v>0.0</v>
      </c>
      <c r="AM39" s="80">
        <v>0.0</v>
      </c>
      <c r="AN39" s="80">
        <v>0.0</v>
      </c>
      <c r="AO39" s="224">
        <v>1.0</v>
      </c>
      <c r="AP39" s="80">
        <v>0.0</v>
      </c>
      <c r="AQ39" s="80">
        <v>0.0</v>
      </c>
      <c r="AR39" s="363">
        <f t="shared" si="2"/>
        <v>1</v>
      </c>
      <c r="AS39" s="363">
        <f t="shared" si="3"/>
        <v>1</v>
      </c>
    </row>
    <row r="40">
      <c r="A40" s="235">
        <v>42.0</v>
      </c>
      <c r="B40" s="717" t="s">
        <v>120</v>
      </c>
      <c r="C40" s="717" t="s">
        <v>120</v>
      </c>
      <c r="D40" s="692" t="s">
        <v>552</v>
      </c>
      <c r="E40" s="545">
        <v>40953.0</v>
      </c>
      <c r="F40" s="47" t="s">
        <v>354</v>
      </c>
      <c r="G40" s="46" t="s">
        <v>8</v>
      </c>
      <c r="H40" s="63" t="s">
        <v>7</v>
      </c>
      <c r="I40" s="235" t="s">
        <v>354</v>
      </c>
      <c r="J40" s="235" t="s">
        <v>354</v>
      </c>
      <c r="K40" s="158">
        <v>0.0</v>
      </c>
      <c r="L40" s="158" t="s">
        <v>555</v>
      </c>
      <c r="M40" s="265"/>
      <c r="N40" s="265"/>
      <c r="O40" s="158" t="s">
        <v>556</v>
      </c>
      <c r="P40" s="723">
        <v>0.0</v>
      </c>
      <c r="Q40" s="166" t="s">
        <v>356</v>
      </c>
      <c r="R40" s="49">
        <v>0.0</v>
      </c>
      <c r="S40" s="49">
        <v>0.0</v>
      </c>
      <c r="T40" s="49">
        <v>0.0</v>
      </c>
      <c r="U40" s="49" t="s">
        <v>356</v>
      </c>
      <c r="V40" s="166" t="s">
        <v>354</v>
      </c>
      <c r="W40" s="49" t="s">
        <v>356</v>
      </c>
      <c r="X40" s="49" t="s">
        <v>354</v>
      </c>
      <c r="Y40" s="727" t="s">
        <v>356</v>
      </c>
      <c r="Z40" s="727" t="s">
        <v>354</v>
      </c>
      <c r="AA40" s="730" t="s">
        <v>361</v>
      </c>
      <c r="AB40" s="730" t="s">
        <v>361</v>
      </c>
      <c r="AC40" s="728" t="s">
        <v>356</v>
      </c>
      <c r="AD40" s="728" t="s">
        <v>354</v>
      </c>
      <c r="AE40" s="46">
        <f t="shared" si="1"/>
        <v>0</v>
      </c>
      <c r="AF40" s="182"/>
      <c r="AG40" s="182"/>
      <c r="AH40" s="182"/>
      <c r="AI40" s="182"/>
      <c r="AJ40" s="80">
        <v>0.0</v>
      </c>
      <c r="AK40" s="80">
        <v>0.0</v>
      </c>
      <c r="AL40" s="80">
        <v>0.0</v>
      </c>
      <c r="AM40" s="80">
        <v>0.0</v>
      </c>
      <c r="AN40" s="80">
        <v>0.0</v>
      </c>
      <c r="AO40" s="224">
        <v>0.0</v>
      </c>
      <c r="AP40" s="80">
        <v>0.0</v>
      </c>
      <c r="AQ40" s="80">
        <v>0.0</v>
      </c>
      <c r="AR40" s="182">
        <f t="shared" si="2"/>
        <v>0</v>
      </c>
      <c r="AS40" s="182">
        <f t="shared" si="3"/>
        <v>0</v>
      </c>
    </row>
    <row r="41">
      <c r="A41" s="235">
        <v>43.0</v>
      </c>
      <c r="B41" s="690" t="s">
        <v>1901</v>
      </c>
      <c r="C41" s="271" t="s">
        <v>129</v>
      </c>
      <c r="D41" s="687" t="s">
        <v>564</v>
      </c>
      <c r="E41" s="545">
        <v>40953.0</v>
      </c>
      <c r="F41" s="47" t="s">
        <v>354</v>
      </c>
      <c r="G41" s="46" t="s">
        <v>8</v>
      </c>
      <c r="H41" s="48" t="s">
        <v>7</v>
      </c>
      <c r="I41" s="235" t="s">
        <v>354</v>
      </c>
      <c r="J41" s="235" t="s">
        <v>354</v>
      </c>
      <c r="K41" s="184">
        <v>0.0</v>
      </c>
      <c r="L41" s="184" t="s">
        <v>568</v>
      </c>
      <c r="M41" s="265"/>
      <c r="N41" s="265"/>
      <c r="O41" s="184" t="s">
        <v>371</v>
      </c>
      <c r="P41" s="723">
        <v>0.0</v>
      </c>
      <c r="Q41" s="722" t="s">
        <v>361</v>
      </c>
      <c r="R41" s="49">
        <v>0.0</v>
      </c>
      <c r="S41" s="49">
        <v>0.0</v>
      </c>
      <c r="T41" s="49">
        <v>0.0</v>
      </c>
      <c r="U41" s="49" t="s">
        <v>356</v>
      </c>
      <c r="V41" s="166" t="s">
        <v>354</v>
      </c>
      <c r="W41" s="49" t="s">
        <v>356</v>
      </c>
      <c r="X41" s="49" t="s">
        <v>354</v>
      </c>
      <c r="Y41" s="727" t="s">
        <v>356</v>
      </c>
      <c r="Z41" s="727" t="s">
        <v>354</v>
      </c>
      <c r="AA41" s="730" t="s">
        <v>361</v>
      </c>
      <c r="AB41" s="730" t="s">
        <v>361</v>
      </c>
      <c r="AC41" s="728" t="s">
        <v>356</v>
      </c>
      <c r="AD41" s="728" t="s">
        <v>354</v>
      </c>
      <c r="AE41" s="46">
        <f t="shared" si="1"/>
        <v>0</v>
      </c>
      <c r="AF41" s="182"/>
      <c r="AG41" s="182"/>
      <c r="AH41" s="182"/>
      <c r="AI41" s="182"/>
      <c r="AJ41" s="80">
        <v>0.0</v>
      </c>
      <c r="AK41" s="80">
        <v>0.0</v>
      </c>
      <c r="AL41" s="80">
        <v>0.0</v>
      </c>
      <c r="AM41" s="80">
        <v>0.0</v>
      </c>
      <c r="AN41" s="80">
        <v>0.0</v>
      </c>
      <c r="AO41" s="224">
        <v>0.0</v>
      </c>
      <c r="AP41" s="80">
        <v>0.0</v>
      </c>
      <c r="AQ41" s="80">
        <v>0.0</v>
      </c>
      <c r="AR41" s="182">
        <f t="shared" si="2"/>
        <v>0</v>
      </c>
      <c r="AS41" s="182">
        <f t="shared" si="3"/>
        <v>0</v>
      </c>
    </row>
    <row r="42">
      <c r="A42" s="235">
        <v>44.0</v>
      </c>
      <c r="B42" s="717" t="s">
        <v>135</v>
      </c>
      <c r="C42" s="684" t="s">
        <v>135</v>
      </c>
      <c r="D42" s="692" t="s">
        <v>596</v>
      </c>
      <c r="E42" s="545">
        <v>40953.0</v>
      </c>
      <c r="F42" s="47" t="s">
        <v>354</v>
      </c>
      <c r="G42" s="46" t="s">
        <v>67</v>
      </c>
      <c r="H42" s="48" t="s">
        <v>7</v>
      </c>
      <c r="I42" s="235" t="s">
        <v>354</v>
      </c>
      <c r="J42" s="235" t="s">
        <v>354</v>
      </c>
      <c r="K42" s="158">
        <v>3.0</v>
      </c>
      <c r="L42" s="158" t="s">
        <v>601</v>
      </c>
      <c r="M42" s="265"/>
      <c r="N42" s="265"/>
      <c r="O42" s="158" t="s">
        <v>600</v>
      </c>
      <c r="P42" s="723">
        <v>0.0</v>
      </c>
      <c r="Q42" s="166" t="s">
        <v>356</v>
      </c>
      <c r="R42" s="49">
        <v>0.0</v>
      </c>
      <c r="S42" s="49">
        <v>0.0</v>
      </c>
      <c r="T42" s="49">
        <v>0.0</v>
      </c>
      <c r="U42" s="49" t="s">
        <v>356</v>
      </c>
      <c r="V42" s="166" t="s">
        <v>354</v>
      </c>
      <c r="W42" s="49" t="s">
        <v>356</v>
      </c>
      <c r="X42" s="49" t="s">
        <v>354</v>
      </c>
      <c r="Y42" s="729" t="s">
        <v>361</v>
      </c>
      <c r="Z42" s="729" t="s">
        <v>361</v>
      </c>
      <c r="AA42" s="730" t="s">
        <v>361</v>
      </c>
      <c r="AB42" s="730" t="s">
        <v>361</v>
      </c>
      <c r="AC42" s="728" t="s">
        <v>356</v>
      </c>
      <c r="AD42" s="728" t="s">
        <v>354</v>
      </c>
      <c r="AE42" s="46">
        <f t="shared" si="1"/>
        <v>0</v>
      </c>
      <c r="AF42" s="182"/>
      <c r="AG42" s="182"/>
      <c r="AH42" s="182"/>
      <c r="AI42" s="182"/>
      <c r="AJ42" s="80">
        <v>0.0</v>
      </c>
      <c r="AK42" s="80">
        <v>0.0</v>
      </c>
      <c r="AL42" s="80">
        <v>0.0</v>
      </c>
      <c r="AM42" s="80">
        <v>0.0</v>
      </c>
      <c r="AN42" s="80">
        <v>0.0</v>
      </c>
      <c r="AO42" s="224">
        <v>0.0</v>
      </c>
      <c r="AP42" s="80">
        <v>0.0</v>
      </c>
      <c r="AQ42" s="80">
        <v>0.0</v>
      </c>
      <c r="AR42" s="182">
        <f t="shared" si="2"/>
        <v>0</v>
      </c>
      <c r="AS42" s="182">
        <f t="shared" si="3"/>
        <v>0</v>
      </c>
    </row>
    <row r="43">
      <c r="A43" s="235">
        <v>45.0</v>
      </c>
      <c r="B43" s="717" t="s">
        <v>1902</v>
      </c>
      <c r="C43" s="684" t="s">
        <v>152</v>
      </c>
      <c r="D43" s="685" t="s">
        <v>629</v>
      </c>
      <c r="E43" s="545">
        <v>40953.0</v>
      </c>
      <c r="F43" s="47" t="s">
        <v>354</v>
      </c>
      <c r="G43" s="46" t="s">
        <v>8</v>
      </c>
      <c r="H43" s="63" t="s">
        <v>7</v>
      </c>
      <c r="I43" s="235" t="s">
        <v>354</v>
      </c>
      <c r="J43" s="235" t="s">
        <v>354</v>
      </c>
      <c r="K43" s="158">
        <v>3.0</v>
      </c>
      <c r="L43" s="158" t="s">
        <v>635</v>
      </c>
      <c r="M43" s="265"/>
      <c r="N43" s="265"/>
      <c r="O43" s="158" t="s">
        <v>600</v>
      </c>
      <c r="P43" s="723">
        <v>0.0</v>
      </c>
      <c r="Q43" s="166" t="s">
        <v>356</v>
      </c>
      <c r="R43" s="49">
        <v>0.0</v>
      </c>
      <c r="S43" s="49">
        <v>0.0</v>
      </c>
      <c r="T43" s="49">
        <v>0.0</v>
      </c>
      <c r="U43" s="49" t="s">
        <v>356</v>
      </c>
      <c r="V43" s="166" t="s">
        <v>354</v>
      </c>
      <c r="W43" s="49" t="s">
        <v>356</v>
      </c>
      <c r="X43" s="49" t="s">
        <v>354</v>
      </c>
      <c r="Y43" s="727" t="s">
        <v>356</v>
      </c>
      <c r="Z43" s="727" t="s">
        <v>354</v>
      </c>
      <c r="AA43" s="730" t="s">
        <v>361</v>
      </c>
      <c r="AB43" s="730" t="s">
        <v>361</v>
      </c>
      <c r="AC43" s="728" t="s">
        <v>356</v>
      </c>
      <c r="AD43" s="728" t="s">
        <v>354</v>
      </c>
      <c r="AE43" s="46">
        <f t="shared" si="1"/>
        <v>0</v>
      </c>
      <c r="AF43" s="182"/>
      <c r="AG43" s="182"/>
      <c r="AH43" s="182"/>
      <c r="AI43" s="182"/>
      <c r="AJ43" s="80">
        <v>0.0</v>
      </c>
      <c r="AK43" s="80">
        <v>0.0</v>
      </c>
      <c r="AL43" s="80">
        <v>0.0</v>
      </c>
      <c r="AM43" s="80">
        <v>0.0</v>
      </c>
      <c r="AN43" s="80">
        <v>0.0</v>
      </c>
      <c r="AO43" s="224">
        <v>0.0</v>
      </c>
      <c r="AP43" s="80">
        <v>0.0</v>
      </c>
      <c r="AQ43" s="80">
        <v>0.0</v>
      </c>
      <c r="AR43" s="182">
        <f t="shared" si="2"/>
        <v>0</v>
      </c>
      <c r="AS43" s="182">
        <f t="shared" si="3"/>
        <v>0</v>
      </c>
    </row>
    <row r="44">
      <c r="A44" s="235">
        <v>46.0</v>
      </c>
      <c r="B44" s="690" t="s">
        <v>168</v>
      </c>
      <c r="C44" s="690" t="s">
        <v>168</v>
      </c>
      <c r="D44" s="711" t="s">
        <v>656</v>
      </c>
      <c r="E44" s="545">
        <v>40953.0</v>
      </c>
      <c r="F44" s="47" t="s">
        <v>354</v>
      </c>
      <c r="G44" s="46" t="s">
        <v>8</v>
      </c>
      <c r="H44" s="48" t="s">
        <v>7</v>
      </c>
      <c r="I44" s="235" t="s">
        <v>354</v>
      </c>
      <c r="J44" s="235" t="s">
        <v>354</v>
      </c>
      <c r="K44" s="184">
        <v>0.0</v>
      </c>
      <c r="L44" s="184" t="s">
        <v>354</v>
      </c>
      <c r="M44" s="265"/>
      <c r="N44" s="265"/>
      <c r="O44" s="184" t="s">
        <v>371</v>
      </c>
      <c r="P44" s="723">
        <v>0.0</v>
      </c>
      <c r="Q44" s="166" t="s">
        <v>356</v>
      </c>
      <c r="R44" s="49">
        <v>0.0</v>
      </c>
      <c r="S44" s="49">
        <v>0.0</v>
      </c>
      <c r="T44" s="49">
        <v>0.0</v>
      </c>
      <c r="U44" s="49" t="s">
        <v>356</v>
      </c>
      <c r="V44" s="166" t="s">
        <v>354</v>
      </c>
      <c r="W44" s="49" t="s">
        <v>356</v>
      </c>
      <c r="X44" s="49" t="s">
        <v>354</v>
      </c>
      <c r="Y44" s="727" t="s">
        <v>356</v>
      </c>
      <c r="Z44" s="727" t="s">
        <v>354</v>
      </c>
      <c r="AA44" s="730" t="s">
        <v>361</v>
      </c>
      <c r="AB44" s="730" t="s">
        <v>361</v>
      </c>
      <c r="AC44" s="728" t="s">
        <v>356</v>
      </c>
      <c r="AD44" s="728" t="s">
        <v>354</v>
      </c>
      <c r="AE44" s="46">
        <f t="shared" si="1"/>
        <v>0</v>
      </c>
      <c r="AF44" s="182"/>
      <c r="AG44" s="182"/>
      <c r="AH44" s="182"/>
      <c r="AI44" s="182"/>
      <c r="AJ44" s="80">
        <v>0.0</v>
      </c>
      <c r="AK44" s="80">
        <v>0.0</v>
      </c>
      <c r="AL44" s="80">
        <v>0.0</v>
      </c>
      <c r="AM44" s="80">
        <v>0.0</v>
      </c>
      <c r="AN44" s="80">
        <v>0.0</v>
      </c>
      <c r="AO44" s="224">
        <v>0.0</v>
      </c>
      <c r="AP44" s="80">
        <v>0.0</v>
      </c>
      <c r="AQ44" s="80">
        <v>0.0</v>
      </c>
      <c r="AR44" s="182">
        <f t="shared" si="2"/>
        <v>0</v>
      </c>
      <c r="AS44" s="182">
        <f t="shared" si="3"/>
        <v>0</v>
      </c>
    </row>
    <row r="45">
      <c r="A45" s="235">
        <v>47.0</v>
      </c>
      <c r="B45" s="717" t="s">
        <v>171</v>
      </c>
      <c r="C45" s="684" t="s">
        <v>171</v>
      </c>
      <c r="D45" s="685" t="s">
        <v>658</v>
      </c>
      <c r="E45" s="545">
        <v>40953.0</v>
      </c>
      <c r="F45" s="47" t="s">
        <v>354</v>
      </c>
      <c r="G45" s="46" t="s">
        <v>67</v>
      </c>
      <c r="H45" s="48" t="s">
        <v>7</v>
      </c>
      <c r="I45" s="235" t="s">
        <v>354</v>
      </c>
      <c r="J45" s="235" t="s">
        <v>354</v>
      </c>
      <c r="K45" s="158">
        <v>4.0</v>
      </c>
      <c r="L45" s="158" t="s">
        <v>663</v>
      </c>
      <c r="M45" s="47" t="s">
        <v>354</v>
      </c>
      <c r="O45" s="158" t="s">
        <v>664</v>
      </c>
      <c r="P45" s="723">
        <v>0.0</v>
      </c>
      <c r="Q45" s="722" t="s">
        <v>361</v>
      </c>
      <c r="R45" s="49">
        <v>0.0</v>
      </c>
      <c r="S45" s="49">
        <v>0.0</v>
      </c>
      <c r="T45" s="49">
        <v>0.0</v>
      </c>
      <c r="U45" s="49" t="s">
        <v>356</v>
      </c>
      <c r="V45" s="166" t="s">
        <v>354</v>
      </c>
      <c r="W45" s="49" t="s">
        <v>356</v>
      </c>
      <c r="X45" s="49" t="s">
        <v>354</v>
      </c>
      <c r="Y45" s="729" t="s">
        <v>361</v>
      </c>
      <c r="Z45" s="729" t="s">
        <v>361</v>
      </c>
      <c r="AA45" s="730" t="s">
        <v>361</v>
      </c>
      <c r="AB45" s="730" t="s">
        <v>361</v>
      </c>
      <c r="AC45" s="728" t="s">
        <v>356</v>
      </c>
      <c r="AD45" s="728" t="s">
        <v>354</v>
      </c>
      <c r="AE45" s="46">
        <f t="shared" si="1"/>
        <v>0</v>
      </c>
      <c r="AF45" s="182"/>
      <c r="AG45" s="182"/>
      <c r="AH45" s="182"/>
      <c r="AI45" s="182"/>
      <c r="AJ45" s="80">
        <v>0.0</v>
      </c>
      <c r="AK45" s="80">
        <v>0.0</v>
      </c>
      <c r="AL45" s="80">
        <v>0.0</v>
      </c>
      <c r="AM45" s="80">
        <v>0.0</v>
      </c>
      <c r="AN45" s="80">
        <v>0.0</v>
      </c>
      <c r="AO45" s="224">
        <v>0.0</v>
      </c>
      <c r="AP45" s="80">
        <v>0.0</v>
      </c>
      <c r="AQ45" s="80">
        <v>0.0</v>
      </c>
      <c r="AR45" s="182">
        <f t="shared" si="2"/>
        <v>0</v>
      </c>
      <c r="AS45" s="182">
        <f t="shared" si="3"/>
        <v>0</v>
      </c>
    </row>
    <row r="46" ht="13.5" customHeight="1">
      <c r="A46" s="235">
        <v>48.0</v>
      </c>
      <c r="B46" s="201" t="s">
        <v>1903</v>
      </c>
      <c r="C46" s="712" t="s">
        <v>180</v>
      </c>
      <c r="D46" s="713" t="s">
        <v>685</v>
      </c>
      <c r="E46" s="545">
        <v>40953.0</v>
      </c>
      <c r="F46" s="47" t="s">
        <v>354</v>
      </c>
      <c r="G46" s="46" t="s">
        <v>8</v>
      </c>
      <c r="H46" s="48" t="s">
        <v>7</v>
      </c>
      <c r="I46" s="235" t="s">
        <v>354</v>
      </c>
      <c r="J46" s="235" t="s">
        <v>354</v>
      </c>
      <c r="K46" s="179">
        <v>0.0</v>
      </c>
      <c r="L46" s="179" t="s">
        <v>1290</v>
      </c>
      <c r="M46" s="265"/>
      <c r="N46" s="265"/>
      <c r="O46" s="179" t="s">
        <v>690</v>
      </c>
      <c r="P46" s="723">
        <v>0.0</v>
      </c>
      <c r="Q46" s="51" t="s">
        <v>358</v>
      </c>
      <c r="R46" s="49">
        <v>0.0</v>
      </c>
      <c r="S46" s="49">
        <v>0.0</v>
      </c>
      <c r="T46" s="49">
        <v>0.0</v>
      </c>
      <c r="U46" s="49" t="s">
        <v>356</v>
      </c>
      <c r="V46" s="166" t="s">
        <v>354</v>
      </c>
      <c r="W46" s="56" t="s">
        <v>365</v>
      </c>
      <c r="X46" s="51" t="s">
        <v>1904</v>
      </c>
      <c r="Y46" s="724" t="s">
        <v>365</v>
      </c>
      <c r="Z46" s="26" t="s">
        <v>1646</v>
      </c>
      <c r="AA46" s="730" t="s">
        <v>361</v>
      </c>
      <c r="AB46" s="730" t="s">
        <v>361</v>
      </c>
      <c r="AC46" s="726" t="s">
        <v>365</v>
      </c>
      <c r="AD46" s="731" t="s">
        <v>1602</v>
      </c>
      <c r="AE46" s="357">
        <f t="shared" si="1"/>
        <v>2</v>
      </c>
      <c r="AF46" s="182"/>
      <c r="AG46" s="182"/>
      <c r="AH46" s="182"/>
      <c r="AI46" s="182"/>
      <c r="AJ46" s="80">
        <v>0.0</v>
      </c>
      <c r="AK46" s="80">
        <v>0.0</v>
      </c>
      <c r="AL46" s="224">
        <v>1.0</v>
      </c>
      <c r="AM46" s="80">
        <v>0.0</v>
      </c>
      <c r="AN46" s="80">
        <v>0.0</v>
      </c>
      <c r="AO46" s="224">
        <v>1.0</v>
      </c>
      <c r="AP46" s="80">
        <v>0.0</v>
      </c>
      <c r="AQ46" s="80">
        <v>0.0</v>
      </c>
      <c r="AR46" s="358">
        <f t="shared" si="2"/>
        <v>2</v>
      </c>
      <c r="AS46" s="358">
        <f t="shared" si="3"/>
        <v>2</v>
      </c>
    </row>
    <row r="47">
      <c r="A47" s="235">
        <v>49.0</v>
      </c>
      <c r="B47" s="201" t="s">
        <v>195</v>
      </c>
      <c r="C47" s="712" t="s">
        <v>195</v>
      </c>
      <c r="D47" s="713" t="s">
        <v>707</v>
      </c>
      <c r="E47" s="545">
        <v>40953.0</v>
      </c>
      <c r="F47" s="47" t="s">
        <v>354</v>
      </c>
      <c r="G47" s="46" t="s">
        <v>67</v>
      </c>
      <c r="H47" s="48" t="s">
        <v>7</v>
      </c>
      <c r="I47" s="235" t="s">
        <v>354</v>
      </c>
      <c r="J47" s="235" t="s">
        <v>354</v>
      </c>
      <c r="K47" s="179">
        <v>0.0</v>
      </c>
      <c r="L47" s="179" t="s">
        <v>354</v>
      </c>
      <c r="M47" s="265"/>
      <c r="N47" s="265"/>
      <c r="O47" s="179" t="s">
        <v>446</v>
      </c>
      <c r="P47" s="723">
        <v>0.0</v>
      </c>
      <c r="Q47" s="481" t="s">
        <v>356</v>
      </c>
      <c r="R47" s="49">
        <v>0.0</v>
      </c>
      <c r="S47" s="49">
        <v>0.0</v>
      </c>
      <c r="T47" s="49">
        <v>0.0</v>
      </c>
      <c r="U47" s="49" t="s">
        <v>356</v>
      </c>
      <c r="V47" s="166" t="s">
        <v>354</v>
      </c>
      <c r="W47" s="49" t="s">
        <v>356</v>
      </c>
      <c r="X47" s="49" t="s">
        <v>354</v>
      </c>
      <c r="Y47" s="727" t="s">
        <v>356</v>
      </c>
      <c r="Z47" s="727" t="s">
        <v>354</v>
      </c>
      <c r="AA47" s="730" t="s">
        <v>361</v>
      </c>
      <c r="AB47" s="730" t="s">
        <v>361</v>
      </c>
      <c r="AC47" s="726" t="s">
        <v>365</v>
      </c>
      <c r="AD47" s="42" t="s">
        <v>1791</v>
      </c>
      <c r="AE47" s="367">
        <f t="shared" si="1"/>
        <v>1</v>
      </c>
      <c r="AF47" s="182"/>
      <c r="AG47" s="182"/>
      <c r="AH47" s="182"/>
      <c r="AI47" s="182"/>
      <c r="AJ47" s="80">
        <v>0.0</v>
      </c>
      <c r="AK47" s="80">
        <v>0.0</v>
      </c>
      <c r="AL47" s="80">
        <v>0.0</v>
      </c>
      <c r="AM47" s="80">
        <v>0.0</v>
      </c>
      <c r="AN47" s="80">
        <v>0.0</v>
      </c>
      <c r="AO47" s="224">
        <v>1.0</v>
      </c>
      <c r="AP47" s="80">
        <v>0.0</v>
      </c>
      <c r="AQ47" s="80">
        <v>0.0</v>
      </c>
      <c r="AR47" s="363">
        <f t="shared" si="2"/>
        <v>1</v>
      </c>
      <c r="AS47" s="363">
        <f t="shared" si="3"/>
        <v>1</v>
      </c>
    </row>
    <row r="48">
      <c r="A48" s="235">
        <v>50.0</v>
      </c>
      <c r="B48" s="690" t="s">
        <v>1905</v>
      </c>
      <c r="C48" s="714" t="s">
        <v>201</v>
      </c>
      <c r="D48" s="711" t="s">
        <v>1622</v>
      </c>
      <c r="E48" s="545">
        <v>40953.0</v>
      </c>
      <c r="F48" s="47" t="s">
        <v>354</v>
      </c>
      <c r="G48" s="46" t="s">
        <v>67</v>
      </c>
      <c r="H48" s="48" t="s">
        <v>7</v>
      </c>
      <c r="I48" s="235" t="s">
        <v>354</v>
      </c>
      <c r="J48" s="235" t="s">
        <v>354</v>
      </c>
      <c r="K48" s="184">
        <v>0.0</v>
      </c>
      <c r="L48" s="184" t="s">
        <v>354</v>
      </c>
      <c r="M48" s="265"/>
      <c r="N48" s="265"/>
      <c r="O48" s="184" t="s">
        <v>371</v>
      </c>
      <c r="P48" s="723">
        <v>0.0</v>
      </c>
      <c r="Q48" s="481" t="s">
        <v>356</v>
      </c>
      <c r="R48" s="49">
        <v>0.0</v>
      </c>
      <c r="S48" s="49">
        <v>0.0</v>
      </c>
      <c r="T48" s="49">
        <v>0.0</v>
      </c>
      <c r="U48" s="49" t="s">
        <v>356</v>
      </c>
      <c r="V48" s="166" t="s">
        <v>354</v>
      </c>
      <c r="W48" s="49" t="s">
        <v>356</v>
      </c>
      <c r="X48" s="49" t="s">
        <v>354</v>
      </c>
      <c r="Y48" s="727" t="s">
        <v>356</v>
      </c>
      <c r="Z48" s="727" t="s">
        <v>354</v>
      </c>
      <c r="AA48" s="730" t="s">
        <v>361</v>
      </c>
      <c r="AB48" s="730" t="s">
        <v>361</v>
      </c>
      <c r="AC48" s="728" t="s">
        <v>356</v>
      </c>
      <c r="AD48" s="728" t="s">
        <v>354</v>
      </c>
      <c r="AE48" s="46">
        <f t="shared" si="1"/>
        <v>0</v>
      </c>
      <c r="AF48" s="182"/>
      <c r="AG48" s="182"/>
      <c r="AH48" s="182"/>
      <c r="AI48" s="182"/>
      <c r="AJ48" s="80">
        <v>0.0</v>
      </c>
      <c r="AK48" s="80">
        <v>0.0</v>
      </c>
      <c r="AL48" s="80">
        <v>0.0</v>
      </c>
      <c r="AM48" s="80">
        <v>0.0</v>
      </c>
      <c r="AN48" s="80">
        <v>0.0</v>
      </c>
      <c r="AO48" s="224">
        <v>0.0</v>
      </c>
      <c r="AP48" s="80">
        <v>0.0</v>
      </c>
      <c r="AQ48" s="80">
        <v>0.0</v>
      </c>
      <c r="AR48" s="182">
        <f t="shared" si="2"/>
        <v>0</v>
      </c>
      <c r="AS48" s="182">
        <f t="shared" si="3"/>
        <v>0</v>
      </c>
    </row>
    <row r="49">
      <c r="A49" s="235">
        <v>51.0</v>
      </c>
      <c r="B49" s="717" t="s">
        <v>204</v>
      </c>
      <c r="C49" s="717" t="s">
        <v>204</v>
      </c>
      <c r="D49" s="685" t="s">
        <v>725</v>
      </c>
      <c r="E49" s="545">
        <v>40953.0</v>
      </c>
      <c r="F49" s="47" t="s">
        <v>354</v>
      </c>
      <c r="G49" s="46" t="s">
        <v>67</v>
      </c>
      <c r="H49" s="63" t="s">
        <v>7</v>
      </c>
      <c r="I49" s="235" t="s">
        <v>354</v>
      </c>
      <c r="J49" s="235" t="s">
        <v>354</v>
      </c>
      <c r="K49" s="158">
        <v>3.0</v>
      </c>
      <c r="L49" s="158" t="s">
        <v>733</v>
      </c>
      <c r="M49" s="265"/>
      <c r="N49" s="265"/>
      <c r="O49" s="158" t="s">
        <v>600</v>
      </c>
      <c r="P49" s="723">
        <v>0.0</v>
      </c>
      <c r="Q49" s="481" t="s">
        <v>356</v>
      </c>
      <c r="R49" s="49">
        <v>0.0</v>
      </c>
      <c r="S49" s="49">
        <v>0.0</v>
      </c>
      <c r="T49" s="49">
        <v>0.0</v>
      </c>
      <c r="U49" s="49" t="s">
        <v>356</v>
      </c>
      <c r="V49" s="166" t="s">
        <v>354</v>
      </c>
      <c r="W49" s="49" t="s">
        <v>356</v>
      </c>
      <c r="X49" s="49" t="s">
        <v>354</v>
      </c>
      <c r="Y49" s="727" t="s">
        <v>356</v>
      </c>
      <c r="Z49" s="727" t="s">
        <v>354</v>
      </c>
      <c r="AA49" s="730" t="s">
        <v>361</v>
      </c>
      <c r="AB49" s="730" t="s">
        <v>361</v>
      </c>
      <c r="AC49" s="726" t="s">
        <v>365</v>
      </c>
      <c r="AD49" s="731" t="s">
        <v>1602</v>
      </c>
      <c r="AE49" s="367">
        <f t="shared" si="1"/>
        <v>1</v>
      </c>
      <c r="AF49" s="182"/>
      <c r="AG49" s="182"/>
      <c r="AH49" s="182"/>
      <c r="AI49" s="182"/>
      <c r="AJ49" s="80">
        <v>0.0</v>
      </c>
      <c r="AK49" s="80">
        <v>0.0</v>
      </c>
      <c r="AL49" s="224">
        <v>1.0</v>
      </c>
      <c r="AM49" s="80">
        <v>0.0</v>
      </c>
      <c r="AN49" s="80">
        <v>0.0</v>
      </c>
      <c r="AO49" s="224">
        <v>0.0</v>
      </c>
      <c r="AP49" s="80">
        <v>0.0</v>
      </c>
      <c r="AQ49" s="80">
        <v>0.0</v>
      </c>
      <c r="AR49" s="363">
        <f t="shared" si="2"/>
        <v>1</v>
      </c>
      <c r="AS49" s="363">
        <f t="shared" si="3"/>
        <v>1</v>
      </c>
    </row>
    <row r="50">
      <c r="A50" s="235">
        <v>52.0</v>
      </c>
      <c r="B50" s="717" t="s">
        <v>1906</v>
      </c>
      <c r="C50" s="684" t="s">
        <v>213</v>
      </c>
      <c r="D50" s="685" t="s">
        <v>753</v>
      </c>
      <c r="E50" s="545">
        <v>40953.0</v>
      </c>
      <c r="F50" s="47" t="s">
        <v>354</v>
      </c>
      <c r="G50" s="46" t="s">
        <v>67</v>
      </c>
      <c r="H50" s="48" t="s">
        <v>7</v>
      </c>
      <c r="I50" s="235" t="s">
        <v>354</v>
      </c>
      <c r="J50" s="235" t="s">
        <v>354</v>
      </c>
      <c r="K50" s="158">
        <v>2.0</v>
      </c>
      <c r="L50" s="158" t="s">
        <v>759</v>
      </c>
      <c r="M50" s="265"/>
      <c r="N50" s="265"/>
      <c r="O50" s="158" t="s">
        <v>398</v>
      </c>
      <c r="P50" s="723">
        <v>0.0</v>
      </c>
      <c r="Q50" s="481" t="s">
        <v>356</v>
      </c>
      <c r="R50" s="49">
        <v>0.0</v>
      </c>
      <c r="S50" s="49">
        <v>0.0</v>
      </c>
      <c r="T50" s="49">
        <v>0.0</v>
      </c>
      <c r="U50" s="49" t="s">
        <v>356</v>
      </c>
      <c r="V50" s="166" t="s">
        <v>354</v>
      </c>
      <c r="W50" s="49" t="s">
        <v>356</v>
      </c>
      <c r="X50" s="49" t="s">
        <v>354</v>
      </c>
      <c r="Y50" s="727" t="s">
        <v>356</v>
      </c>
      <c r="Z50" s="727" t="s">
        <v>354</v>
      </c>
      <c r="AA50" s="730" t="s">
        <v>361</v>
      </c>
      <c r="AB50" s="730" t="s">
        <v>361</v>
      </c>
      <c r="AC50" s="728" t="s">
        <v>356</v>
      </c>
      <c r="AD50" s="728" t="s">
        <v>354</v>
      </c>
      <c r="AE50" s="46">
        <f t="shared" si="1"/>
        <v>0</v>
      </c>
      <c r="AF50" s="182"/>
      <c r="AG50" s="182"/>
      <c r="AH50" s="182"/>
      <c r="AI50" s="182"/>
      <c r="AJ50" s="80">
        <v>0.0</v>
      </c>
      <c r="AK50" s="80">
        <v>0.0</v>
      </c>
      <c r="AL50" s="80">
        <v>0.0</v>
      </c>
      <c r="AM50" s="80">
        <v>0.0</v>
      </c>
      <c r="AN50" s="80">
        <v>0.0</v>
      </c>
      <c r="AO50" s="224">
        <v>0.0</v>
      </c>
      <c r="AP50" s="80">
        <v>0.0</v>
      </c>
      <c r="AQ50" s="80">
        <v>0.0</v>
      </c>
      <c r="AR50" s="182">
        <f t="shared" si="2"/>
        <v>0</v>
      </c>
      <c r="AS50" s="182">
        <f t="shared" si="3"/>
        <v>0</v>
      </c>
    </row>
    <row r="51">
      <c r="A51" s="235">
        <v>54.0</v>
      </c>
      <c r="B51" s="717" t="s">
        <v>1907</v>
      </c>
      <c r="C51" s="684" t="s">
        <v>216</v>
      </c>
      <c r="D51" s="692" t="s">
        <v>764</v>
      </c>
      <c r="E51" s="545">
        <v>40953.0</v>
      </c>
      <c r="F51" s="47" t="s">
        <v>354</v>
      </c>
      <c r="G51" s="46" t="s">
        <v>67</v>
      </c>
      <c r="H51" s="63" t="s">
        <v>7</v>
      </c>
      <c r="I51" s="235" t="s">
        <v>354</v>
      </c>
      <c r="J51" s="235" t="s">
        <v>354</v>
      </c>
      <c r="K51" s="158">
        <v>3.0</v>
      </c>
      <c r="L51" s="158" t="s">
        <v>766</v>
      </c>
      <c r="M51" s="265"/>
      <c r="N51" s="265"/>
      <c r="O51" s="158" t="s">
        <v>600</v>
      </c>
      <c r="P51" s="723">
        <v>0.0</v>
      </c>
      <c r="Q51" s="481" t="s">
        <v>356</v>
      </c>
      <c r="R51" s="49">
        <v>0.0</v>
      </c>
      <c r="S51" s="49">
        <v>0.0</v>
      </c>
      <c r="T51" s="49">
        <v>0.0</v>
      </c>
      <c r="U51" s="49" t="s">
        <v>356</v>
      </c>
      <c r="V51" s="166" t="s">
        <v>354</v>
      </c>
      <c r="W51" s="49" t="s">
        <v>356</v>
      </c>
      <c r="X51" s="49" t="s">
        <v>354</v>
      </c>
      <c r="Y51" s="729" t="s">
        <v>361</v>
      </c>
      <c r="Z51" s="729" t="s">
        <v>361</v>
      </c>
      <c r="AA51" s="730" t="s">
        <v>361</v>
      </c>
      <c r="AB51" s="730" t="s">
        <v>361</v>
      </c>
      <c r="AC51" s="728" t="s">
        <v>356</v>
      </c>
      <c r="AD51" s="728" t="s">
        <v>354</v>
      </c>
      <c r="AE51" s="46">
        <f t="shared" si="1"/>
        <v>0</v>
      </c>
      <c r="AF51" s="182"/>
      <c r="AG51" s="182"/>
      <c r="AH51" s="182"/>
      <c r="AI51" s="182"/>
      <c r="AJ51" s="80">
        <v>0.0</v>
      </c>
      <c r="AK51" s="80">
        <v>0.0</v>
      </c>
      <c r="AL51" s="80">
        <v>0.0</v>
      </c>
      <c r="AM51" s="80">
        <v>0.0</v>
      </c>
      <c r="AN51" s="80">
        <v>0.0</v>
      </c>
      <c r="AO51" s="224">
        <v>0.0</v>
      </c>
      <c r="AP51" s="80">
        <v>0.0</v>
      </c>
      <c r="AQ51" s="80">
        <v>0.0</v>
      </c>
      <c r="AR51" s="182">
        <f t="shared" si="2"/>
        <v>0</v>
      </c>
      <c r="AS51" s="182">
        <f t="shared" si="3"/>
        <v>0</v>
      </c>
    </row>
    <row r="52">
      <c r="A52" s="235">
        <v>56.0</v>
      </c>
      <c r="B52" s="717" t="s">
        <v>225</v>
      </c>
      <c r="C52" s="710" t="s">
        <v>225</v>
      </c>
      <c r="D52" s="692" t="s">
        <v>789</v>
      </c>
      <c r="E52" s="545">
        <v>40953.0</v>
      </c>
      <c r="F52" s="47" t="s">
        <v>354</v>
      </c>
      <c r="G52" s="46" t="s">
        <v>67</v>
      </c>
      <c r="H52" s="48" t="s">
        <v>7</v>
      </c>
      <c r="I52" s="235" t="s">
        <v>354</v>
      </c>
      <c r="J52" s="235" t="s">
        <v>354</v>
      </c>
      <c r="K52" s="158">
        <v>3.0</v>
      </c>
      <c r="L52" s="158" t="s">
        <v>794</v>
      </c>
      <c r="M52" s="265"/>
      <c r="N52" s="265"/>
      <c r="O52" s="158" t="s">
        <v>600</v>
      </c>
      <c r="P52" s="723">
        <v>0.0</v>
      </c>
      <c r="Q52" s="481" t="s">
        <v>356</v>
      </c>
      <c r="R52" s="49">
        <v>0.0</v>
      </c>
      <c r="S52" s="49">
        <v>0.0</v>
      </c>
      <c r="T52" s="49">
        <v>0.0</v>
      </c>
      <c r="U52" s="49" t="s">
        <v>356</v>
      </c>
      <c r="V52" s="166" t="s">
        <v>354</v>
      </c>
      <c r="W52" s="49" t="s">
        <v>356</v>
      </c>
      <c r="X52" s="49" t="s">
        <v>354</v>
      </c>
      <c r="Y52" s="729" t="s">
        <v>361</v>
      </c>
      <c r="Z52" s="729" t="s">
        <v>361</v>
      </c>
      <c r="AA52" s="760" t="s">
        <v>361</v>
      </c>
      <c r="AB52" s="760" t="s">
        <v>361</v>
      </c>
      <c r="AC52" s="726" t="s">
        <v>365</v>
      </c>
      <c r="AD52" s="26" t="s">
        <v>1791</v>
      </c>
      <c r="AE52" s="367">
        <f t="shared" si="1"/>
        <v>1</v>
      </c>
      <c r="AF52" s="182"/>
      <c r="AG52" s="182"/>
      <c r="AH52" s="182"/>
      <c r="AI52" s="182"/>
      <c r="AJ52" s="80">
        <v>0.0</v>
      </c>
      <c r="AK52" s="80">
        <v>0.0</v>
      </c>
      <c r="AL52" s="80">
        <v>0.0</v>
      </c>
      <c r="AM52" s="80">
        <v>0.0</v>
      </c>
      <c r="AN52" s="80">
        <v>0.0</v>
      </c>
      <c r="AO52" s="224">
        <v>1.0</v>
      </c>
      <c r="AP52" s="80">
        <v>0.0</v>
      </c>
      <c r="AQ52" s="80">
        <v>0.0</v>
      </c>
      <c r="AR52" s="363">
        <f t="shared" si="2"/>
        <v>1</v>
      </c>
      <c r="AS52" s="363">
        <f t="shared" si="3"/>
        <v>1</v>
      </c>
    </row>
    <row r="53">
      <c r="A53" s="235">
        <v>57.0</v>
      </c>
      <c r="B53" s="690" t="s">
        <v>228</v>
      </c>
      <c r="C53" s="714" t="s">
        <v>228</v>
      </c>
      <c r="D53" s="687" t="s">
        <v>1623</v>
      </c>
      <c r="E53" s="545">
        <v>40953.0</v>
      </c>
      <c r="F53" s="47" t="s">
        <v>354</v>
      </c>
      <c r="G53" s="46" t="s">
        <v>67</v>
      </c>
      <c r="H53" s="63" t="s">
        <v>7</v>
      </c>
      <c r="I53" s="235" t="s">
        <v>354</v>
      </c>
      <c r="J53" s="235" t="s">
        <v>354</v>
      </c>
      <c r="K53" s="184">
        <v>0.0</v>
      </c>
      <c r="L53" s="184" t="s">
        <v>354</v>
      </c>
      <c r="M53" s="265"/>
      <c r="N53" s="265"/>
      <c r="O53" s="184" t="s">
        <v>371</v>
      </c>
      <c r="P53" s="723">
        <v>0.0</v>
      </c>
      <c r="Q53" s="481" t="s">
        <v>356</v>
      </c>
      <c r="R53" s="49">
        <v>0.0</v>
      </c>
      <c r="S53" s="49">
        <v>0.0</v>
      </c>
      <c r="T53" s="49">
        <v>0.0</v>
      </c>
      <c r="U53" s="49" t="s">
        <v>356</v>
      </c>
      <c r="V53" s="166" t="s">
        <v>354</v>
      </c>
      <c r="W53" s="49" t="s">
        <v>356</v>
      </c>
      <c r="X53" s="49" t="s">
        <v>354</v>
      </c>
      <c r="Y53" s="727" t="s">
        <v>356</v>
      </c>
      <c r="Z53" s="727" t="s">
        <v>354</v>
      </c>
      <c r="AA53" s="730" t="s">
        <v>361</v>
      </c>
      <c r="AB53" s="730" t="s">
        <v>361</v>
      </c>
      <c r="AC53" s="728" t="s">
        <v>356</v>
      </c>
      <c r="AD53" s="728" t="s">
        <v>354</v>
      </c>
      <c r="AE53" s="46">
        <f t="shared" si="1"/>
        <v>0</v>
      </c>
      <c r="AF53" s="182"/>
      <c r="AG53" s="182"/>
      <c r="AH53" s="182"/>
      <c r="AI53" s="182"/>
      <c r="AJ53" s="80">
        <v>0.0</v>
      </c>
      <c r="AK53" s="80">
        <v>0.0</v>
      </c>
      <c r="AL53" s="80">
        <v>0.0</v>
      </c>
      <c r="AM53" s="80">
        <v>0.0</v>
      </c>
      <c r="AN53" s="80">
        <v>0.0</v>
      </c>
      <c r="AO53" s="224">
        <v>0.0</v>
      </c>
      <c r="AP53" s="80">
        <v>0.0</v>
      </c>
      <c r="AQ53" s="80">
        <v>0.0</v>
      </c>
      <c r="AR53" s="182">
        <f t="shared" si="2"/>
        <v>0</v>
      </c>
      <c r="AS53" s="182">
        <f t="shared" si="3"/>
        <v>0</v>
      </c>
    </row>
    <row r="54">
      <c r="A54" s="235">
        <v>58.0</v>
      </c>
      <c r="B54" s="717" t="s">
        <v>231</v>
      </c>
      <c r="C54" s="684" t="s">
        <v>231</v>
      </c>
      <c r="D54" s="692" t="s">
        <v>808</v>
      </c>
      <c r="E54" s="545">
        <v>40953.0</v>
      </c>
      <c r="F54" s="47" t="s">
        <v>354</v>
      </c>
      <c r="G54" s="46" t="s">
        <v>67</v>
      </c>
      <c r="H54" s="48" t="s">
        <v>7</v>
      </c>
      <c r="I54" s="235" t="s">
        <v>354</v>
      </c>
      <c r="J54" s="235" t="s">
        <v>354</v>
      </c>
      <c r="K54" s="158">
        <v>2.0</v>
      </c>
      <c r="L54" s="158" t="s">
        <v>815</v>
      </c>
      <c r="M54" s="265"/>
      <c r="N54" s="265"/>
      <c r="O54" s="158" t="s">
        <v>398</v>
      </c>
      <c r="P54" s="723">
        <v>0.0</v>
      </c>
      <c r="Q54" s="481" t="s">
        <v>356</v>
      </c>
      <c r="R54" s="49">
        <v>0.0</v>
      </c>
      <c r="S54" s="49">
        <v>0.0</v>
      </c>
      <c r="T54" s="49">
        <v>0.0</v>
      </c>
      <c r="U54" s="49" t="s">
        <v>356</v>
      </c>
      <c r="V54" s="166" t="s">
        <v>354</v>
      </c>
      <c r="W54" s="49" t="s">
        <v>356</v>
      </c>
      <c r="X54" s="49" t="s">
        <v>354</v>
      </c>
      <c r="Y54" s="727" t="s">
        <v>356</v>
      </c>
      <c r="Z54" s="727" t="s">
        <v>354</v>
      </c>
      <c r="AA54" s="730" t="s">
        <v>361</v>
      </c>
      <c r="AB54" s="730" t="s">
        <v>361</v>
      </c>
      <c r="AC54" s="728" t="s">
        <v>356</v>
      </c>
      <c r="AD54" s="728" t="s">
        <v>354</v>
      </c>
      <c r="AE54" s="46">
        <f t="shared" si="1"/>
        <v>0</v>
      </c>
      <c r="AF54" s="182"/>
      <c r="AG54" s="182"/>
      <c r="AH54" s="182"/>
      <c r="AI54" s="182"/>
      <c r="AJ54" s="80">
        <v>0.0</v>
      </c>
      <c r="AK54" s="80">
        <v>0.0</v>
      </c>
      <c r="AL54" s="80">
        <v>0.0</v>
      </c>
      <c r="AM54" s="80">
        <v>0.0</v>
      </c>
      <c r="AN54" s="80">
        <v>0.0</v>
      </c>
      <c r="AO54" s="224">
        <v>0.0</v>
      </c>
      <c r="AP54" s="80">
        <v>0.0</v>
      </c>
      <c r="AQ54" s="80">
        <v>0.0</v>
      </c>
      <c r="AR54" s="182">
        <f t="shared" si="2"/>
        <v>0</v>
      </c>
      <c r="AS54" s="182">
        <f t="shared" si="3"/>
        <v>0</v>
      </c>
    </row>
    <row r="55">
      <c r="A55" s="235">
        <v>59.0</v>
      </c>
      <c r="B55" s="717" t="s">
        <v>244</v>
      </c>
      <c r="C55" s="684" t="s">
        <v>244</v>
      </c>
      <c r="D55" s="692" t="s">
        <v>856</v>
      </c>
      <c r="E55" s="545">
        <v>40953.0</v>
      </c>
      <c r="F55" s="47" t="s">
        <v>354</v>
      </c>
      <c r="G55" s="46" t="s">
        <v>67</v>
      </c>
      <c r="H55" s="48" t="s">
        <v>7</v>
      </c>
      <c r="I55" s="235" t="s">
        <v>354</v>
      </c>
      <c r="J55" s="235" t="s">
        <v>354</v>
      </c>
      <c r="K55" s="158">
        <v>3.0</v>
      </c>
      <c r="L55" s="158" t="s">
        <v>862</v>
      </c>
      <c r="M55" s="265"/>
      <c r="N55" s="265"/>
      <c r="O55" s="158" t="s">
        <v>600</v>
      </c>
      <c r="P55" s="721">
        <v>31.0760563276998</v>
      </c>
      <c r="Q55" s="481" t="s">
        <v>356</v>
      </c>
      <c r="R55" s="49">
        <v>0.0</v>
      </c>
      <c r="S55" s="49">
        <v>0.0</v>
      </c>
      <c r="T55" s="49">
        <v>0.0</v>
      </c>
      <c r="U55" s="56" t="s">
        <v>365</v>
      </c>
      <c r="V55" s="761" t="s">
        <v>1908</v>
      </c>
      <c r="W55" s="49" t="s">
        <v>356</v>
      </c>
      <c r="X55" s="49" t="s">
        <v>354</v>
      </c>
      <c r="Y55" s="727" t="s">
        <v>356</v>
      </c>
      <c r="Z55" s="727" t="s">
        <v>354</v>
      </c>
      <c r="AA55" s="730" t="s">
        <v>361</v>
      </c>
      <c r="AB55" s="730" t="s">
        <v>361</v>
      </c>
      <c r="AC55" s="726" t="s">
        <v>365</v>
      </c>
      <c r="AD55" s="99" t="s">
        <v>1605</v>
      </c>
      <c r="AE55" s="357">
        <f t="shared" si="1"/>
        <v>2</v>
      </c>
      <c r="AF55" s="182"/>
      <c r="AG55" s="182"/>
      <c r="AH55" s="182"/>
      <c r="AI55" s="182"/>
      <c r="AJ55" s="80">
        <v>0.0</v>
      </c>
      <c r="AK55" s="80">
        <v>0.0</v>
      </c>
      <c r="AL55" s="80">
        <v>0.0</v>
      </c>
      <c r="AM55" s="224">
        <v>1.0</v>
      </c>
      <c r="AN55" s="80">
        <v>0.0</v>
      </c>
      <c r="AO55" s="224">
        <v>0.0</v>
      </c>
      <c r="AP55" s="80">
        <v>0.0</v>
      </c>
      <c r="AQ55" s="80">
        <v>0.0</v>
      </c>
      <c r="AR55" s="358">
        <f t="shared" si="2"/>
        <v>1</v>
      </c>
      <c r="AS55" s="358">
        <f t="shared" si="3"/>
        <v>1</v>
      </c>
    </row>
    <row r="56">
      <c r="A56" s="235">
        <v>60.0</v>
      </c>
      <c r="B56" s="717" t="s">
        <v>250</v>
      </c>
      <c r="C56" s="684" t="s">
        <v>250</v>
      </c>
      <c r="D56" s="692" t="s">
        <v>874</v>
      </c>
      <c r="E56" s="720">
        <v>40953.0</v>
      </c>
      <c r="F56" s="47" t="s">
        <v>354</v>
      </c>
      <c r="G56" s="235" t="s">
        <v>67</v>
      </c>
      <c r="H56" s="235" t="s">
        <v>7</v>
      </c>
      <c r="I56" s="235" t="s">
        <v>354</v>
      </c>
      <c r="J56" s="235" t="s">
        <v>354</v>
      </c>
      <c r="K56" s="158">
        <v>1.0</v>
      </c>
      <c r="L56" s="158" t="s">
        <v>878</v>
      </c>
      <c r="M56" s="265"/>
      <c r="N56" s="265"/>
      <c r="O56" s="158" t="s">
        <v>455</v>
      </c>
      <c r="P56" s="723">
        <v>0.0</v>
      </c>
      <c r="Q56" s="481" t="s">
        <v>356</v>
      </c>
      <c r="R56" s="49">
        <v>0.0</v>
      </c>
      <c r="S56" s="49">
        <v>0.0</v>
      </c>
      <c r="T56" s="49">
        <v>0.0</v>
      </c>
      <c r="U56" s="49" t="s">
        <v>356</v>
      </c>
      <c r="V56" s="166" t="s">
        <v>354</v>
      </c>
      <c r="W56" s="49" t="s">
        <v>356</v>
      </c>
      <c r="X56" s="49" t="s">
        <v>354</v>
      </c>
      <c r="Y56" s="727" t="s">
        <v>356</v>
      </c>
      <c r="Z56" s="727" t="s">
        <v>354</v>
      </c>
      <c r="AA56" s="730" t="s">
        <v>361</v>
      </c>
      <c r="AB56" s="730" t="s">
        <v>361</v>
      </c>
      <c r="AC56" s="726" t="s">
        <v>365</v>
      </c>
      <c r="AD56" s="62" t="s">
        <v>1869</v>
      </c>
      <c r="AE56" s="367">
        <f t="shared" si="1"/>
        <v>1</v>
      </c>
      <c r="AF56" s="182"/>
      <c r="AG56" s="182"/>
      <c r="AH56" s="182"/>
      <c r="AI56" s="182"/>
      <c r="AJ56" s="224">
        <v>1.0</v>
      </c>
      <c r="AK56" s="80">
        <v>0.0</v>
      </c>
      <c r="AL56" s="80">
        <v>0.0</v>
      </c>
      <c r="AM56" s="80">
        <v>0.0</v>
      </c>
      <c r="AN56" s="80">
        <v>0.0</v>
      </c>
      <c r="AO56" s="224">
        <v>0.0</v>
      </c>
      <c r="AP56" s="80">
        <v>0.0</v>
      </c>
      <c r="AQ56" s="80">
        <v>0.0</v>
      </c>
      <c r="AR56" s="363">
        <f t="shared" si="2"/>
        <v>1</v>
      </c>
      <c r="AS56" s="363">
        <f t="shared" si="3"/>
        <v>1</v>
      </c>
    </row>
    <row r="57">
      <c r="A57" s="235">
        <v>61.0</v>
      </c>
      <c r="B57" s="717" t="s">
        <v>265</v>
      </c>
      <c r="C57" s="78" t="s">
        <v>906</v>
      </c>
      <c r="D57" s="692" t="s">
        <v>907</v>
      </c>
      <c r="E57" s="720">
        <v>40953.0</v>
      </c>
      <c r="F57" s="47" t="s">
        <v>354</v>
      </c>
      <c r="G57" s="235" t="s">
        <v>67</v>
      </c>
      <c r="H57" s="235" t="s">
        <v>7</v>
      </c>
      <c r="I57" s="235" t="s">
        <v>354</v>
      </c>
      <c r="J57" s="235" t="s">
        <v>354</v>
      </c>
      <c r="K57" s="158">
        <v>1.0</v>
      </c>
      <c r="L57" s="158" t="s">
        <v>912</v>
      </c>
      <c r="M57" s="265"/>
      <c r="N57" s="265"/>
      <c r="O57" s="158" t="s">
        <v>455</v>
      </c>
      <c r="P57" s="723">
        <v>0.0</v>
      </c>
      <c r="Q57" s="481" t="s">
        <v>356</v>
      </c>
      <c r="R57" s="49">
        <v>0.0</v>
      </c>
      <c r="S57" s="49">
        <v>0.0</v>
      </c>
      <c r="T57" s="49">
        <v>0.0</v>
      </c>
      <c r="U57" s="49" t="s">
        <v>356</v>
      </c>
      <c r="V57" s="166" t="s">
        <v>354</v>
      </c>
      <c r="W57" s="49" t="s">
        <v>356</v>
      </c>
      <c r="X57" s="49" t="s">
        <v>354</v>
      </c>
      <c r="Y57" s="729" t="s">
        <v>361</v>
      </c>
      <c r="Z57" s="729" t="s">
        <v>361</v>
      </c>
      <c r="AA57" s="730" t="s">
        <v>361</v>
      </c>
      <c r="AB57" s="730" t="s">
        <v>361</v>
      </c>
      <c r="AC57" s="728" t="s">
        <v>356</v>
      </c>
      <c r="AD57" s="728" t="s">
        <v>354</v>
      </c>
      <c r="AE57" s="46">
        <f t="shared" si="1"/>
        <v>0</v>
      </c>
      <c r="AF57" s="182"/>
      <c r="AG57" s="182"/>
      <c r="AH57" s="182"/>
      <c r="AI57" s="182"/>
      <c r="AJ57" s="80">
        <v>0.0</v>
      </c>
      <c r="AK57" s="80">
        <v>0.0</v>
      </c>
      <c r="AL57" s="80">
        <v>0.0</v>
      </c>
      <c r="AM57" s="80">
        <v>0.0</v>
      </c>
      <c r="AN57" s="80">
        <v>0.0</v>
      </c>
      <c r="AO57" s="224">
        <v>0.0</v>
      </c>
      <c r="AP57" s="80">
        <v>0.0</v>
      </c>
      <c r="AQ57" s="80">
        <v>0.0</v>
      </c>
      <c r="AR57" s="182">
        <f t="shared" si="2"/>
        <v>0</v>
      </c>
      <c r="AS57" s="182">
        <f t="shared" si="3"/>
        <v>0</v>
      </c>
    </row>
    <row r="58">
      <c r="A58" s="235">
        <v>62.0</v>
      </c>
      <c r="B58" s="717" t="s">
        <v>1909</v>
      </c>
      <c r="C58" s="684" t="s">
        <v>268</v>
      </c>
      <c r="D58" s="685" t="s">
        <v>1626</v>
      </c>
      <c r="E58" s="720">
        <v>40953.0</v>
      </c>
      <c r="F58" s="47" t="s">
        <v>354</v>
      </c>
      <c r="G58" s="235" t="s">
        <v>67</v>
      </c>
      <c r="H58" s="235" t="s">
        <v>7</v>
      </c>
      <c r="I58" s="235" t="s">
        <v>354</v>
      </c>
      <c r="J58" s="235" t="s">
        <v>354</v>
      </c>
      <c r="K58" s="739">
        <v>2.0</v>
      </c>
      <c r="L58" s="739" t="s">
        <v>922</v>
      </c>
      <c r="M58" s="738"/>
      <c r="N58" s="738"/>
      <c r="O58" s="739" t="s">
        <v>398</v>
      </c>
      <c r="P58" s="723">
        <v>0.0</v>
      </c>
      <c r="Q58" s="481" t="s">
        <v>356</v>
      </c>
      <c r="R58" s="49">
        <v>0.0</v>
      </c>
      <c r="S58" s="49">
        <v>0.0</v>
      </c>
      <c r="T58" s="49">
        <v>0.0</v>
      </c>
      <c r="U58" s="49" t="s">
        <v>356</v>
      </c>
      <c r="V58" s="166" t="s">
        <v>354</v>
      </c>
      <c r="W58" s="49" t="s">
        <v>356</v>
      </c>
      <c r="X58" s="49" t="s">
        <v>354</v>
      </c>
      <c r="Y58" s="729" t="s">
        <v>361</v>
      </c>
      <c r="Z58" s="729" t="s">
        <v>361</v>
      </c>
      <c r="AA58" s="730" t="s">
        <v>361</v>
      </c>
      <c r="AB58" s="730" t="s">
        <v>361</v>
      </c>
      <c r="AC58" s="728" t="s">
        <v>356</v>
      </c>
      <c r="AD58" s="728" t="s">
        <v>354</v>
      </c>
      <c r="AE58" s="46">
        <f t="shared" si="1"/>
        <v>0</v>
      </c>
      <c r="AF58" s="182"/>
      <c r="AG58" s="182"/>
      <c r="AH58" s="182"/>
      <c r="AI58" s="182"/>
      <c r="AJ58" s="80">
        <v>0.0</v>
      </c>
      <c r="AK58" s="80">
        <v>0.0</v>
      </c>
      <c r="AL58" s="80">
        <v>0.0</v>
      </c>
      <c r="AM58" s="80">
        <v>0.0</v>
      </c>
      <c r="AN58" s="80">
        <v>0.0</v>
      </c>
      <c r="AO58" s="224">
        <v>0.0</v>
      </c>
      <c r="AP58" s="80">
        <v>0.0</v>
      </c>
      <c r="AQ58" s="80">
        <v>0.0</v>
      </c>
      <c r="AR58" s="182">
        <f t="shared" si="2"/>
        <v>0</v>
      </c>
      <c r="AS58" s="182">
        <f t="shared" si="3"/>
        <v>0</v>
      </c>
    </row>
    <row r="59">
      <c r="A59" s="235">
        <v>63.0</v>
      </c>
      <c r="B59" s="717" t="s">
        <v>994</v>
      </c>
      <c r="C59" s="717" t="s">
        <v>994</v>
      </c>
      <c r="D59" s="685" t="s">
        <v>991</v>
      </c>
      <c r="E59" s="720">
        <v>40953.0</v>
      </c>
      <c r="F59" s="47" t="s">
        <v>354</v>
      </c>
      <c r="G59" s="235" t="s">
        <v>67</v>
      </c>
      <c r="H59" s="235" t="s">
        <v>433</v>
      </c>
      <c r="I59" s="235" t="s">
        <v>354</v>
      </c>
      <c r="J59" s="235" t="s">
        <v>354</v>
      </c>
      <c r="K59" s="158">
        <v>2.0</v>
      </c>
      <c r="L59" s="158" t="s">
        <v>993</v>
      </c>
      <c r="M59" s="265"/>
      <c r="N59" s="265"/>
      <c r="O59" s="158" t="s">
        <v>398</v>
      </c>
      <c r="P59" s="723">
        <v>0.0</v>
      </c>
      <c r="Q59" s="481" t="s">
        <v>356</v>
      </c>
      <c r="R59" s="49">
        <v>0.0</v>
      </c>
      <c r="S59" s="49">
        <v>0.0</v>
      </c>
      <c r="T59" s="49">
        <v>0.0</v>
      </c>
      <c r="U59" s="49" t="s">
        <v>356</v>
      </c>
      <c r="V59" s="166" t="s">
        <v>354</v>
      </c>
      <c r="W59" s="49" t="s">
        <v>356</v>
      </c>
      <c r="X59" s="49" t="s">
        <v>354</v>
      </c>
      <c r="Y59" s="727" t="s">
        <v>356</v>
      </c>
      <c r="Z59" s="727" t="s">
        <v>354</v>
      </c>
      <c r="AA59" s="730" t="s">
        <v>361</v>
      </c>
      <c r="AB59" s="730" t="s">
        <v>361</v>
      </c>
      <c r="AC59" s="728" t="s">
        <v>356</v>
      </c>
      <c r="AD59" s="728" t="s">
        <v>354</v>
      </c>
      <c r="AE59" s="46">
        <f t="shared" si="1"/>
        <v>0</v>
      </c>
      <c r="AF59" s="182"/>
      <c r="AG59" s="182"/>
      <c r="AH59" s="182"/>
      <c r="AI59" s="182"/>
      <c r="AJ59" s="80">
        <v>0.0</v>
      </c>
      <c r="AK59" s="80">
        <v>0.0</v>
      </c>
      <c r="AL59" s="80">
        <v>0.0</v>
      </c>
      <c r="AM59" s="80">
        <v>0.0</v>
      </c>
      <c r="AN59" s="80">
        <v>0.0</v>
      </c>
      <c r="AO59" s="224">
        <v>0.0</v>
      </c>
      <c r="AP59" s="80">
        <v>0.0</v>
      </c>
      <c r="AQ59" s="80">
        <v>0.0</v>
      </c>
      <c r="AR59" s="182">
        <f t="shared" si="2"/>
        <v>0</v>
      </c>
      <c r="AS59" s="182">
        <f t="shared" si="3"/>
        <v>0</v>
      </c>
    </row>
    <row r="60">
      <c r="A60" s="235">
        <v>64.0</v>
      </c>
      <c r="B60" s="717" t="s">
        <v>1910</v>
      </c>
      <c r="C60" s="717" t="s">
        <v>1036</v>
      </c>
      <c r="D60" s="685" t="s">
        <v>1033</v>
      </c>
      <c r="E60" s="720">
        <v>40953.0</v>
      </c>
      <c r="F60" s="47" t="s">
        <v>354</v>
      </c>
      <c r="G60" s="235" t="s">
        <v>8</v>
      </c>
      <c r="H60" s="235" t="s">
        <v>433</v>
      </c>
      <c r="I60" s="235" t="s">
        <v>354</v>
      </c>
      <c r="J60" s="235" t="s">
        <v>354</v>
      </c>
      <c r="K60" s="158">
        <v>1.0</v>
      </c>
      <c r="L60" s="158" t="s">
        <v>1035</v>
      </c>
      <c r="M60" s="265"/>
      <c r="N60" s="265"/>
      <c r="O60" s="158" t="s">
        <v>455</v>
      </c>
      <c r="P60" s="723">
        <v>0.0</v>
      </c>
      <c r="Q60" s="481" t="s">
        <v>356</v>
      </c>
      <c r="R60" s="49">
        <v>0.0</v>
      </c>
      <c r="S60" s="49">
        <v>0.0</v>
      </c>
      <c r="T60" s="49">
        <v>0.0</v>
      </c>
      <c r="U60" s="49" t="s">
        <v>356</v>
      </c>
      <c r="V60" s="166" t="s">
        <v>354</v>
      </c>
      <c r="W60" s="49" t="s">
        <v>356</v>
      </c>
      <c r="X60" s="49" t="s">
        <v>354</v>
      </c>
      <c r="Y60" s="729" t="s">
        <v>361</v>
      </c>
      <c r="Z60" s="729" t="s">
        <v>361</v>
      </c>
      <c r="AA60" s="730" t="s">
        <v>361</v>
      </c>
      <c r="AB60" s="730" t="s">
        <v>361</v>
      </c>
      <c r="AC60" s="728" t="s">
        <v>356</v>
      </c>
      <c r="AD60" s="728" t="s">
        <v>354</v>
      </c>
      <c r="AE60" s="46">
        <f t="shared" si="1"/>
        <v>0</v>
      </c>
      <c r="AF60" s="182"/>
      <c r="AG60" s="182"/>
      <c r="AH60" s="182"/>
      <c r="AI60" s="182"/>
      <c r="AJ60" s="80">
        <v>0.0</v>
      </c>
      <c r="AK60" s="80">
        <v>0.0</v>
      </c>
      <c r="AL60" s="80">
        <v>0.0</v>
      </c>
      <c r="AM60" s="80">
        <v>0.0</v>
      </c>
      <c r="AN60" s="80">
        <v>0.0</v>
      </c>
      <c r="AO60" s="224">
        <v>0.0</v>
      </c>
      <c r="AP60" s="80">
        <v>0.0</v>
      </c>
      <c r="AQ60" s="80">
        <v>0.0</v>
      </c>
      <c r="AR60" s="182">
        <f t="shared" si="2"/>
        <v>0</v>
      </c>
      <c r="AS60" s="182">
        <f t="shared" si="3"/>
        <v>0</v>
      </c>
    </row>
    <row r="61">
      <c r="A61" s="235">
        <v>65.0</v>
      </c>
      <c r="B61" s="717" t="s">
        <v>968</v>
      </c>
      <c r="C61" s="717" t="s">
        <v>968</v>
      </c>
      <c r="D61" s="741" t="s">
        <v>968</v>
      </c>
      <c r="E61" s="720">
        <v>40953.0</v>
      </c>
      <c r="F61" s="47" t="s">
        <v>354</v>
      </c>
      <c r="G61" s="49" t="s">
        <v>67</v>
      </c>
      <c r="H61" s="49" t="s">
        <v>291</v>
      </c>
      <c r="I61" s="235" t="s">
        <v>354</v>
      </c>
      <c r="J61" s="235" t="s">
        <v>354</v>
      </c>
      <c r="K61" s="158">
        <v>1.0</v>
      </c>
      <c r="L61" s="158" t="s">
        <v>967</v>
      </c>
      <c r="M61" s="265"/>
      <c r="N61" s="265"/>
      <c r="O61" s="158" t="s">
        <v>455</v>
      </c>
      <c r="P61" s="723">
        <v>0.0</v>
      </c>
      <c r="Q61" s="722" t="s">
        <v>361</v>
      </c>
      <c r="R61" s="49">
        <v>0.0</v>
      </c>
      <c r="S61" s="49">
        <v>0.0</v>
      </c>
      <c r="T61" s="49">
        <v>0.0</v>
      </c>
      <c r="U61" s="49" t="s">
        <v>356</v>
      </c>
      <c r="V61" s="166" t="s">
        <v>354</v>
      </c>
      <c r="W61" s="49" t="s">
        <v>356</v>
      </c>
      <c r="X61" s="49" t="s">
        <v>354</v>
      </c>
      <c r="Y61" s="727" t="s">
        <v>356</v>
      </c>
      <c r="Z61" s="727" t="s">
        <v>354</v>
      </c>
      <c r="AA61" s="730" t="s">
        <v>361</v>
      </c>
      <c r="AB61" s="730" t="s">
        <v>361</v>
      </c>
      <c r="AC61" s="726" t="s">
        <v>365</v>
      </c>
      <c r="AD61" s="752" t="s">
        <v>1877</v>
      </c>
      <c r="AE61" s="367">
        <f t="shared" si="1"/>
        <v>1</v>
      </c>
      <c r="AF61" s="182"/>
      <c r="AG61" s="182"/>
      <c r="AH61" s="182"/>
      <c r="AI61" s="182"/>
      <c r="AJ61" s="80">
        <v>0.0</v>
      </c>
      <c r="AK61" s="80">
        <v>0.0</v>
      </c>
      <c r="AL61" s="80">
        <v>0.0</v>
      </c>
      <c r="AM61" s="80">
        <v>0.0</v>
      </c>
      <c r="AN61" s="224">
        <v>1.0</v>
      </c>
      <c r="AO61" s="224">
        <v>0.0</v>
      </c>
      <c r="AP61" s="80">
        <v>0.0</v>
      </c>
      <c r="AQ61" s="80">
        <v>0.0</v>
      </c>
      <c r="AR61" s="363">
        <f t="shared" si="2"/>
        <v>1</v>
      </c>
      <c r="AS61" s="363">
        <f t="shared" si="3"/>
        <v>1</v>
      </c>
    </row>
    <row r="62">
      <c r="A62" s="235">
        <v>66.0</v>
      </c>
      <c r="B62" s="717" t="s">
        <v>1911</v>
      </c>
      <c r="C62" s="717" t="s">
        <v>999</v>
      </c>
      <c r="D62" s="692" t="s">
        <v>999</v>
      </c>
      <c r="E62" s="720">
        <v>40953.0</v>
      </c>
      <c r="F62" s="47" t="s">
        <v>354</v>
      </c>
      <c r="G62" s="235" t="s">
        <v>67</v>
      </c>
      <c r="H62" s="235" t="s">
        <v>433</v>
      </c>
      <c r="I62" s="235" t="s">
        <v>354</v>
      </c>
      <c r="J62" s="235" t="s">
        <v>354</v>
      </c>
      <c r="K62" s="158">
        <v>1.0</v>
      </c>
      <c r="L62" s="158" t="s">
        <v>998</v>
      </c>
      <c r="M62" s="265"/>
      <c r="N62" s="265"/>
      <c r="O62" s="158" t="s">
        <v>455</v>
      </c>
      <c r="P62" s="723">
        <v>0.0</v>
      </c>
      <c r="Q62" s="481" t="s">
        <v>356</v>
      </c>
      <c r="R62" s="49">
        <v>0.0</v>
      </c>
      <c r="S62" s="49">
        <v>0.0</v>
      </c>
      <c r="T62" s="49">
        <v>0.0</v>
      </c>
      <c r="U62" s="49" t="s">
        <v>356</v>
      </c>
      <c r="V62" s="166" t="s">
        <v>354</v>
      </c>
      <c r="W62" s="49" t="s">
        <v>356</v>
      </c>
      <c r="X62" s="49" t="s">
        <v>354</v>
      </c>
      <c r="Y62" s="727" t="s">
        <v>356</v>
      </c>
      <c r="Z62" s="727" t="s">
        <v>354</v>
      </c>
      <c r="AA62" s="730" t="s">
        <v>361</v>
      </c>
      <c r="AB62" s="730" t="s">
        <v>361</v>
      </c>
      <c r="AC62" s="728" t="s">
        <v>356</v>
      </c>
      <c r="AD62" s="728" t="s">
        <v>354</v>
      </c>
      <c r="AE62" s="46">
        <f t="shared" si="1"/>
        <v>0</v>
      </c>
      <c r="AF62" s="182"/>
      <c r="AG62" s="182"/>
      <c r="AH62" s="182"/>
      <c r="AI62" s="182"/>
      <c r="AJ62" s="80">
        <v>0.0</v>
      </c>
      <c r="AK62" s="80">
        <v>0.0</v>
      </c>
      <c r="AL62" s="80">
        <v>0.0</v>
      </c>
      <c r="AM62" s="80">
        <v>0.0</v>
      </c>
      <c r="AN62" s="80">
        <v>0.0</v>
      </c>
      <c r="AO62" s="224">
        <v>0.0</v>
      </c>
      <c r="AP62" s="80">
        <v>0.0</v>
      </c>
      <c r="AQ62" s="80">
        <v>0.0</v>
      </c>
      <c r="AR62" s="182">
        <f t="shared" si="2"/>
        <v>0</v>
      </c>
      <c r="AS62" s="182">
        <f t="shared" si="3"/>
        <v>0</v>
      </c>
    </row>
    <row r="63">
      <c r="A63" s="235">
        <v>67.0</v>
      </c>
      <c r="B63" s="690" t="s">
        <v>1912</v>
      </c>
      <c r="C63" s="690" t="s">
        <v>1005</v>
      </c>
      <c r="D63" s="687" t="s">
        <v>1005</v>
      </c>
      <c r="E63" s="720">
        <v>40953.0</v>
      </c>
      <c r="F63" s="47" t="s">
        <v>354</v>
      </c>
      <c r="G63" s="235" t="s">
        <v>8</v>
      </c>
      <c r="H63" s="235" t="s">
        <v>433</v>
      </c>
      <c r="I63" s="235" t="s">
        <v>354</v>
      </c>
      <c r="J63" s="235" t="s">
        <v>354</v>
      </c>
      <c r="K63" s="184">
        <v>0.0</v>
      </c>
      <c r="L63" s="184" t="s">
        <v>354</v>
      </c>
      <c r="M63" s="265"/>
      <c r="N63" s="265"/>
      <c r="O63" s="184" t="s">
        <v>371</v>
      </c>
      <c r="P63" s="723">
        <v>0.0</v>
      </c>
      <c r="Q63" s="481" t="s">
        <v>356</v>
      </c>
      <c r="R63" s="49">
        <v>0.0</v>
      </c>
      <c r="S63" s="49">
        <v>0.0</v>
      </c>
      <c r="T63" s="49">
        <v>0.0</v>
      </c>
      <c r="U63" s="49" t="s">
        <v>356</v>
      </c>
      <c r="V63" s="166" t="s">
        <v>354</v>
      </c>
      <c r="W63" s="49" t="s">
        <v>356</v>
      </c>
      <c r="X63" s="49" t="s">
        <v>354</v>
      </c>
      <c r="Y63" s="727" t="s">
        <v>356</v>
      </c>
      <c r="Z63" s="727" t="s">
        <v>354</v>
      </c>
      <c r="AA63" s="730" t="s">
        <v>361</v>
      </c>
      <c r="AB63" s="730" t="s">
        <v>361</v>
      </c>
      <c r="AC63" s="728" t="s">
        <v>356</v>
      </c>
      <c r="AD63" s="728" t="s">
        <v>354</v>
      </c>
      <c r="AE63" s="46">
        <f t="shared" si="1"/>
        <v>0</v>
      </c>
      <c r="AF63" s="182"/>
      <c r="AG63" s="182"/>
      <c r="AH63" s="182"/>
      <c r="AI63" s="182"/>
      <c r="AJ63" s="80">
        <v>0.0</v>
      </c>
      <c r="AK63" s="80">
        <v>0.0</v>
      </c>
      <c r="AL63" s="80">
        <v>0.0</v>
      </c>
      <c r="AM63" s="80">
        <v>0.0</v>
      </c>
      <c r="AN63" s="80">
        <v>0.0</v>
      </c>
      <c r="AO63" s="224">
        <v>0.0</v>
      </c>
      <c r="AP63" s="80">
        <v>0.0</v>
      </c>
      <c r="AQ63" s="80">
        <v>0.0</v>
      </c>
      <c r="AR63" s="182">
        <f t="shared" si="2"/>
        <v>0</v>
      </c>
      <c r="AS63" s="182">
        <f t="shared" si="3"/>
        <v>0</v>
      </c>
    </row>
    <row r="64">
      <c r="A64" s="235">
        <v>68.0</v>
      </c>
      <c r="B64" s="717" t="s">
        <v>24</v>
      </c>
      <c r="C64" s="684" t="s">
        <v>24</v>
      </c>
      <c r="D64" s="692" t="s">
        <v>391</v>
      </c>
      <c r="E64" s="545">
        <v>40953.0</v>
      </c>
      <c r="F64" s="47" t="s">
        <v>354</v>
      </c>
      <c r="G64" s="46" t="s">
        <v>8</v>
      </c>
      <c r="H64" s="48" t="s">
        <v>7</v>
      </c>
      <c r="I64" s="235" t="s">
        <v>354</v>
      </c>
      <c r="J64" s="235" t="s">
        <v>354</v>
      </c>
      <c r="K64" s="158">
        <v>2.0</v>
      </c>
      <c r="L64" s="158" t="s">
        <v>1730</v>
      </c>
      <c r="M64" s="265"/>
      <c r="N64" s="265"/>
      <c r="O64" s="158" t="s">
        <v>398</v>
      </c>
      <c r="P64" s="723">
        <v>0.0</v>
      </c>
      <c r="Q64" s="481" t="s">
        <v>356</v>
      </c>
      <c r="R64" s="49">
        <v>0.0</v>
      </c>
      <c r="S64" s="49">
        <v>0.0</v>
      </c>
      <c r="T64" s="49">
        <v>0.0</v>
      </c>
      <c r="U64" s="49" t="s">
        <v>356</v>
      </c>
      <c r="V64" s="166" t="s">
        <v>354</v>
      </c>
      <c r="W64" s="49" t="s">
        <v>356</v>
      </c>
      <c r="X64" s="49" t="s">
        <v>354</v>
      </c>
      <c r="Y64" s="724" t="s">
        <v>365</v>
      </c>
      <c r="Z64" s="26" t="s">
        <v>1790</v>
      </c>
      <c r="AA64" s="730" t="s">
        <v>361</v>
      </c>
      <c r="AB64" s="730" t="s">
        <v>361</v>
      </c>
      <c r="AC64" s="726" t="s">
        <v>365</v>
      </c>
      <c r="AD64" s="42" t="s">
        <v>1791</v>
      </c>
      <c r="AE64" s="357">
        <f t="shared" si="1"/>
        <v>2</v>
      </c>
      <c r="AF64" s="182"/>
      <c r="AG64" s="182"/>
      <c r="AH64" s="182"/>
      <c r="AI64" s="182"/>
      <c r="AJ64" s="80">
        <v>0.0</v>
      </c>
      <c r="AK64" s="80">
        <v>0.0</v>
      </c>
      <c r="AL64" s="80">
        <v>0.0</v>
      </c>
      <c r="AM64" s="80">
        <v>0.0</v>
      </c>
      <c r="AN64" s="80">
        <v>0.0</v>
      </c>
      <c r="AO64" s="224">
        <v>2.0</v>
      </c>
      <c r="AP64" s="80">
        <v>0.0</v>
      </c>
      <c r="AQ64" s="80">
        <v>0.0</v>
      </c>
      <c r="AR64" s="358">
        <f t="shared" si="2"/>
        <v>2</v>
      </c>
      <c r="AS64" s="358">
        <f t="shared" si="3"/>
        <v>1</v>
      </c>
    </row>
    <row r="65">
      <c r="A65" s="235">
        <v>69.0</v>
      </c>
      <c r="B65" s="690" t="s">
        <v>1913</v>
      </c>
      <c r="C65" s="184" t="s">
        <v>1672</v>
      </c>
      <c r="D65" s="687" t="s">
        <v>421</v>
      </c>
      <c r="E65" s="545">
        <v>40953.0</v>
      </c>
      <c r="F65" s="47" t="s">
        <v>354</v>
      </c>
      <c r="G65" s="46" t="s">
        <v>8</v>
      </c>
      <c r="H65" s="48" t="s">
        <v>7</v>
      </c>
      <c r="I65" s="235" t="s">
        <v>354</v>
      </c>
      <c r="J65" s="235" t="s">
        <v>354</v>
      </c>
      <c r="K65" s="184">
        <v>0.0</v>
      </c>
      <c r="L65" s="184" t="s">
        <v>354</v>
      </c>
      <c r="M65" s="265"/>
      <c r="N65" s="265"/>
      <c r="O65" s="184" t="s">
        <v>371</v>
      </c>
      <c r="P65" s="723">
        <v>0.0</v>
      </c>
      <c r="Q65" s="481" t="s">
        <v>356</v>
      </c>
      <c r="R65" s="49">
        <v>0.0</v>
      </c>
      <c r="S65" s="49">
        <v>0.0</v>
      </c>
      <c r="T65" s="49">
        <v>0.0</v>
      </c>
      <c r="U65" s="49" t="s">
        <v>356</v>
      </c>
      <c r="V65" s="166" t="s">
        <v>354</v>
      </c>
      <c r="W65" s="49" t="s">
        <v>356</v>
      </c>
      <c r="X65" s="49" t="s">
        <v>354</v>
      </c>
      <c r="Y65" s="727" t="s">
        <v>356</v>
      </c>
      <c r="Z65" s="727" t="s">
        <v>354</v>
      </c>
      <c r="AA65" s="730" t="s">
        <v>361</v>
      </c>
      <c r="AB65" s="730" t="s">
        <v>361</v>
      </c>
      <c r="AC65" s="728" t="s">
        <v>356</v>
      </c>
      <c r="AD65" s="728" t="s">
        <v>354</v>
      </c>
      <c r="AE65" s="46">
        <f t="shared" si="1"/>
        <v>0</v>
      </c>
      <c r="AF65" s="182"/>
      <c r="AG65" s="182"/>
      <c r="AH65" s="182"/>
      <c r="AI65" s="182"/>
      <c r="AJ65" s="80">
        <v>0.0</v>
      </c>
      <c r="AK65" s="80">
        <v>0.0</v>
      </c>
      <c r="AL65" s="80">
        <v>0.0</v>
      </c>
      <c r="AM65" s="80">
        <v>0.0</v>
      </c>
      <c r="AN65" s="80">
        <v>0.0</v>
      </c>
      <c r="AO65" s="224">
        <v>0.0</v>
      </c>
      <c r="AP65" s="80">
        <v>0.0</v>
      </c>
      <c r="AQ65" s="80">
        <v>0.0</v>
      </c>
      <c r="AR65" s="182">
        <f t="shared" si="2"/>
        <v>0</v>
      </c>
      <c r="AS65" s="182">
        <f t="shared" si="3"/>
        <v>0</v>
      </c>
    </row>
    <row r="66">
      <c r="A66" s="235">
        <v>71.0</v>
      </c>
      <c r="B66" s="690" t="s">
        <v>19</v>
      </c>
      <c r="C66" s="714" t="s">
        <v>19</v>
      </c>
      <c r="D66" s="687" t="s">
        <v>383</v>
      </c>
      <c r="E66" s="545">
        <v>40953.0</v>
      </c>
      <c r="F66" s="47" t="s">
        <v>354</v>
      </c>
      <c r="G66" s="46" t="s">
        <v>8</v>
      </c>
      <c r="H66" s="48" t="s">
        <v>7</v>
      </c>
      <c r="I66" s="235" t="s">
        <v>354</v>
      </c>
      <c r="J66" s="235" t="s">
        <v>354</v>
      </c>
      <c r="K66" s="184">
        <v>0.0</v>
      </c>
      <c r="L66" s="184" t="s">
        <v>354</v>
      </c>
      <c r="M66" s="265"/>
      <c r="N66" s="265"/>
      <c r="O66" s="184" t="s">
        <v>371</v>
      </c>
      <c r="P66" s="723">
        <v>0.0</v>
      </c>
      <c r="Q66" s="481" t="s">
        <v>356</v>
      </c>
      <c r="R66" s="49">
        <v>0.0</v>
      </c>
      <c r="S66" s="49">
        <v>0.0</v>
      </c>
      <c r="T66" s="49">
        <v>0.0</v>
      </c>
      <c r="U66" s="49" t="s">
        <v>356</v>
      </c>
      <c r="V66" s="166" t="s">
        <v>354</v>
      </c>
      <c r="W66" s="49" t="s">
        <v>356</v>
      </c>
      <c r="X66" s="49" t="s">
        <v>354</v>
      </c>
      <c r="Y66" s="729" t="s">
        <v>361</v>
      </c>
      <c r="Z66" s="729" t="s">
        <v>361</v>
      </c>
      <c r="AA66" s="730" t="s">
        <v>361</v>
      </c>
      <c r="AB66" s="730" t="s">
        <v>361</v>
      </c>
      <c r="AC66" s="728" t="s">
        <v>356</v>
      </c>
      <c r="AD66" s="728" t="s">
        <v>354</v>
      </c>
      <c r="AE66" s="46">
        <f t="shared" si="1"/>
        <v>0</v>
      </c>
      <c r="AF66" s="182"/>
      <c r="AG66" s="182"/>
      <c r="AH66" s="182"/>
      <c r="AI66" s="182"/>
      <c r="AJ66" s="80">
        <v>0.0</v>
      </c>
      <c r="AK66" s="80">
        <v>0.0</v>
      </c>
      <c r="AL66" s="80">
        <v>0.0</v>
      </c>
      <c r="AM66" s="80">
        <v>0.0</v>
      </c>
      <c r="AN66" s="80">
        <v>0.0</v>
      </c>
      <c r="AO66" s="224">
        <v>0.0</v>
      </c>
      <c r="AP66" s="80">
        <v>0.0</v>
      </c>
      <c r="AQ66" s="80">
        <v>0.0</v>
      </c>
      <c r="AR66" s="182">
        <f t="shared" si="2"/>
        <v>0</v>
      </c>
      <c r="AS66" s="182">
        <f t="shared" si="3"/>
        <v>0</v>
      </c>
    </row>
    <row r="67">
      <c r="A67" s="235">
        <v>72.0</v>
      </c>
      <c r="B67" s="690" t="s">
        <v>1914</v>
      </c>
      <c r="C67" s="714" t="s">
        <v>29</v>
      </c>
      <c r="D67" s="687" t="s">
        <v>401</v>
      </c>
      <c r="E67" s="545">
        <v>40953.0</v>
      </c>
      <c r="F67" s="47" t="s">
        <v>354</v>
      </c>
      <c r="G67" s="46" t="s">
        <v>8</v>
      </c>
      <c r="H67" s="48" t="s">
        <v>7</v>
      </c>
      <c r="I67" s="235" t="s">
        <v>354</v>
      </c>
      <c r="J67" s="235" t="s">
        <v>354</v>
      </c>
      <c r="K67" s="184">
        <v>0.0</v>
      </c>
      <c r="L67" s="184" t="s">
        <v>354</v>
      </c>
      <c r="M67" s="265"/>
      <c r="N67" s="265"/>
      <c r="O67" s="184" t="s">
        <v>371</v>
      </c>
      <c r="P67" s="723">
        <v>0.0</v>
      </c>
      <c r="Q67" s="722" t="s">
        <v>361</v>
      </c>
      <c r="R67" s="49">
        <v>0.0</v>
      </c>
      <c r="S67" s="49">
        <v>0.0</v>
      </c>
      <c r="T67" s="49">
        <v>0.0</v>
      </c>
      <c r="U67" s="49" t="s">
        <v>356</v>
      </c>
      <c r="V67" s="166" t="s">
        <v>354</v>
      </c>
      <c r="W67" s="49" t="s">
        <v>356</v>
      </c>
      <c r="X67" s="49" t="s">
        <v>354</v>
      </c>
      <c r="Y67" s="727" t="s">
        <v>356</v>
      </c>
      <c r="Z67" s="727" t="s">
        <v>354</v>
      </c>
      <c r="AA67" s="730" t="s">
        <v>361</v>
      </c>
      <c r="AB67" s="730" t="s">
        <v>361</v>
      </c>
      <c r="AC67" s="728" t="s">
        <v>356</v>
      </c>
      <c r="AD67" s="728" t="s">
        <v>354</v>
      </c>
      <c r="AE67" s="46">
        <f t="shared" si="1"/>
        <v>0</v>
      </c>
      <c r="AF67" s="182"/>
      <c r="AG67" s="182"/>
      <c r="AH67" s="182"/>
      <c r="AI67" s="182"/>
      <c r="AJ67" s="80">
        <v>0.0</v>
      </c>
      <c r="AK67" s="80">
        <v>0.0</v>
      </c>
      <c r="AL67" s="80">
        <v>0.0</v>
      </c>
      <c r="AM67" s="80">
        <v>0.0</v>
      </c>
      <c r="AN67" s="80">
        <v>0.0</v>
      </c>
      <c r="AO67" s="224">
        <v>0.0</v>
      </c>
      <c r="AP67" s="80">
        <v>0.0</v>
      </c>
      <c r="AQ67" s="80">
        <v>0.0</v>
      </c>
      <c r="AR67" s="182">
        <f t="shared" si="2"/>
        <v>0</v>
      </c>
      <c r="AS67" s="182">
        <f t="shared" si="3"/>
        <v>0</v>
      </c>
    </row>
    <row r="68">
      <c r="A68" s="235">
        <v>73.0</v>
      </c>
      <c r="B68" s="717" t="s">
        <v>1915</v>
      </c>
      <c r="C68" s="702" t="s">
        <v>36</v>
      </c>
      <c r="D68" s="692" t="s">
        <v>411</v>
      </c>
      <c r="E68" s="545">
        <v>40953.0</v>
      </c>
      <c r="F68" s="47" t="s">
        <v>354</v>
      </c>
      <c r="G68" s="46" t="s">
        <v>8</v>
      </c>
      <c r="H68" s="63" t="s">
        <v>7</v>
      </c>
      <c r="I68" s="235" t="s">
        <v>354</v>
      </c>
      <c r="J68" s="235" t="s">
        <v>354</v>
      </c>
      <c r="K68" s="158">
        <v>1.0</v>
      </c>
      <c r="L68" s="158" t="s">
        <v>354</v>
      </c>
      <c r="M68" s="265"/>
      <c r="N68" s="265"/>
      <c r="O68" s="158" t="s">
        <v>1916</v>
      </c>
      <c r="P68" s="750">
        <v>41.9554061591716</v>
      </c>
      <c r="Q68" s="762" t="s">
        <v>420</v>
      </c>
      <c r="R68" s="49">
        <v>0.0</v>
      </c>
      <c r="S68" s="49">
        <v>0.0</v>
      </c>
      <c r="T68" s="49">
        <v>0.0</v>
      </c>
      <c r="U68" s="49" t="s">
        <v>356</v>
      </c>
      <c r="V68" s="166" t="s">
        <v>354</v>
      </c>
      <c r="W68" s="49" t="s">
        <v>356</v>
      </c>
      <c r="X68" s="49" t="s">
        <v>354</v>
      </c>
      <c r="Y68" s="724" t="s">
        <v>365</v>
      </c>
      <c r="Z68" s="44" t="s">
        <v>1786</v>
      </c>
      <c r="AA68" s="730" t="s">
        <v>361</v>
      </c>
      <c r="AB68" s="730" t="s">
        <v>361</v>
      </c>
      <c r="AC68" s="726" t="s">
        <v>365</v>
      </c>
      <c r="AD68" s="762" t="s">
        <v>1786</v>
      </c>
      <c r="AE68" s="357">
        <f t="shared" si="1"/>
        <v>3</v>
      </c>
      <c r="AF68" s="182"/>
      <c r="AG68" s="182"/>
      <c r="AH68" s="182"/>
      <c r="AI68" s="182"/>
      <c r="AJ68" s="80">
        <v>0.0</v>
      </c>
      <c r="AK68" s="224">
        <v>2.0</v>
      </c>
      <c r="AL68" s="80">
        <v>0.0</v>
      </c>
      <c r="AM68" s="80">
        <v>0.0</v>
      </c>
      <c r="AN68" s="80">
        <v>0.0</v>
      </c>
      <c r="AO68" s="224">
        <v>0.0</v>
      </c>
      <c r="AP68" s="80">
        <v>0.0</v>
      </c>
      <c r="AQ68" s="80">
        <v>0.0</v>
      </c>
      <c r="AR68" s="358">
        <f t="shared" si="2"/>
        <v>2</v>
      </c>
      <c r="AS68" s="358">
        <f t="shared" si="3"/>
        <v>1</v>
      </c>
    </row>
    <row r="69">
      <c r="A69" s="235">
        <v>74.0</v>
      </c>
      <c r="B69" s="690" t="s">
        <v>6</v>
      </c>
      <c r="C69" s="271" t="s">
        <v>6</v>
      </c>
      <c r="D69" s="687" t="s">
        <v>1599</v>
      </c>
      <c r="E69" s="545">
        <v>40953.0</v>
      </c>
      <c r="F69" s="47" t="s">
        <v>354</v>
      </c>
      <c r="G69" s="46" t="s">
        <v>8</v>
      </c>
      <c r="H69" s="48" t="s">
        <v>7</v>
      </c>
      <c r="I69" s="235" t="s">
        <v>354</v>
      </c>
      <c r="J69" s="235" t="s">
        <v>354</v>
      </c>
      <c r="K69" s="184">
        <v>0.0</v>
      </c>
      <c r="L69" s="184" t="s">
        <v>354</v>
      </c>
      <c r="M69" s="265"/>
      <c r="N69" s="265"/>
      <c r="O69" s="184" t="s">
        <v>371</v>
      </c>
      <c r="P69" s="723">
        <v>0.0</v>
      </c>
      <c r="Q69" s="481" t="s">
        <v>356</v>
      </c>
      <c r="R69" s="49">
        <v>0.0</v>
      </c>
      <c r="S69" s="49">
        <v>0.0</v>
      </c>
      <c r="T69" s="49">
        <v>0.0</v>
      </c>
      <c r="U69" s="49" t="s">
        <v>356</v>
      </c>
      <c r="V69" s="166" t="s">
        <v>354</v>
      </c>
      <c r="W69" s="49" t="s">
        <v>356</v>
      </c>
      <c r="X69" s="49" t="s">
        <v>354</v>
      </c>
      <c r="Y69" s="727" t="s">
        <v>356</v>
      </c>
      <c r="Z69" s="727" t="s">
        <v>354</v>
      </c>
      <c r="AA69" s="730" t="s">
        <v>361</v>
      </c>
      <c r="AB69" s="730" t="s">
        <v>361</v>
      </c>
      <c r="AC69" s="728" t="s">
        <v>356</v>
      </c>
      <c r="AD69" s="728" t="s">
        <v>354</v>
      </c>
      <c r="AE69" s="46">
        <f t="shared" si="1"/>
        <v>0</v>
      </c>
      <c r="AF69" s="182"/>
      <c r="AG69" s="182"/>
      <c r="AH69" s="182"/>
      <c r="AI69" s="182"/>
      <c r="AJ69" s="80">
        <v>0.0</v>
      </c>
      <c r="AK69" s="80">
        <v>0.0</v>
      </c>
      <c r="AL69" s="80">
        <v>0.0</v>
      </c>
      <c r="AM69" s="80">
        <v>0.0</v>
      </c>
      <c r="AN69" s="80">
        <v>0.0</v>
      </c>
      <c r="AO69" s="224">
        <v>0.0</v>
      </c>
      <c r="AP69" s="80">
        <v>0.0</v>
      </c>
      <c r="AQ69" s="80">
        <v>0.0</v>
      </c>
      <c r="AR69" s="182">
        <f t="shared" si="2"/>
        <v>0</v>
      </c>
      <c r="AS69" s="182">
        <f t="shared" si="3"/>
        <v>0</v>
      </c>
    </row>
    <row r="70">
      <c r="A70" s="235">
        <v>76.0</v>
      </c>
      <c r="B70" s="690" t="s">
        <v>1012</v>
      </c>
      <c r="C70" s="690" t="s">
        <v>1009</v>
      </c>
      <c r="D70" s="716" t="s">
        <v>1009</v>
      </c>
      <c r="E70" s="545">
        <v>40953.0</v>
      </c>
      <c r="F70" s="47" t="s">
        <v>354</v>
      </c>
      <c r="G70" s="235" t="s">
        <v>8</v>
      </c>
      <c r="H70" s="235" t="s">
        <v>433</v>
      </c>
      <c r="I70" s="235" t="s">
        <v>354</v>
      </c>
      <c r="J70" s="235" t="s">
        <v>354</v>
      </c>
      <c r="K70" s="184">
        <v>0.0</v>
      </c>
      <c r="L70" s="184" t="s">
        <v>354</v>
      </c>
      <c r="M70" s="265"/>
      <c r="N70" s="265"/>
      <c r="O70" s="184" t="s">
        <v>371</v>
      </c>
      <c r="P70" s="723">
        <v>0.0</v>
      </c>
      <c r="Q70" s="481" t="s">
        <v>356</v>
      </c>
      <c r="R70" s="49">
        <v>0.0</v>
      </c>
      <c r="S70" s="49">
        <v>0.0</v>
      </c>
      <c r="T70" s="49">
        <v>0.0</v>
      </c>
      <c r="U70" s="49" t="s">
        <v>356</v>
      </c>
      <c r="V70" s="166" t="s">
        <v>354</v>
      </c>
      <c r="W70" s="49" t="s">
        <v>356</v>
      </c>
      <c r="X70" s="49" t="s">
        <v>354</v>
      </c>
      <c r="Y70" s="727" t="s">
        <v>356</v>
      </c>
      <c r="Z70" s="727" t="s">
        <v>354</v>
      </c>
      <c r="AA70" s="730" t="s">
        <v>361</v>
      </c>
      <c r="AB70" s="730" t="s">
        <v>361</v>
      </c>
      <c r="AC70" s="728" t="s">
        <v>356</v>
      </c>
      <c r="AD70" s="728" t="s">
        <v>354</v>
      </c>
      <c r="AE70" s="46">
        <f t="shared" si="1"/>
        <v>0</v>
      </c>
      <c r="AF70" s="182"/>
      <c r="AG70" s="182"/>
      <c r="AH70" s="182"/>
      <c r="AI70" s="182"/>
      <c r="AJ70" s="80">
        <v>0.0</v>
      </c>
      <c r="AK70" s="80">
        <v>0.0</v>
      </c>
      <c r="AL70" s="80">
        <v>0.0</v>
      </c>
      <c r="AM70" s="80">
        <v>0.0</v>
      </c>
      <c r="AN70" s="80">
        <v>0.0</v>
      </c>
      <c r="AO70" s="224">
        <v>0.0</v>
      </c>
      <c r="AP70" s="80">
        <v>0.0</v>
      </c>
      <c r="AQ70" s="80">
        <v>0.0</v>
      </c>
      <c r="AR70" s="182">
        <f t="shared" si="2"/>
        <v>0</v>
      </c>
      <c r="AS70" s="182">
        <f t="shared" si="3"/>
        <v>0</v>
      </c>
    </row>
    <row r="71">
      <c r="A71" s="235">
        <v>77.0</v>
      </c>
      <c r="B71" s="717">
        <v>1037.0</v>
      </c>
      <c r="C71" s="684" t="s">
        <v>161</v>
      </c>
      <c r="D71" s="692" t="s">
        <v>645</v>
      </c>
      <c r="E71" s="545">
        <v>40953.0</v>
      </c>
      <c r="F71" s="47" t="s">
        <v>354</v>
      </c>
      <c r="G71" s="46" t="s">
        <v>67</v>
      </c>
      <c r="H71" s="63" t="s">
        <v>7</v>
      </c>
      <c r="I71" s="235" t="s">
        <v>354</v>
      </c>
      <c r="J71" s="235" t="s">
        <v>354</v>
      </c>
      <c r="K71" s="158">
        <v>3.0</v>
      </c>
      <c r="L71" s="158" t="s">
        <v>647</v>
      </c>
      <c r="M71" s="265"/>
      <c r="N71" s="265"/>
      <c r="O71" s="158" t="s">
        <v>600</v>
      </c>
      <c r="P71" s="723">
        <v>0.0</v>
      </c>
      <c r="Q71" s="481" t="s">
        <v>356</v>
      </c>
      <c r="R71" s="49">
        <v>0.0</v>
      </c>
      <c r="S71" s="49">
        <v>0.0</v>
      </c>
      <c r="T71" s="49">
        <v>0.0</v>
      </c>
      <c r="U71" s="49" t="s">
        <v>356</v>
      </c>
      <c r="V71" s="166" t="s">
        <v>354</v>
      </c>
      <c r="W71" s="49" t="s">
        <v>356</v>
      </c>
      <c r="X71" s="49" t="s">
        <v>354</v>
      </c>
      <c r="Y71" s="727" t="s">
        <v>356</v>
      </c>
      <c r="Z71" s="727" t="s">
        <v>354</v>
      </c>
      <c r="AA71" s="730" t="s">
        <v>361</v>
      </c>
      <c r="AB71" s="730" t="s">
        <v>361</v>
      </c>
      <c r="AC71" s="726" t="s">
        <v>365</v>
      </c>
      <c r="AD71" s="752" t="s">
        <v>1883</v>
      </c>
      <c r="AE71" s="367">
        <f t="shared" si="1"/>
        <v>1</v>
      </c>
      <c r="AF71" s="182"/>
      <c r="AG71" s="182"/>
      <c r="AH71" s="182"/>
      <c r="AI71" s="182"/>
      <c r="AJ71" s="80">
        <v>0.0</v>
      </c>
      <c r="AK71" s="80">
        <v>0.0</v>
      </c>
      <c r="AL71" s="80">
        <v>0.0</v>
      </c>
      <c r="AM71" s="80">
        <v>0.0</v>
      </c>
      <c r="AN71" s="224">
        <v>1.0</v>
      </c>
      <c r="AO71" s="224">
        <v>0.0</v>
      </c>
      <c r="AP71" s="80">
        <v>0.0</v>
      </c>
      <c r="AQ71" s="80">
        <v>0.0</v>
      </c>
      <c r="AR71" s="363">
        <f t="shared" si="2"/>
        <v>1</v>
      </c>
      <c r="AS71" s="363">
        <f t="shared" si="3"/>
        <v>1</v>
      </c>
    </row>
    <row r="72">
      <c r="A72" s="235">
        <v>78.0</v>
      </c>
      <c r="B72" s="690">
        <v>6698.0</v>
      </c>
      <c r="C72" s="715" t="s">
        <v>1014</v>
      </c>
      <c r="D72" s="687" t="s">
        <v>1014</v>
      </c>
      <c r="E72" s="720">
        <v>40953.0</v>
      </c>
      <c r="F72" s="47" t="s">
        <v>354</v>
      </c>
      <c r="G72" s="235" t="s">
        <v>67</v>
      </c>
      <c r="H72" s="235" t="s">
        <v>433</v>
      </c>
      <c r="I72" s="235" t="s">
        <v>354</v>
      </c>
      <c r="J72" s="235" t="s">
        <v>354</v>
      </c>
      <c r="K72" s="184">
        <v>0.0</v>
      </c>
      <c r="L72" s="184" t="s">
        <v>354</v>
      </c>
      <c r="M72" s="265"/>
      <c r="N72" s="265"/>
      <c r="O72" s="184" t="s">
        <v>371</v>
      </c>
      <c r="P72" s="723">
        <v>0.0</v>
      </c>
      <c r="Q72" s="481" t="s">
        <v>356</v>
      </c>
      <c r="R72" s="49">
        <v>0.0</v>
      </c>
      <c r="S72" s="49">
        <v>0.0</v>
      </c>
      <c r="T72" s="49">
        <v>0.0</v>
      </c>
      <c r="U72" s="49" t="s">
        <v>356</v>
      </c>
      <c r="V72" s="166" t="s">
        <v>354</v>
      </c>
      <c r="W72" s="49" t="s">
        <v>356</v>
      </c>
      <c r="X72" s="49" t="s">
        <v>354</v>
      </c>
      <c r="Y72" s="727" t="s">
        <v>356</v>
      </c>
      <c r="Z72" s="727" t="s">
        <v>354</v>
      </c>
      <c r="AA72" s="730" t="s">
        <v>361</v>
      </c>
      <c r="AB72" s="730" t="s">
        <v>361</v>
      </c>
      <c r="AC72" s="728" t="s">
        <v>356</v>
      </c>
      <c r="AD72" s="728" t="s">
        <v>354</v>
      </c>
      <c r="AE72" s="46">
        <f t="shared" si="1"/>
        <v>0</v>
      </c>
      <c r="AF72" s="182"/>
      <c r="AG72" s="182"/>
      <c r="AH72" s="182"/>
      <c r="AI72" s="182"/>
      <c r="AJ72" s="80">
        <v>0.0</v>
      </c>
      <c r="AK72" s="80">
        <v>0.0</v>
      </c>
      <c r="AL72" s="80">
        <v>0.0</v>
      </c>
      <c r="AM72" s="80">
        <v>0.0</v>
      </c>
      <c r="AN72" s="80">
        <v>0.0</v>
      </c>
      <c r="AO72" s="224">
        <v>0.0</v>
      </c>
      <c r="AP72" s="80">
        <v>0.0</v>
      </c>
      <c r="AQ72" s="80">
        <v>0.0</v>
      </c>
      <c r="AR72" s="182">
        <f t="shared" si="2"/>
        <v>0</v>
      </c>
      <c r="AS72" s="182">
        <f t="shared" si="3"/>
        <v>0</v>
      </c>
    </row>
    <row r="73">
      <c r="A73" s="235">
        <v>79.0</v>
      </c>
      <c r="B73" s="717" t="s">
        <v>1917</v>
      </c>
      <c r="C73" s="710" t="s">
        <v>694</v>
      </c>
      <c r="D73" s="741" t="s">
        <v>695</v>
      </c>
      <c r="E73" s="545">
        <v>40953.0</v>
      </c>
      <c r="F73" s="47" t="s">
        <v>354</v>
      </c>
      <c r="G73" s="235" t="s">
        <v>8</v>
      </c>
      <c r="H73" s="235" t="s">
        <v>7</v>
      </c>
      <c r="I73" s="235" t="s">
        <v>354</v>
      </c>
      <c r="J73" s="235" t="s">
        <v>354</v>
      </c>
      <c r="K73" s="158">
        <v>2.0</v>
      </c>
      <c r="L73" s="158" t="s">
        <v>697</v>
      </c>
      <c r="M73" s="265"/>
      <c r="N73" s="265"/>
      <c r="O73" s="158" t="s">
        <v>398</v>
      </c>
      <c r="P73" s="750">
        <v>44.1044721144322</v>
      </c>
      <c r="Q73" s="481" t="s">
        <v>356</v>
      </c>
      <c r="R73" s="49">
        <v>0.0</v>
      </c>
      <c r="S73" s="49">
        <v>0.0</v>
      </c>
      <c r="T73" s="49">
        <v>0.0</v>
      </c>
      <c r="U73" s="49" t="s">
        <v>356</v>
      </c>
      <c r="V73" s="166" t="s">
        <v>354</v>
      </c>
      <c r="W73" s="49" t="s">
        <v>356</v>
      </c>
      <c r="X73" s="49" t="s">
        <v>354</v>
      </c>
      <c r="Y73" s="724" t="s">
        <v>365</v>
      </c>
      <c r="Z73" s="155" t="s">
        <v>1651</v>
      </c>
      <c r="AA73" s="730" t="s">
        <v>361</v>
      </c>
      <c r="AB73" s="730" t="s">
        <v>361</v>
      </c>
      <c r="AC73" s="726" t="s">
        <v>365</v>
      </c>
      <c r="AD73" s="699" t="s">
        <v>1605</v>
      </c>
      <c r="AE73" s="357">
        <f t="shared" si="1"/>
        <v>3</v>
      </c>
      <c r="AF73" s="182"/>
      <c r="AG73" s="182"/>
      <c r="AH73" s="182"/>
      <c r="AI73" s="182"/>
      <c r="AJ73" s="80">
        <v>0.0</v>
      </c>
      <c r="AK73" s="80">
        <v>0.0</v>
      </c>
      <c r="AL73" s="80">
        <v>0.0</v>
      </c>
      <c r="AM73" s="224">
        <v>2.0</v>
      </c>
      <c r="AN73" s="80">
        <v>0.0</v>
      </c>
      <c r="AO73" s="224">
        <v>0.0</v>
      </c>
      <c r="AP73" s="80">
        <v>0.0</v>
      </c>
      <c r="AQ73" s="80">
        <v>0.0</v>
      </c>
      <c r="AR73" s="358">
        <f t="shared" si="2"/>
        <v>2</v>
      </c>
      <c r="AS73" s="358">
        <f t="shared" si="3"/>
        <v>1</v>
      </c>
    </row>
    <row r="74">
      <c r="A74" s="235">
        <v>80.0</v>
      </c>
      <c r="B74" s="235">
        <v>3158.0</v>
      </c>
      <c r="C74" s="63" t="s">
        <v>1918</v>
      </c>
      <c r="D74" s="482" t="s">
        <v>1918</v>
      </c>
      <c r="E74" s="545">
        <v>40953.0</v>
      </c>
      <c r="F74" s="47" t="s">
        <v>354</v>
      </c>
      <c r="G74" s="235" t="s">
        <v>8</v>
      </c>
      <c r="H74" s="235" t="s">
        <v>433</v>
      </c>
      <c r="I74" s="235" t="s">
        <v>354</v>
      </c>
      <c r="J74" s="235" t="s">
        <v>354</v>
      </c>
      <c r="K74" s="235" t="s">
        <v>354</v>
      </c>
      <c r="L74" s="235"/>
      <c r="M74" s="235" t="s">
        <v>354</v>
      </c>
      <c r="N74" s="235" t="s">
        <v>354</v>
      </c>
      <c r="O74" s="235" t="s">
        <v>354</v>
      </c>
      <c r="P74" s="723">
        <v>0.0</v>
      </c>
      <c r="Q74" s="481" t="s">
        <v>356</v>
      </c>
      <c r="R74" s="49">
        <v>0.0</v>
      </c>
      <c r="S74" s="49">
        <v>0.0</v>
      </c>
      <c r="T74" s="49">
        <v>0.0</v>
      </c>
      <c r="U74" s="49" t="s">
        <v>356</v>
      </c>
      <c r="V74" s="166" t="s">
        <v>354</v>
      </c>
      <c r="W74" s="49" t="s">
        <v>356</v>
      </c>
      <c r="X74" s="49" t="s">
        <v>354</v>
      </c>
      <c r="Y74" s="727" t="s">
        <v>356</v>
      </c>
      <c r="Z74" s="727" t="s">
        <v>354</v>
      </c>
      <c r="AA74" s="730" t="s">
        <v>361</v>
      </c>
      <c r="AB74" s="730" t="s">
        <v>361</v>
      </c>
      <c r="AC74" s="726" t="s">
        <v>365</v>
      </c>
      <c r="AD74" s="62" t="s">
        <v>1869</v>
      </c>
      <c r="AE74" s="367">
        <f t="shared" si="1"/>
        <v>1</v>
      </c>
      <c r="AF74" s="182"/>
      <c r="AG74" s="182"/>
      <c r="AH74" s="182"/>
      <c r="AI74" s="182"/>
      <c r="AJ74" s="224">
        <v>1.0</v>
      </c>
      <c r="AK74" s="80">
        <v>0.0</v>
      </c>
      <c r="AL74" s="80">
        <v>0.0</v>
      </c>
      <c r="AM74" s="80">
        <v>0.0</v>
      </c>
      <c r="AN74" s="80">
        <v>0.0</v>
      </c>
      <c r="AO74" s="224">
        <v>0.0</v>
      </c>
      <c r="AP74" s="80">
        <v>0.0</v>
      </c>
      <c r="AQ74" s="80">
        <v>0.0</v>
      </c>
      <c r="AR74" s="363">
        <f t="shared" si="2"/>
        <v>1</v>
      </c>
      <c r="AS74" s="363">
        <f t="shared" si="3"/>
        <v>1</v>
      </c>
    </row>
    <row r="75">
      <c r="A75" s="235">
        <v>81.0</v>
      </c>
      <c r="B75" s="690" t="s">
        <v>1919</v>
      </c>
      <c r="C75" s="715" t="s">
        <v>1780</v>
      </c>
      <c r="D75" s="687" t="s">
        <v>735</v>
      </c>
      <c r="E75" s="720">
        <v>40953.0</v>
      </c>
      <c r="F75" s="47" t="s">
        <v>354</v>
      </c>
      <c r="G75" s="49" t="s">
        <v>1057</v>
      </c>
      <c r="H75" s="63" t="s">
        <v>62</v>
      </c>
      <c r="I75" s="235" t="s">
        <v>354</v>
      </c>
      <c r="J75" s="235" t="s">
        <v>354</v>
      </c>
      <c r="K75" s="184">
        <v>0.0</v>
      </c>
      <c r="L75" s="184" t="s">
        <v>354</v>
      </c>
      <c r="M75" s="265"/>
      <c r="N75" s="265"/>
      <c r="O75" s="184" t="s">
        <v>371</v>
      </c>
      <c r="P75" s="750">
        <v>42.3598883006538</v>
      </c>
      <c r="Q75" s="722" t="s">
        <v>1920</v>
      </c>
      <c r="R75" s="49">
        <v>0.0</v>
      </c>
      <c r="S75" s="49">
        <v>0.0</v>
      </c>
      <c r="T75" s="49">
        <v>0.0</v>
      </c>
      <c r="U75" s="722" t="s">
        <v>741</v>
      </c>
      <c r="V75" s="722" t="s">
        <v>361</v>
      </c>
      <c r="W75" s="49" t="s">
        <v>356</v>
      </c>
      <c r="X75" s="49" t="s">
        <v>354</v>
      </c>
      <c r="Y75" s="724" t="s">
        <v>365</v>
      </c>
      <c r="Z75" s="164" t="s">
        <v>1890</v>
      </c>
      <c r="AA75" s="734" t="s">
        <v>365</v>
      </c>
      <c r="AB75" s="618" t="s">
        <v>389</v>
      </c>
      <c r="AC75" s="726" t="s">
        <v>365</v>
      </c>
      <c r="AD75" s="745" t="s">
        <v>1921</v>
      </c>
      <c r="AE75" s="357">
        <f t="shared" si="1"/>
        <v>4</v>
      </c>
      <c r="AF75" s="763"/>
      <c r="AG75" s="764"/>
      <c r="AH75" s="182"/>
      <c r="AI75" s="182"/>
      <c r="AJ75" s="224">
        <v>2.0</v>
      </c>
      <c r="AK75" s="80">
        <v>0.0</v>
      </c>
      <c r="AL75" s="80">
        <v>0.0</v>
      </c>
      <c r="AM75" s="80">
        <v>0.0</v>
      </c>
      <c r="AN75" s="224">
        <v>2.0</v>
      </c>
      <c r="AO75" s="224">
        <v>0.0</v>
      </c>
      <c r="AP75" s="80">
        <v>0.0</v>
      </c>
      <c r="AQ75" s="80">
        <v>0.0</v>
      </c>
      <c r="AR75" s="358">
        <f t="shared" si="2"/>
        <v>4</v>
      </c>
      <c r="AS75" s="358">
        <f t="shared" si="3"/>
        <v>2</v>
      </c>
    </row>
    <row r="76">
      <c r="A76" s="235">
        <v>82.0</v>
      </c>
      <c r="B76" s="762" t="s">
        <v>1064</v>
      </c>
      <c r="C76" s="235" t="s">
        <v>1064</v>
      </c>
      <c r="D76" s="234" t="s">
        <v>1064</v>
      </c>
      <c r="E76" s="545">
        <v>40953.0</v>
      </c>
      <c r="F76" s="47" t="s">
        <v>354</v>
      </c>
      <c r="G76" s="235" t="s">
        <v>1057</v>
      </c>
      <c r="H76" s="235" t="s">
        <v>1057</v>
      </c>
      <c r="I76" s="235" t="s">
        <v>354</v>
      </c>
      <c r="J76" s="235" t="s">
        <v>354</v>
      </c>
      <c r="K76" s="235" t="s">
        <v>354</v>
      </c>
      <c r="L76" s="235"/>
      <c r="M76" s="235" t="s">
        <v>354</v>
      </c>
      <c r="N76" s="235" t="s">
        <v>354</v>
      </c>
      <c r="O76" s="235" t="s">
        <v>354</v>
      </c>
      <c r="P76" s="723">
        <v>0.0</v>
      </c>
      <c r="Q76" s="235" t="s">
        <v>354</v>
      </c>
      <c r="R76" s="49">
        <v>0.0</v>
      </c>
      <c r="S76" s="49">
        <v>0.0</v>
      </c>
      <c r="T76" s="49">
        <v>0.0</v>
      </c>
      <c r="U76" s="235" t="s">
        <v>354</v>
      </c>
      <c r="V76" s="235" t="s">
        <v>354</v>
      </c>
      <c r="W76" s="49" t="s">
        <v>354</v>
      </c>
      <c r="X76" s="49" t="s">
        <v>354</v>
      </c>
      <c r="Y76" s="727" t="s">
        <v>356</v>
      </c>
      <c r="Z76" s="727" t="s">
        <v>354</v>
      </c>
      <c r="AA76" s="730" t="s">
        <v>361</v>
      </c>
      <c r="AB76" s="725" t="s">
        <v>354</v>
      </c>
      <c r="AC76" s="728" t="s">
        <v>356</v>
      </c>
      <c r="AD76" s="758" t="s">
        <v>354</v>
      </c>
      <c r="AE76" s="46">
        <f t="shared" si="1"/>
        <v>0</v>
      </c>
      <c r="AF76" s="182"/>
      <c r="AG76" s="182"/>
      <c r="AH76" s="182"/>
      <c r="AI76" s="182"/>
      <c r="AJ76" s="80">
        <v>0.0</v>
      </c>
      <c r="AK76" s="80">
        <v>0.0</v>
      </c>
      <c r="AL76" s="80">
        <v>0.0</v>
      </c>
      <c r="AM76" s="80">
        <v>0.0</v>
      </c>
      <c r="AN76" s="80">
        <v>0.0</v>
      </c>
      <c r="AO76" s="224">
        <v>0.0</v>
      </c>
      <c r="AP76" s="80">
        <v>0.0</v>
      </c>
      <c r="AQ76" s="80">
        <v>0.0</v>
      </c>
      <c r="AR76" s="182">
        <f t="shared" si="2"/>
        <v>0</v>
      </c>
      <c r="AS76" s="182">
        <f t="shared" si="3"/>
        <v>0</v>
      </c>
    </row>
    <row r="77">
      <c r="A77" s="49" t="s">
        <v>1606</v>
      </c>
      <c r="B77" s="235" t="s">
        <v>354</v>
      </c>
      <c r="C77" s="235" t="s">
        <v>354</v>
      </c>
      <c r="D77" s="235" t="s">
        <v>354</v>
      </c>
      <c r="E77" s="235" t="s">
        <v>354</v>
      </c>
      <c r="F77" s="235" t="s">
        <v>354</v>
      </c>
      <c r="G77" s="235" t="s">
        <v>354</v>
      </c>
      <c r="H77" s="235" t="s">
        <v>354</v>
      </c>
      <c r="I77" s="235" t="s">
        <v>354</v>
      </c>
      <c r="J77" s="235" t="s">
        <v>354</v>
      </c>
      <c r="K77" s="235" t="s">
        <v>354</v>
      </c>
      <c r="L77" s="235"/>
      <c r="M77" s="235" t="s">
        <v>354</v>
      </c>
      <c r="N77" s="235" t="s">
        <v>354</v>
      </c>
      <c r="O77" s="235" t="s">
        <v>354</v>
      </c>
      <c r="P77" s="765">
        <v>21.1607018971034</v>
      </c>
      <c r="Q77" s="756" t="s">
        <v>354</v>
      </c>
      <c r="R77" s="55">
        <v>28.6027729686101</v>
      </c>
      <c r="S77" s="55">
        <v>28.1298680445181</v>
      </c>
      <c r="T77" s="55">
        <v>33.61</v>
      </c>
      <c r="U77" s="756" t="s">
        <v>354</v>
      </c>
      <c r="V77" s="756" t="s">
        <v>354</v>
      </c>
      <c r="W77" s="49" t="s">
        <v>354</v>
      </c>
      <c r="X77" s="49" t="s">
        <v>354</v>
      </c>
      <c r="Y77" s="724" t="s">
        <v>365</v>
      </c>
      <c r="Z77" s="732" t="s">
        <v>1922</v>
      </c>
      <c r="AA77" s="734" t="s">
        <v>365</v>
      </c>
      <c r="AB77" s="766" t="s">
        <v>1607</v>
      </c>
      <c r="AC77" s="726" t="s">
        <v>365</v>
      </c>
      <c r="AD77" s="758" t="s">
        <v>1607</v>
      </c>
      <c r="AE77" s="46">
        <f t="shared" si="1"/>
        <v>4</v>
      </c>
      <c r="AF77" s="182"/>
      <c r="AG77" s="182"/>
      <c r="AH77" s="182"/>
      <c r="AI77" s="182"/>
      <c r="AJ77" s="182"/>
      <c r="AK77" s="182"/>
      <c r="AL77" s="182"/>
      <c r="AM77" s="182"/>
      <c r="AN77" s="182"/>
      <c r="AO77" s="182"/>
      <c r="AP77" s="182"/>
      <c r="AQ77" s="182"/>
      <c r="AR77" s="182"/>
      <c r="AS77" s="182"/>
    </row>
    <row r="78">
      <c r="A78" s="49" t="s">
        <v>1608</v>
      </c>
      <c r="B78" s="235" t="s">
        <v>354</v>
      </c>
      <c r="C78" s="235" t="s">
        <v>354</v>
      </c>
      <c r="D78" s="235" t="s">
        <v>354</v>
      </c>
      <c r="E78" s="235" t="s">
        <v>354</v>
      </c>
      <c r="F78" s="235" t="s">
        <v>354</v>
      </c>
      <c r="G78" s="235" t="s">
        <v>354</v>
      </c>
      <c r="H78" s="235" t="s">
        <v>354</v>
      </c>
      <c r="I78" s="235" t="s">
        <v>354</v>
      </c>
      <c r="J78" s="235" t="s">
        <v>354</v>
      </c>
      <c r="K78" s="235" t="s">
        <v>354</v>
      </c>
      <c r="L78" s="235"/>
      <c r="M78" s="235" t="s">
        <v>354</v>
      </c>
      <c r="N78" s="235" t="s">
        <v>354</v>
      </c>
      <c r="O78" s="235" t="s">
        <v>354</v>
      </c>
      <c r="P78" s="723">
        <v>0.0</v>
      </c>
      <c r="Q78" s="756" t="s">
        <v>354</v>
      </c>
      <c r="R78" s="49">
        <v>0.0</v>
      </c>
      <c r="S78" s="49">
        <v>0.0</v>
      </c>
      <c r="T78" s="49">
        <v>0.0</v>
      </c>
      <c r="U78" s="756" t="s">
        <v>354</v>
      </c>
      <c r="V78" s="756" t="s">
        <v>354</v>
      </c>
      <c r="W78" s="235" t="s">
        <v>354</v>
      </c>
      <c r="X78" s="235" t="s">
        <v>354</v>
      </c>
      <c r="Y78" s="727" t="s">
        <v>356</v>
      </c>
      <c r="Z78" s="732" t="s">
        <v>354</v>
      </c>
      <c r="AA78" s="725" t="s">
        <v>356</v>
      </c>
      <c r="AB78" s="725" t="s">
        <v>354</v>
      </c>
      <c r="AC78" s="728" t="s">
        <v>356</v>
      </c>
      <c r="AD78" s="758" t="s">
        <v>354</v>
      </c>
      <c r="AE78" s="46">
        <f t="shared" si="1"/>
        <v>0</v>
      </c>
      <c r="AF78" s="182"/>
      <c r="AG78" s="182"/>
      <c r="AH78" s="182"/>
      <c r="AI78" s="182"/>
      <c r="AJ78" s="182"/>
      <c r="AK78" s="182"/>
      <c r="AL78" s="182"/>
      <c r="AM78" s="182"/>
      <c r="AN78" s="182"/>
      <c r="AO78" s="182"/>
      <c r="AP78" s="182"/>
      <c r="AQ78" s="182"/>
      <c r="AR78" s="182"/>
      <c r="AS78" s="182"/>
    </row>
    <row r="79">
      <c r="A79" s="235" t="s">
        <v>1923</v>
      </c>
      <c r="B79" s="235">
        <v>4146.0</v>
      </c>
      <c r="C79" s="235" t="s">
        <v>1924</v>
      </c>
      <c r="D79" s="234" t="s">
        <v>1924</v>
      </c>
      <c r="E79" s="545">
        <v>40953.0</v>
      </c>
      <c r="F79" s="235" t="s">
        <v>354</v>
      </c>
      <c r="G79" s="235" t="s">
        <v>354</v>
      </c>
      <c r="H79" s="235" t="s">
        <v>354</v>
      </c>
      <c r="I79" s="235" t="s">
        <v>354</v>
      </c>
      <c r="J79" s="235" t="s">
        <v>354</v>
      </c>
      <c r="K79" s="235" t="s">
        <v>354</v>
      </c>
      <c r="L79" s="235"/>
      <c r="M79" s="235" t="s">
        <v>354</v>
      </c>
      <c r="N79" s="235" t="s">
        <v>354</v>
      </c>
      <c r="O79" s="235" t="s">
        <v>354</v>
      </c>
      <c r="P79" s="723">
        <v>0.0</v>
      </c>
      <c r="Q79" s="756" t="s">
        <v>354</v>
      </c>
      <c r="R79" s="49">
        <v>0.0</v>
      </c>
      <c r="S79" s="49">
        <v>0.0</v>
      </c>
      <c r="T79" s="49">
        <v>0.0</v>
      </c>
      <c r="U79" s="756" t="s">
        <v>354</v>
      </c>
      <c r="V79" s="756" t="s">
        <v>354</v>
      </c>
      <c r="W79" s="235" t="s">
        <v>354</v>
      </c>
      <c r="X79" s="235" t="s">
        <v>354</v>
      </c>
      <c r="Y79" s="727" t="s">
        <v>356</v>
      </c>
      <c r="Z79" s="732" t="s">
        <v>354</v>
      </c>
      <c r="AA79" s="757" t="s">
        <v>356</v>
      </c>
      <c r="AB79" s="757" t="s">
        <v>354</v>
      </c>
      <c r="AC79" s="728" t="s">
        <v>356</v>
      </c>
      <c r="AD79" s="758" t="s">
        <v>354</v>
      </c>
      <c r="AE79" s="46">
        <f t="shared" si="1"/>
        <v>0</v>
      </c>
      <c r="AI79" s="46"/>
      <c r="AJ79" s="80">
        <v>0.0</v>
      </c>
      <c r="AK79" s="80">
        <v>0.0</v>
      </c>
      <c r="AL79" s="80">
        <v>0.0</v>
      </c>
      <c r="AM79" s="80">
        <v>0.0</v>
      </c>
      <c r="AN79" s="80">
        <v>0.0</v>
      </c>
      <c r="AO79" s="224">
        <v>0.0</v>
      </c>
      <c r="AP79" s="80">
        <v>0.0</v>
      </c>
      <c r="AQ79" s="80">
        <v>0.0</v>
      </c>
      <c r="AR79" s="182">
        <f t="shared" ref="AR79:AR94" si="4">sum(AJ79:AQ79)</f>
        <v>0</v>
      </c>
      <c r="AS79" s="182">
        <f t="shared" ref="AS79:AS92" si="5">countif(AJ79:AQ79,"&gt;0")</f>
        <v>0</v>
      </c>
    </row>
    <row r="80">
      <c r="A80" s="235" t="s">
        <v>1925</v>
      </c>
      <c r="B80" s="717" t="s">
        <v>1926</v>
      </c>
      <c r="C80" s="78" t="s">
        <v>931</v>
      </c>
      <c r="D80" s="741" t="s">
        <v>932</v>
      </c>
      <c r="E80" s="720">
        <v>40953.0</v>
      </c>
      <c r="F80" s="235" t="s">
        <v>354</v>
      </c>
      <c r="G80" s="235" t="s">
        <v>354</v>
      </c>
      <c r="H80" s="235" t="s">
        <v>354</v>
      </c>
      <c r="I80" s="235" t="s">
        <v>354</v>
      </c>
      <c r="J80" s="235" t="s">
        <v>354</v>
      </c>
      <c r="K80" s="158">
        <v>2.0</v>
      </c>
      <c r="L80" s="158" t="s">
        <v>934</v>
      </c>
      <c r="M80" s="265"/>
      <c r="N80" s="265"/>
      <c r="O80" s="158" t="s">
        <v>398</v>
      </c>
      <c r="P80" s="765">
        <v>29.9479397949988</v>
      </c>
      <c r="Q80" s="756" t="s">
        <v>354</v>
      </c>
      <c r="R80" s="49">
        <v>0.0</v>
      </c>
      <c r="S80" s="49">
        <v>0.0</v>
      </c>
      <c r="T80" s="49">
        <v>0.0</v>
      </c>
      <c r="U80" s="756" t="s">
        <v>354</v>
      </c>
      <c r="V80" s="756" t="s">
        <v>354</v>
      </c>
      <c r="W80" s="235" t="s">
        <v>354</v>
      </c>
      <c r="X80" s="235" t="s">
        <v>354</v>
      </c>
      <c r="Y80" s="724" t="s">
        <v>365</v>
      </c>
      <c r="Z80" s="164" t="s">
        <v>413</v>
      </c>
      <c r="AA80" s="677" t="s">
        <v>365</v>
      </c>
      <c r="AB80" s="752" t="s">
        <v>413</v>
      </c>
      <c r="AC80" s="726" t="s">
        <v>365</v>
      </c>
      <c r="AD80" s="767" t="s">
        <v>413</v>
      </c>
      <c r="AE80" s="357">
        <f t="shared" si="1"/>
        <v>4</v>
      </c>
      <c r="AI80" s="46"/>
      <c r="AJ80" s="80">
        <v>0.0</v>
      </c>
      <c r="AK80" s="80">
        <v>0.0</v>
      </c>
      <c r="AL80" s="80">
        <v>0.0</v>
      </c>
      <c r="AM80" s="80">
        <v>0.0</v>
      </c>
      <c r="AN80" s="224">
        <v>3.0</v>
      </c>
      <c r="AO80" s="224">
        <v>0.0</v>
      </c>
      <c r="AP80" s="80">
        <v>0.0</v>
      </c>
      <c r="AQ80" s="80">
        <v>0.0</v>
      </c>
      <c r="AR80" s="358">
        <f t="shared" si="4"/>
        <v>3</v>
      </c>
      <c r="AS80" s="358">
        <f t="shared" si="5"/>
        <v>1</v>
      </c>
    </row>
    <row r="81">
      <c r="A81" s="235" t="s">
        <v>1927</v>
      </c>
      <c r="B81" s="690" t="s">
        <v>1040</v>
      </c>
      <c r="C81" s="690" t="s">
        <v>1040</v>
      </c>
      <c r="D81" s="716" t="s">
        <v>1038</v>
      </c>
      <c r="E81" s="545">
        <v>40953.0</v>
      </c>
      <c r="F81" s="235" t="s">
        <v>354</v>
      </c>
      <c r="G81" s="235" t="s">
        <v>354</v>
      </c>
      <c r="H81" s="235" t="s">
        <v>354</v>
      </c>
      <c r="I81" s="235" t="s">
        <v>354</v>
      </c>
      <c r="J81" s="235" t="s">
        <v>354</v>
      </c>
      <c r="K81" s="184">
        <v>0.0</v>
      </c>
      <c r="L81" s="184" t="s">
        <v>354</v>
      </c>
      <c r="M81" s="265"/>
      <c r="N81" s="265"/>
      <c r="O81" s="184" t="s">
        <v>371</v>
      </c>
      <c r="P81" s="723">
        <v>0.0</v>
      </c>
      <c r="Q81" s="756" t="s">
        <v>354</v>
      </c>
      <c r="R81" s="49">
        <v>0.0</v>
      </c>
      <c r="S81" s="49">
        <v>0.0</v>
      </c>
      <c r="T81" s="49">
        <v>0.0</v>
      </c>
      <c r="U81" s="756" t="s">
        <v>354</v>
      </c>
      <c r="V81" s="756" t="s">
        <v>354</v>
      </c>
      <c r="W81" s="235" t="s">
        <v>354</v>
      </c>
      <c r="X81" s="235" t="s">
        <v>354</v>
      </c>
      <c r="Y81" s="724" t="s">
        <v>365</v>
      </c>
      <c r="Z81" s="26" t="s">
        <v>357</v>
      </c>
      <c r="AA81" s="677" t="s">
        <v>365</v>
      </c>
      <c r="AB81" s="42" t="s">
        <v>357</v>
      </c>
      <c r="AC81" s="726" t="s">
        <v>365</v>
      </c>
      <c r="AD81" s="42" t="s">
        <v>357</v>
      </c>
      <c r="AE81" s="357">
        <f t="shared" si="1"/>
        <v>3</v>
      </c>
      <c r="AI81" s="768"/>
      <c r="AJ81" s="80">
        <v>0.0</v>
      </c>
      <c r="AK81" s="80">
        <v>0.0</v>
      </c>
      <c r="AL81" s="80">
        <v>0.0</v>
      </c>
      <c r="AM81" s="80">
        <v>0.0</v>
      </c>
      <c r="AN81" s="80">
        <v>0.0</v>
      </c>
      <c r="AO81" s="224">
        <v>3.0</v>
      </c>
      <c r="AP81" s="80">
        <v>0.0</v>
      </c>
      <c r="AQ81" s="80">
        <v>0.0</v>
      </c>
      <c r="AR81" s="358">
        <f t="shared" si="4"/>
        <v>3</v>
      </c>
      <c r="AS81" s="358">
        <f t="shared" si="5"/>
        <v>1</v>
      </c>
    </row>
    <row r="82">
      <c r="A82" s="235" t="s">
        <v>1928</v>
      </c>
      <c r="B82" s="235" t="s">
        <v>210</v>
      </c>
      <c r="C82" s="235" t="s">
        <v>210</v>
      </c>
      <c r="D82" s="754" t="s">
        <v>748</v>
      </c>
      <c r="E82" s="720">
        <v>40953.0</v>
      </c>
      <c r="F82" s="235" t="s">
        <v>354</v>
      </c>
      <c r="G82" s="235" t="s">
        <v>354</v>
      </c>
      <c r="H82" s="235" t="s">
        <v>354</v>
      </c>
      <c r="I82" s="235" t="s">
        <v>354</v>
      </c>
      <c r="J82" s="235" t="s">
        <v>354</v>
      </c>
      <c r="K82" s="235" t="s">
        <v>354</v>
      </c>
      <c r="L82" s="235"/>
      <c r="M82" s="235" t="s">
        <v>354</v>
      </c>
      <c r="N82" s="235" t="s">
        <v>354</v>
      </c>
      <c r="O82" s="235" t="s">
        <v>354</v>
      </c>
      <c r="P82" s="723">
        <v>0.0</v>
      </c>
      <c r="Q82" s="756" t="s">
        <v>354</v>
      </c>
      <c r="R82" s="49">
        <v>0.0</v>
      </c>
      <c r="S82" s="49">
        <v>0.0</v>
      </c>
      <c r="T82" s="49">
        <v>0.0</v>
      </c>
      <c r="U82" s="756" t="s">
        <v>354</v>
      </c>
      <c r="V82" s="756" t="s">
        <v>354</v>
      </c>
      <c r="W82" s="235" t="s">
        <v>354</v>
      </c>
      <c r="X82" s="235" t="s">
        <v>354</v>
      </c>
      <c r="Y82" s="727" t="s">
        <v>356</v>
      </c>
      <c r="Z82" s="732" t="s">
        <v>354</v>
      </c>
      <c r="AA82" s="757" t="s">
        <v>356</v>
      </c>
      <c r="AB82" s="757" t="s">
        <v>354</v>
      </c>
      <c r="AC82" s="728" t="s">
        <v>356</v>
      </c>
      <c r="AD82" s="758" t="s">
        <v>354</v>
      </c>
      <c r="AE82" s="46">
        <f t="shared" si="1"/>
        <v>0</v>
      </c>
      <c r="AI82" s="49"/>
      <c r="AJ82" s="80">
        <v>0.0</v>
      </c>
      <c r="AK82" s="80">
        <v>0.0</v>
      </c>
      <c r="AL82" s="80">
        <v>0.0</v>
      </c>
      <c r="AM82" s="80">
        <v>0.0</v>
      </c>
      <c r="AN82" s="80">
        <v>0.0</v>
      </c>
      <c r="AO82" s="224">
        <v>0.0</v>
      </c>
      <c r="AP82" s="80">
        <v>0.0</v>
      </c>
      <c r="AQ82" s="80">
        <v>0.0</v>
      </c>
      <c r="AR82" s="182">
        <f t="shared" si="4"/>
        <v>0</v>
      </c>
      <c r="AS82" s="182">
        <f t="shared" si="5"/>
        <v>0</v>
      </c>
    </row>
    <row r="83">
      <c r="A83" s="235" t="s">
        <v>1929</v>
      </c>
      <c r="B83" s="690" t="s">
        <v>1930</v>
      </c>
      <c r="C83" s="714" t="s">
        <v>141</v>
      </c>
      <c r="D83" s="711" t="s">
        <v>609</v>
      </c>
      <c r="E83" s="545">
        <v>40953.0</v>
      </c>
      <c r="F83" s="235" t="s">
        <v>354</v>
      </c>
      <c r="G83" s="235" t="s">
        <v>354</v>
      </c>
      <c r="H83" s="235" t="s">
        <v>354</v>
      </c>
      <c r="I83" s="235" t="s">
        <v>354</v>
      </c>
      <c r="J83" s="235" t="s">
        <v>354</v>
      </c>
      <c r="K83" s="184">
        <v>0.0</v>
      </c>
      <c r="L83" s="184" t="s">
        <v>354</v>
      </c>
      <c r="M83" s="265"/>
      <c r="N83" s="265"/>
      <c r="O83" s="184" t="s">
        <v>371</v>
      </c>
      <c r="P83" s="723">
        <v>0.0</v>
      </c>
      <c r="Q83" s="756" t="s">
        <v>354</v>
      </c>
      <c r="R83" s="49">
        <v>0.0</v>
      </c>
      <c r="S83" s="49">
        <v>0.0</v>
      </c>
      <c r="T83" s="49">
        <v>0.0</v>
      </c>
      <c r="U83" s="756" t="s">
        <v>354</v>
      </c>
      <c r="V83" s="756" t="s">
        <v>354</v>
      </c>
      <c r="W83" s="235" t="s">
        <v>354</v>
      </c>
      <c r="X83" s="235" t="s">
        <v>354</v>
      </c>
      <c r="Y83" s="727" t="s">
        <v>356</v>
      </c>
      <c r="Z83" s="732" t="s">
        <v>354</v>
      </c>
      <c r="AA83" s="757" t="s">
        <v>356</v>
      </c>
      <c r="AB83" s="757" t="s">
        <v>354</v>
      </c>
      <c r="AC83" s="728" t="s">
        <v>356</v>
      </c>
      <c r="AD83" s="758" t="s">
        <v>354</v>
      </c>
      <c r="AE83" s="46">
        <f t="shared" si="1"/>
        <v>0</v>
      </c>
      <c r="AF83" s="182"/>
      <c r="AG83" s="182"/>
      <c r="AH83" s="182"/>
      <c r="AI83" s="182"/>
      <c r="AJ83" s="80">
        <v>0.0</v>
      </c>
      <c r="AK83" s="80">
        <v>0.0</v>
      </c>
      <c r="AL83" s="80">
        <v>0.0</v>
      </c>
      <c r="AM83" s="80">
        <v>0.0</v>
      </c>
      <c r="AN83" s="80">
        <v>0.0</v>
      </c>
      <c r="AO83" s="224">
        <v>0.0</v>
      </c>
      <c r="AP83" s="80">
        <v>0.0</v>
      </c>
      <c r="AQ83" s="80">
        <v>0.0</v>
      </c>
      <c r="AR83" s="182">
        <f t="shared" si="4"/>
        <v>0</v>
      </c>
      <c r="AS83" s="182">
        <f t="shared" si="5"/>
        <v>0</v>
      </c>
    </row>
    <row r="84">
      <c r="A84" s="235" t="s">
        <v>1931</v>
      </c>
      <c r="B84" s="717" t="s">
        <v>236</v>
      </c>
      <c r="C84" s="684" t="s">
        <v>234</v>
      </c>
      <c r="D84" s="685" t="s">
        <v>1625</v>
      </c>
      <c r="E84" s="720">
        <v>40953.0</v>
      </c>
      <c r="F84" s="235" t="s">
        <v>354</v>
      </c>
      <c r="G84" s="235" t="s">
        <v>354</v>
      </c>
      <c r="H84" s="235" t="s">
        <v>354</v>
      </c>
      <c r="I84" s="235" t="s">
        <v>354</v>
      </c>
      <c r="J84" s="235" t="s">
        <v>354</v>
      </c>
      <c r="K84" s="158">
        <v>0.0</v>
      </c>
      <c r="L84" s="158" t="s">
        <v>832</v>
      </c>
      <c r="M84" s="265"/>
      <c r="N84" s="265"/>
      <c r="O84" s="158" t="s">
        <v>556</v>
      </c>
      <c r="P84" s="723">
        <v>0.0</v>
      </c>
      <c r="Q84" s="756" t="s">
        <v>354</v>
      </c>
      <c r="R84" s="49">
        <v>0.0</v>
      </c>
      <c r="S84" s="49">
        <v>0.0</v>
      </c>
      <c r="T84" s="49">
        <v>0.0</v>
      </c>
      <c r="U84" s="756" t="s">
        <v>354</v>
      </c>
      <c r="V84" s="756" t="s">
        <v>354</v>
      </c>
      <c r="W84" s="235" t="s">
        <v>354</v>
      </c>
      <c r="X84" s="235" t="s">
        <v>354</v>
      </c>
      <c r="Y84" s="729" t="s">
        <v>361</v>
      </c>
      <c r="Z84" s="729" t="s">
        <v>1021</v>
      </c>
      <c r="AA84" s="757" t="s">
        <v>356</v>
      </c>
      <c r="AB84" s="757" t="s">
        <v>354</v>
      </c>
      <c r="AC84" s="748" t="s">
        <v>361</v>
      </c>
      <c r="AD84" s="769" t="s">
        <v>1021</v>
      </c>
      <c r="AE84" s="46">
        <f t="shared" si="1"/>
        <v>0</v>
      </c>
      <c r="AF84" s="182"/>
      <c r="AG84" s="182"/>
      <c r="AH84" s="182"/>
      <c r="AI84" s="182"/>
      <c r="AJ84" s="80">
        <v>0.0</v>
      </c>
      <c r="AK84" s="80">
        <v>0.0</v>
      </c>
      <c r="AL84" s="80">
        <v>0.0</v>
      </c>
      <c r="AM84" s="80">
        <v>0.0</v>
      </c>
      <c r="AN84" s="80">
        <v>0.0</v>
      </c>
      <c r="AO84" s="224">
        <v>0.0</v>
      </c>
      <c r="AP84" s="80">
        <v>0.0</v>
      </c>
      <c r="AQ84" s="80">
        <v>0.0</v>
      </c>
      <c r="AR84" s="182">
        <f t="shared" si="4"/>
        <v>0</v>
      </c>
      <c r="AS84" s="182">
        <f t="shared" si="5"/>
        <v>0</v>
      </c>
    </row>
    <row r="85">
      <c r="A85" s="235" t="s">
        <v>1932</v>
      </c>
      <c r="B85" s="201" t="s">
        <v>1933</v>
      </c>
      <c r="C85" s="712" t="s">
        <v>165</v>
      </c>
      <c r="D85" s="713" t="s">
        <v>650</v>
      </c>
      <c r="E85" s="545">
        <v>40953.0</v>
      </c>
      <c r="F85" s="235" t="s">
        <v>354</v>
      </c>
      <c r="G85" s="235" t="s">
        <v>354</v>
      </c>
      <c r="H85" s="235" t="s">
        <v>354</v>
      </c>
      <c r="I85" s="235" t="s">
        <v>354</v>
      </c>
      <c r="J85" s="235" t="s">
        <v>354</v>
      </c>
      <c r="K85" s="179">
        <v>0.0</v>
      </c>
      <c r="L85" s="179" t="s">
        <v>354</v>
      </c>
      <c r="M85" s="265"/>
      <c r="N85" s="265"/>
      <c r="O85" s="179" t="s">
        <v>485</v>
      </c>
      <c r="P85" s="765">
        <v>34.1531463157832</v>
      </c>
      <c r="Q85" s="756" t="s">
        <v>354</v>
      </c>
      <c r="R85" s="49">
        <v>0.0</v>
      </c>
      <c r="S85" s="49">
        <v>0.0</v>
      </c>
      <c r="T85" s="49">
        <v>0.0</v>
      </c>
      <c r="U85" s="756" t="s">
        <v>354</v>
      </c>
      <c r="V85" s="756" t="s">
        <v>354</v>
      </c>
      <c r="W85" s="235" t="s">
        <v>354</v>
      </c>
      <c r="X85" s="235" t="s">
        <v>354</v>
      </c>
      <c r="Y85" s="724" t="s">
        <v>365</v>
      </c>
      <c r="Z85" s="164" t="s">
        <v>413</v>
      </c>
      <c r="AA85" s="677" t="s">
        <v>365</v>
      </c>
      <c r="AB85" s="699" t="s">
        <v>363</v>
      </c>
      <c r="AC85" s="726" t="s">
        <v>365</v>
      </c>
      <c r="AD85" s="699" t="s">
        <v>363</v>
      </c>
      <c r="AE85" s="357">
        <f t="shared" si="1"/>
        <v>4</v>
      </c>
      <c r="AF85" s="182"/>
      <c r="AG85" s="182"/>
      <c r="AH85" s="182"/>
      <c r="AI85" s="182"/>
      <c r="AJ85" s="80">
        <v>0.0</v>
      </c>
      <c r="AK85" s="80">
        <v>0.0</v>
      </c>
      <c r="AL85" s="80">
        <v>0.0</v>
      </c>
      <c r="AM85" s="224">
        <v>2.0</v>
      </c>
      <c r="AN85" s="224">
        <v>1.0</v>
      </c>
      <c r="AO85" s="224">
        <v>0.0</v>
      </c>
      <c r="AP85" s="80">
        <v>0.0</v>
      </c>
      <c r="AQ85" s="80">
        <v>0.0</v>
      </c>
      <c r="AR85" s="358">
        <f t="shared" si="4"/>
        <v>3</v>
      </c>
      <c r="AS85" s="358">
        <f t="shared" si="5"/>
        <v>2</v>
      </c>
    </row>
    <row r="86">
      <c r="A86" s="235" t="s">
        <v>1934</v>
      </c>
      <c r="B86" s="690" t="s">
        <v>1935</v>
      </c>
      <c r="C86" s="715" t="s">
        <v>869</v>
      </c>
      <c r="D86" s="700" t="s">
        <v>870</v>
      </c>
      <c r="E86" s="720">
        <v>40953.0</v>
      </c>
      <c r="F86" s="235" t="s">
        <v>354</v>
      </c>
      <c r="G86" s="235" t="s">
        <v>354</v>
      </c>
      <c r="H86" s="235" t="s">
        <v>354</v>
      </c>
      <c r="I86" s="235" t="s">
        <v>354</v>
      </c>
      <c r="J86" s="235" t="s">
        <v>354</v>
      </c>
      <c r="K86" s="184">
        <v>0.0</v>
      </c>
      <c r="L86" s="184" t="s">
        <v>354</v>
      </c>
      <c r="M86" s="265"/>
      <c r="N86" s="265"/>
      <c r="O86" s="184" t="s">
        <v>371</v>
      </c>
      <c r="P86" s="723">
        <v>0.0</v>
      </c>
      <c r="Q86" s="756" t="s">
        <v>354</v>
      </c>
      <c r="R86" s="49">
        <v>0.0</v>
      </c>
      <c r="S86" s="49">
        <v>0.0</v>
      </c>
      <c r="T86" s="49">
        <v>0.0</v>
      </c>
      <c r="U86" s="756" t="s">
        <v>354</v>
      </c>
      <c r="V86" s="756" t="s">
        <v>354</v>
      </c>
      <c r="W86" s="235" t="s">
        <v>354</v>
      </c>
      <c r="X86" s="235" t="s">
        <v>354</v>
      </c>
      <c r="Y86" s="727" t="s">
        <v>356</v>
      </c>
      <c r="Z86" s="727" t="s">
        <v>354</v>
      </c>
      <c r="AA86" s="757" t="s">
        <v>356</v>
      </c>
      <c r="AB86" s="757" t="s">
        <v>354</v>
      </c>
      <c r="AC86" s="728" t="s">
        <v>356</v>
      </c>
      <c r="AD86" s="758" t="s">
        <v>354</v>
      </c>
      <c r="AE86" s="46">
        <f t="shared" si="1"/>
        <v>0</v>
      </c>
      <c r="AF86" s="182"/>
      <c r="AG86" s="182"/>
      <c r="AH86" s="182"/>
      <c r="AI86" s="182"/>
      <c r="AJ86" s="80">
        <v>0.0</v>
      </c>
      <c r="AK86" s="80">
        <v>0.0</v>
      </c>
      <c r="AL86" s="80">
        <v>0.0</v>
      </c>
      <c r="AM86" s="80">
        <v>0.0</v>
      </c>
      <c r="AN86" s="80">
        <v>0.0</v>
      </c>
      <c r="AO86" s="224">
        <v>0.0</v>
      </c>
      <c r="AP86" s="80">
        <v>0.0</v>
      </c>
      <c r="AQ86" s="80">
        <v>0.0</v>
      </c>
      <c r="AR86" s="182">
        <f t="shared" si="4"/>
        <v>0</v>
      </c>
      <c r="AS86" s="182">
        <f t="shared" si="5"/>
        <v>0</v>
      </c>
    </row>
    <row r="87">
      <c r="A87" s="235" t="s">
        <v>1936</v>
      </c>
      <c r="B87" s="690" t="s">
        <v>898</v>
      </c>
      <c r="C87" s="690" t="s">
        <v>898</v>
      </c>
      <c r="D87" s="711" t="s">
        <v>896</v>
      </c>
      <c r="E87" s="545">
        <v>40953.0</v>
      </c>
      <c r="F87" s="235" t="s">
        <v>354</v>
      </c>
      <c r="G87" s="235" t="s">
        <v>354</v>
      </c>
      <c r="H87" s="235" t="s">
        <v>354</v>
      </c>
      <c r="I87" s="235" t="s">
        <v>354</v>
      </c>
      <c r="J87" s="235" t="s">
        <v>354</v>
      </c>
      <c r="K87" s="184">
        <v>0.0</v>
      </c>
      <c r="L87" s="184" t="s">
        <v>354</v>
      </c>
      <c r="M87" s="265"/>
      <c r="N87" s="265"/>
      <c r="O87" s="184" t="s">
        <v>371</v>
      </c>
      <c r="P87" s="723">
        <v>0.0</v>
      </c>
      <c r="Q87" s="756" t="s">
        <v>354</v>
      </c>
      <c r="R87" s="49">
        <v>0.0</v>
      </c>
      <c r="S87" s="49">
        <v>0.0</v>
      </c>
      <c r="T87" s="49">
        <v>0.0</v>
      </c>
      <c r="U87" s="756" t="s">
        <v>354</v>
      </c>
      <c r="V87" s="756" t="s">
        <v>354</v>
      </c>
      <c r="W87" s="235" t="s">
        <v>354</v>
      </c>
      <c r="X87" s="235" t="s">
        <v>354</v>
      </c>
      <c r="Y87" s="727" t="s">
        <v>356</v>
      </c>
      <c r="Z87" s="727" t="s">
        <v>354</v>
      </c>
      <c r="AA87" s="757" t="s">
        <v>356</v>
      </c>
      <c r="AB87" s="757" t="s">
        <v>354</v>
      </c>
      <c r="AC87" s="726" t="s">
        <v>365</v>
      </c>
      <c r="AD87" s="762" t="s">
        <v>420</v>
      </c>
      <c r="AE87" s="367">
        <f t="shared" si="1"/>
        <v>1</v>
      </c>
      <c r="AF87" s="182"/>
      <c r="AG87" s="182"/>
      <c r="AH87" s="182"/>
      <c r="AI87" s="182"/>
      <c r="AJ87" s="80">
        <v>0.0</v>
      </c>
      <c r="AK87" s="224">
        <v>1.0</v>
      </c>
      <c r="AL87" s="80">
        <v>0.0</v>
      </c>
      <c r="AM87" s="80">
        <v>0.0</v>
      </c>
      <c r="AN87" s="80">
        <v>0.0</v>
      </c>
      <c r="AO87" s="224">
        <v>0.0</v>
      </c>
      <c r="AP87" s="80">
        <v>0.0</v>
      </c>
      <c r="AQ87" s="80">
        <v>0.0</v>
      </c>
      <c r="AR87" s="363">
        <f t="shared" si="4"/>
        <v>1</v>
      </c>
      <c r="AS87" s="363">
        <f t="shared" si="5"/>
        <v>1</v>
      </c>
    </row>
    <row r="88">
      <c r="A88" s="235" t="s">
        <v>1937</v>
      </c>
      <c r="B88" s="690" t="s">
        <v>1027</v>
      </c>
      <c r="C88" s="690" t="s">
        <v>1027</v>
      </c>
      <c r="D88" s="711" t="s">
        <v>1024</v>
      </c>
      <c r="E88" s="720">
        <v>40953.0</v>
      </c>
      <c r="F88" s="235" t="s">
        <v>354</v>
      </c>
      <c r="G88" s="235" t="s">
        <v>354</v>
      </c>
      <c r="H88" s="235" t="s">
        <v>354</v>
      </c>
      <c r="I88" s="235" t="s">
        <v>354</v>
      </c>
      <c r="J88" s="235" t="s">
        <v>354</v>
      </c>
      <c r="K88" s="184">
        <v>0.0</v>
      </c>
      <c r="L88" s="184" t="s">
        <v>354</v>
      </c>
      <c r="M88" s="265"/>
      <c r="N88" s="265"/>
      <c r="O88" s="184" t="s">
        <v>371</v>
      </c>
      <c r="P88" s="723">
        <v>0.0</v>
      </c>
      <c r="Q88" s="756" t="s">
        <v>354</v>
      </c>
      <c r="R88" s="49">
        <v>0.0</v>
      </c>
      <c r="S88" s="49">
        <v>0.0</v>
      </c>
      <c r="T88" s="49">
        <v>0.0</v>
      </c>
      <c r="U88" s="756" t="s">
        <v>354</v>
      </c>
      <c r="V88" s="756" t="s">
        <v>354</v>
      </c>
      <c r="W88" s="235" t="s">
        <v>354</v>
      </c>
      <c r="X88" s="235" t="s">
        <v>354</v>
      </c>
      <c r="Y88" s="727" t="s">
        <v>356</v>
      </c>
      <c r="Z88" s="727" t="s">
        <v>354</v>
      </c>
      <c r="AA88" s="757" t="s">
        <v>356</v>
      </c>
      <c r="AB88" s="757" t="s">
        <v>354</v>
      </c>
      <c r="AC88" s="728" t="s">
        <v>356</v>
      </c>
      <c r="AD88" s="758" t="s">
        <v>354</v>
      </c>
      <c r="AE88" s="46">
        <f t="shared" si="1"/>
        <v>0</v>
      </c>
      <c r="AF88" s="182"/>
      <c r="AG88" s="182"/>
      <c r="AH88" s="182"/>
      <c r="AI88" s="182"/>
      <c r="AJ88" s="80">
        <v>0.0</v>
      </c>
      <c r="AK88" s="80">
        <v>0.0</v>
      </c>
      <c r="AL88" s="80">
        <v>0.0</v>
      </c>
      <c r="AM88" s="80">
        <v>0.0</v>
      </c>
      <c r="AN88" s="80">
        <v>0.0</v>
      </c>
      <c r="AO88" s="224">
        <v>0.0</v>
      </c>
      <c r="AP88" s="80">
        <v>0.0</v>
      </c>
      <c r="AQ88" s="80">
        <v>0.0</v>
      </c>
      <c r="AR88" s="182">
        <f t="shared" si="4"/>
        <v>0</v>
      </c>
      <c r="AS88" s="182">
        <f t="shared" si="5"/>
        <v>0</v>
      </c>
    </row>
    <row r="89">
      <c r="A89" s="235" t="s">
        <v>1938</v>
      </c>
      <c r="B89" s="235" t="s">
        <v>1939</v>
      </c>
      <c r="C89" s="235" t="s">
        <v>238</v>
      </c>
      <c r="D89" s="770" t="s">
        <v>1940</v>
      </c>
      <c r="E89" s="545">
        <v>40953.0</v>
      </c>
      <c r="F89" s="235" t="s">
        <v>354</v>
      </c>
      <c r="G89" s="235" t="s">
        <v>354</v>
      </c>
      <c r="H89" s="235" t="s">
        <v>354</v>
      </c>
      <c r="I89" s="235" t="s">
        <v>354</v>
      </c>
      <c r="J89" s="235" t="s">
        <v>354</v>
      </c>
      <c r="K89" s="235" t="s">
        <v>354</v>
      </c>
      <c r="L89" s="235"/>
      <c r="M89" s="235" t="s">
        <v>354</v>
      </c>
      <c r="N89" s="235" t="s">
        <v>354</v>
      </c>
      <c r="O89" s="235" t="s">
        <v>354</v>
      </c>
      <c r="P89" s="723">
        <v>0.0</v>
      </c>
      <c r="Q89" s="756" t="s">
        <v>354</v>
      </c>
      <c r="R89" s="49">
        <v>0.0</v>
      </c>
      <c r="S89" s="49">
        <v>0.0</v>
      </c>
      <c r="T89" s="49">
        <v>0.0</v>
      </c>
      <c r="U89" s="756" t="s">
        <v>354</v>
      </c>
      <c r="V89" s="756" t="s">
        <v>354</v>
      </c>
      <c r="W89" s="235" t="s">
        <v>354</v>
      </c>
      <c r="X89" s="235" t="s">
        <v>354</v>
      </c>
      <c r="Y89" s="727" t="s">
        <v>356</v>
      </c>
      <c r="Z89" s="727" t="s">
        <v>354</v>
      </c>
      <c r="AA89" s="757" t="s">
        <v>356</v>
      </c>
      <c r="AB89" s="757" t="s">
        <v>354</v>
      </c>
      <c r="AC89" s="728" t="s">
        <v>356</v>
      </c>
      <c r="AD89" s="758" t="s">
        <v>354</v>
      </c>
      <c r="AE89" s="46">
        <f t="shared" si="1"/>
        <v>0</v>
      </c>
      <c r="AF89" s="182"/>
      <c r="AG89" s="182"/>
      <c r="AH89" s="182"/>
      <c r="AI89" s="182"/>
      <c r="AJ89" s="80">
        <v>0.0</v>
      </c>
      <c r="AK89" s="80">
        <v>0.0</v>
      </c>
      <c r="AL89" s="80">
        <v>0.0</v>
      </c>
      <c r="AM89" s="80">
        <v>0.0</v>
      </c>
      <c r="AN89" s="80">
        <v>0.0</v>
      </c>
      <c r="AO89" s="224">
        <v>0.0</v>
      </c>
      <c r="AP89" s="80">
        <v>0.0</v>
      </c>
      <c r="AQ89" s="80">
        <v>0.0</v>
      </c>
      <c r="AR89" s="182">
        <f t="shared" si="4"/>
        <v>0</v>
      </c>
      <c r="AS89" s="182">
        <f t="shared" si="5"/>
        <v>0</v>
      </c>
    </row>
    <row r="90">
      <c r="A90" s="235" t="s">
        <v>1941</v>
      </c>
      <c r="B90" s="235" t="s">
        <v>1942</v>
      </c>
      <c r="C90" s="49" t="s">
        <v>768</v>
      </c>
      <c r="D90" s="771" t="s">
        <v>769</v>
      </c>
      <c r="E90" s="720">
        <v>40953.0</v>
      </c>
      <c r="F90" s="235" t="s">
        <v>354</v>
      </c>
      <c r="G90" s="235" t="s">
        <v>354</v>
      </c>
      <c r="H90" s="235" t="s">
        <v>354</v>
      </c>
      <c r="I90" s="235" t="s">
        <v>354</v>
      </c>
      <c r="J90" s="235" t="s">
        <v>354</v>
      </c>
      <c r="K90" s="235" t="s">
        <v>354</v>
      </c>
      <c r="L90" s="235"/>
      <c r="M90" s="235" t="s">
        <v>354</v>
      </c>
      <c r="N90" s="235" t="s">
        <v>354</v>
      </c>
      <c r="O90" s="235" t="s">
        <v>354</v>
      </c>
      <c r="P90" s="723">
        <v>0.0</v>
      </c>
      <c r="Q90" s="756" t="s">
        <v>354</v>
      </c>
      <c r="R90" s="49">
        <v>0.0</v>
      </c>
      <c r="S90" s="49">
        <v>0.0</v>
      </c>
      <c r="T90" s="49">
        <v>0.0</v>
      </c>
      <c r="U90" s="756" t="s">
        <v>354</v>
      </c>
      <c r="V90" s="756" t="s">
        <v>354</v>
      </c>
      <c r="W90" s="235" t="s">
        <v>354</v>
      </c>
      <c r="X90" s="235" t="s">
        <v>354</v>
      </c>
      <c r="Y90" s="727" t="s">
        <v>356</v>
      </c>
      <c r="Z90" s="727" t="s">
        <v>354</v>
      </c>
      <c r="AA90" s="734" t="s">
        <v>365</v>
      </c>
      <c r="AB90" s="40" t="s">
        <v>357</v>
      </c>
      <c r="AC90" s="726" t="s">
        <v>365</v>
      </c>
      <c r="AD90" s="42" t="s">
        <v>357</v>
      </c>
      <c r="AE90" s="357">
        <f t="shared" si="1"/>
        <v>2</v>
      </c>
      <c r="AF90" s="182"/>
      <c r="AG90" s="182"/>
      <c r="AH90" s="182"/>
      <c r="AI90" s="182"/>
      <c r="AJ90" s="80">
        <v>0.0</v>
      </c>
      <c r="AK90" s="80">
        <v>0.0</v>
      </c>
      <c r="AL90" s="80">
        <v>0.0</v>
      </c>
      <c r="AM90" s="80">
        <v>0.0</v>
      </c>
      <c r="AN90" s="80">
        <v>0.0</v>
      </c>
      <c r="AO90" s="224">
        <v>2.0</v>
      </c>
      <c r="AP90" s="80">
        <v>0.0</v>
      </c>
      <c r="AQ90" s="80">
        <v>0.0</v>
      </c>
      <c r="AR90" s="358">
        <f t="shared" si="4"/>
        <v>2</v>
      </c>
      <c r="AS90" s="358">
        <f t="shared" si="5"/>
        <v>1</v>
      </c>
    </row>
    <row r="91">
      <c r="A91" s="235" t="s">
        <v>1943</v>
      </c>
      <c r="B91" s="690" t="s">
        <v>253</v>
      </c>
      <c r="C91" s="715" t="s">
        <v>881</v>
      </c>
      <c r="D91" s="714" t="s">
        <v>882</v>
      </c>
      <c r="E91" s="545">
        <v>40953.0</v>
      </c>
      <c r="F91" s="235" t="s">
        <v>354</v>
      </c>
      <c r="G91" s="235" t="s">
        <v>354</v>
      </c>
      <c r="H91" s="235" t="s">
        <v>354</v>
      </c>
      <c r="I91" s="235" t="s">
        <v>354</v>
      </c>
      <c r="J91" s="235" t="s">
        <v>354</v>
      </c>
      <c r="K91" s="184">
        <v>0.0</v>
      </c>
      <c r="L91" s="184" t="s">
        <v>354</v>
      </c>
      <c r="M91" s="265"/>
      <c r="N91" s="265"/>
      <c r="O91" s="184" t="s">
        <v>371</v>
      </c>
      <c r="P91" s="723">
        <v>0.0</v>
      </c>
      <c r="Q91" s="756" t="s">
        <v>354</v>
      </c>
      <c r="R91" s="49">
        <v>0.0</v>
      </c>
      <c r="S91" s="49">
        <v>0.0</v>
      </c>
      <c r="T91" s="49">
        <v>0.0</v>
      </c>
      <c r="U91" s="756" t="s">
        <v>354</v>
      </c>
      <c r="V91" s="756" t="s">
        <v>354</v>
      </c>
      <c r="W91" s="235" t="s">
        <v>354</v>
      </c>
      <c r="X91" s="235" t="s">
        <v>354</v>
      </c>
      <c r="Y91" s="727" t="s">
        <v>356</v>
      </c>
      <c r="Z91" s="727" t="s">
        <v>354</v>
      </c>
      <c r="AA91" s="757" t="s">
        <v>356</v>
      </c>
      <c r="AB91" s="757" t="s">
        <v>354</v>
      </c>
      <c r="AC91" s="726" t="s">
        <v>365</v>
      </c>
      <c r="AD91" s="767" t="s">
        <v>413</v>
      </c>
      <c r="AE91" s="367">
        <f t="shared" si="1"/>
        <v>1</v>
      </c>
      <c r="AF91" s="182"/>
      <c r="AG91" s="182"/>
      <c r="AH91" s="182"/>
      <c r="AI91" s="182"/>
      <c r="AJ91" s="80">
        <v>0.0</v>
      </c>
      <c r="AK91" s="80">
        <v>0.0</v>
      </c>
      <c r="AL91" s="80">
        <v>0.0</v>
      </c>
      <c r="AM91" s="80">
        <v>0.0</v>
      </c>
      <c r="AN91" s="224">
        <v>1.0</v>
      </c>
      <c r="AO91" s="224">
        <v>0.0</v>
      </c>
      <c r="AP91" s="80">
        <v>0.0</v>
      </c>
      <c r="AQ91" s="80">
        <v>0.0</v>
      </c>
      <c r="AR91" s="363">
        <f t="shared" si="4"/>
        <v>1</v>
      </c>
      <c r="AS91" s="363">
        <f t="shared" si="5"/>
        <v>1</v>
      </c>
    </row>
    <row r="92">
      <c r="A92" s="235" t="s">
        <v>1944</v>
      </c>
      <c r="B92" s="235" t="s">
        <v>1809</v>
      </c>
      <c r="C92" s="182"/>
      <c r="D92" s="182"/>
      <c r="E92" s="720">
        <v>40953.0</v>
      </c>
      <c r="F92" s="235" t="s">
        <v>354</v>
      </c>
      <c r="G92" s="235" t="s">
        <v>354</v>
      </c>
      <c r="H92" s="235" t="s">
        <v>354</v>
      </c>
      <c r="I92" s="235" t="s">
        <v>354</v>
      </c>
      <c r="J92" s="235" t="s">
        <v>354</v>
      </c>
      <c r="K92" s="235" t="s">
        <v>354</v>
      </c>
      <c r="L92" s="235"/>
      <c r="M92" s="235" t="s">
        <v>354</v>
      </c>
      <c r="N92" s="235" t="s">
        <v>354</v>
      </c>
      <c r="O92" s="235" t="s">
        <v>354</v>
      </c>
      <c r="P92" s="723">
        <v>0.0</v>
      </c>
      <c r="Q92" s="756" t="s">
        <v>354</v>
      </c>
      <c r="R92" s="49">
        <v>0.0</v>
      </c>
      <c r="S92" s="49">
        <v>0.0</v>
      </c>
      <c r="T92" s="49">
        <v>0.0</v>
      </c>
      <c r="U92" s="756" t="s">
        <v>354</v>
      </c>
      <c r="V92" s="756" t="s">
        <v>354</v>
      </c>
      <c r="W92" s="235" t="s">
        <v>354</v>
      </c>
      <c r="X92" s="235" t="s">
        <v>354</v>
      </c>
      <c r="Y92" s="727" t="s">
        <v>356</v>
      </c>
      <c r="Z92" s="727" t="s">
        <v>354</v>
      </c>
      <c r="AA92" s="757" t="s">
        <v>356</v>
      </c>
      <c r="AB92" s="757" t="s">
        <v>354</v>
      </c>
      <c r="AC92" s="728" t="s">
        <v>356</v>
      </c>
      <c r="AD92" s="758" t="s">
        <v>354</v>
      </c>
      <c r="AE92" s="46">
        <f t="shared" si="1"/>
        <v>0</v>
      </c>
      <c r="AF92" s="182"/>
      <c r="AG92" s="182"/>
      <c r="AH92" s="182"/>
      <c r="AI92" s="265"/>
      <c r="AJ92" s="80">
        <v>0.0</v>
      </c>
      <c r="AK92" s="80">
        <v>0.0</v>
      </c>
      <c r="AL92" s="80">
        <v>0.0</v>
      </c>
      <c r="AM92" s="80">
        <v>0.0</v>
      </c>
      <c r="AN92" s="80">
        <v>0.0</v>
      </c>
      <c r="AO92" s="224">
        <v>0.0</v>
      </c>
      <c r="AP92" s="80">
        <v>0.0</v>
      </c>
      <c r="AQ92" s="80">
        <v>0.0</v>
      </c>
      <c r="AR92" s="182">
        <f t="shared" si="4"/>
        <v>0</v>
      </c>
      <c r="AS92" s="182">
        <f t="shared" si="5"/>
        <v>0</v>
      </c>
    </row>
    <row r="93">
      <c r="A93" s="235" t="s">
        <v>356</v>
      </c>
      <c r="B93" s="235" t="s">
        <v>354</v>
      </c>
      <c r="C93" s="182"/>
      <c r="D93" s="182"/>
      <c r="E93" s="235" t="s">
        <v>354</v>
      </c>
      <c r="F93" s="235" t="s">
        <v>354</v>
      </c>
      <c r="G93" s="235" t="s">
        <v>354</v>
      </c>
      <c r="H93" s="235" t="s">
        <v>354</v>
      </c>
      <c r="I93" s="235" t="s">
        <v>354</v>
      </c>
      <c r="J93" s="235" t="s">
        <v>354</v>
      </c>
      <c r="K93" s="235" t="s">
        <v>354</v>
      </c>
      <c r="L93" s="235"/>
      <c r="M93" s="235" t="s">
        <v>354</v>
      </c>
      <c r="N93" s="235" t="s">
        <v>354</v>
      </c>
      <c r="O93" s="235" t="s">
        <v>354</v>
      </c>
      <c r="P93" s="723">
        <v>0.0</v>
      </c>
      <c r="Q93" s="756" t="s">
        <v>354</v>
      </c>
      <c r="R93" s="49">
        <v>0.0</v>
      </c>
      <c r="S93" s="49">
        <v>0.0</v>
      </c>
      <c r="T93" s="49">
        <v>0.0</v>
      </c>
      <c r="U93" s="756" t="s">
        <v>354</v>
      </c>
      <c r="V93" s="756" t="s">
        <v>354</v>
      </c>
      <c r="W93" s="235" t="s">
        <v>354</v>
      </c>
      <c r="X93" s="235" t="s">
        <v>354</v>
      </c>
      <c r="Y93" s="727" t="s">
        <v>356</v>
      </c>
      <c r="Z93" s="727" t="s">
        <v>354</v>
      </c>
      <c r="AA93" s="757" t="s">
        <v>356</v>
      </c>
      <c r="AB93" s="757" t="s">
        <v>354</v>
      </c>
      <c r="AC93" s="728" t="s">
        <v>356</v>
      </c>
      <c r="AD93" s="758" t="s">
        <v>354</v>
      </c>
      <c r="AE93" s="46">
        <f t="shared" si="1"/>
        <v>0</v>
      </c>
      <c r="AF93" s="182"/>
      <c r="AG93" s="182"/>
      <c r="AH93" s="182"/>
      <c r="AI93" s="235" t="s">
        <v>1507</v>
      </c>
      <c r="AJ93" s="182">
        <f t="shared" ref="AJ93:AQ93" si="6">sum(AJ2:AJ5,AJ7:AJ24,AJ26:AJ28,AJ30:AJ76,AJ79:AJ91)</f>
        <v>10</v>
      </c>
      <c r="AK93" s="182">
        <f t="shared" si="6"/>
        <v>4</v>
      </c>
      <c r="AL93" s="182">
        <f t="shared" si="6"/>
        <v>5</v>
      </c>
      <c r="AM93" s="182">
        <f t="shared" si="6"/>
        <v>6</v>
      </c>
      <c r="AN93" s="182">
        <f t="shared" si="6"/>
        <v>26</v>
      </c>
      <c r="AO93" s="182">
        <f t="shared" si="6"/>
        <v>15</v>
      </c>
      <c r="AP93" s="182">
        <f t="shared" si="6"/>
        <v>0</v>
      </c>
      <c r="AQ93" s="182">
        <f t="shared" si="6"/>
        <v>0</v>
      </c>
      <c r="AR93" s="182">
        <f t="shared" si="4"/>
        <v>66</v>
      </c>
      <c r="AS93" s="182"/>
    </row>
    <row r="94">
      <c r="A94" s="235" t="s">
        <v>365</v>
      </c>
      <c r="B94" s="235" t="s">
        <v>354</v>
      </c>
      <c r="C94" s="182"/>
      <c r="D94" s="182"/>
      <c r="E94" s="235" t="s">
        <v>354</v>
      </c>
      <c r="F94" s="235" t="s">
        <v>354</v>
      </c>
      <c r="G94" s="235" t="s">
        <v>354</v>
      </c>
      <c r="H94" s="235" t="s">
        <v>354</v>
      </c>
      <c r="I94" s="235" t="s">
        <v>354</v>
      </c>
      <c r="J94" s="235" t="s">
        <v>354</v>
      </c>
      <c r="K94" s="235" t="s">
        <v>354</v>
      </c>
      <c r="L94" s="235"/>
      <c r="M94" s="235" t="s">
        <v>354</v>
      </c>
      <c r="N94" s="235" t="s">
        <v>354</v>
      </c>
      <c r="O94" s="235" t="s">
        <v>354</v>
      </c>
      <c r="P94" s="765">
        <v>18.6720257253819</v>
      </c>
      <c r="Q94" s="756" t="s">
        <v>354</v>
      </c>
      <c r="R94" s="55">
        <v>28.2528887927491</v>
      </c>
      <c r="S94" s="55">
        <v>19.9589731812965</v>
      </c>
      <c r="T94" s="55">
        <v>35.77</v>
      </c>
      <c r="U94" s="756" t="s">
        <v>354</v>
      </c>
      <c r="V94" s="756" t="s">
        <v>354</v>
      </c>
      <c r="W94" s="235" t="s">
        <v>354</v>
      </c>
      <c r="X94" s="235" t="s">
        <v>354</v>
      </c>
      <c r="Y94" s="724" t="s">
        <v>365</v>
      </c>
      <c r="Z94" s="732" t="s">
        <v>1400</v>
      </c>
      <c r="AA94" s="677" t="s">
        <v>365</v>
      </c>
      <c r="AB94" s="757" t="s">
        <v>1400</v>
      </c>
      <c r="AC94" s="748" t="s">
        <v>365</v>
      </c>
      <c r="AD94" s="758" t="s">
        <v>1400</v>
      </c>
      <c r="AE94" s="46">
        <f t="shared" si="1"/>
        <v>4</v>
      </c>
      <c r="AF94" s="182"/>
      <c r="AG94" s="182"/>
      <c r="AH94" s="182"/>
      <c r="AI94" s="235" t="s">
        <v>1406</v>
      </c>
      <c r="AJ94" s="380">
        <f t="shared" ref="AJ94:AQ94" si="7">AJ93/$AR$93</f>
        <v>0.1515151515</v>
      </c>
      <c r="AK94" s="380">
        <f t="shared" si="7"/>
        <v>0.06060606061</v>
      </c>
      <c r="AL94" s="380">
        <f t="shared" si="7"/>
        <v>0.07575757576</v>
      </c>
      <c r="AM94" s="380">
        <f t="shared" si="7"/>
        <v>0.09090909091</v>
      </c>
      <c r="AN94" s="380">
        <f t="shared" si="7"/>
        <v>0.3939393939</v>
      </c>
      <c r="AO94" s="380">
        <f t="shared" si="7"/>
        <v>0.2272727273</v>
      </c>
      <c r="AP94" s="380">
        <f t="shared" si="7"/>
        <v>0</v>
      </c>
      <c r="AQ94" s="380">
        <f t="shared" si="7"/>
        <v>0</v>
      </c>
      <c r="AR94" s="380">
        <f t="shared" si="4"/>
        <v>1</v>
      </c>
      <c r="AS94" s="182"/>
    </row>
    <row r="95">
      <c r="A95" s="182"/>
      <c r="B95" s="182"/>
      <c r="C95" s="182"/>
      <c r="D95" s="182"/>
      <c r="E95" s="182"/>
      <c r="F95" s="495"/>
      <c r="G95" s="182"/>
      <c r="H95" s="182"/>
      <c r="I95" s="182"/>
      <c r="J95" s="182"/>
      <c r="K95" s="182"/>
      <c r="L95" s="182"/>
      <c r="M95" s="182"/>
      <c r="N95" s="182"/>
      <c r="O95" s="182"/>
      <c r="P95" s="152"/>
      <c r="Q95" s="182"/>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row>
    <row r="96">
      <c r="A96" s="182"/>
      <c r="B96" s="182"/>
      <c r="C96" s="182"/>
      <c r="D96" s="182"/>
      <c r="E96" s="182"/>
      <c r="F96" s="495"/>
      <c r="G96" s="182"/>
      <c r="H96" s="182"/>
      <c r="I96" s="182"/>
      <c r="J96" s="182"/>
      <c r="K96" s="182"/>
      <c r="L96" s="182"/>
      <c r="M96" s="182"/>
      <c r="N96" s="182"/>
      <c r="O96" s="182"/>
      <c r="P96" s="46">
        <f>sum(COUNTif(P2:P5,"&gt;0"),COUNTif(P7:P24,"&gt;0"),COUNTif(P26:P28,"&gt;0"),COUNTif(P30:P76,"&gt;0"),COUNTif(P79:P91,"&gt;0"))</f>
        <v>17</v>
      </c>
      <c r="Q96" s="182"/>
      <c r="R96" s="182"/>
      <c r="S96" s="182"/>
      <c r="T96" s="182"/>
      <c r="U96" s="182"/>
      <c r="V96" s="182"/>
      <c r="W96" s="182"/>
      <c r="X96" s="182"/>
      <c r="Y96" s="46">
        <f>sum(COUNTif(Y2:Y5,"POS"),COUNTif(Y7:Y24,"POS"),COUNTif(Y26:Y28,"POS"),COUNTif(Y30:Y76,"POS"),COUNTif(Y79:Y91,"POS"))</f>
        <v>17</v>
      </c>
      <c r="Z96" s="46"/>
      <c r="AA96" s="46">
        <f>sum(COUNTif(AA2:AA5,"POS"),COUNTif(AA7:AA24,"POS"),COUNTif(AA26:AA28,"POS"),COUNTif(AA30:AA76,"POS"),COUNTif(AA79:AA91,"POS"))</f>
        <v>14</v>
      </c>
      <c r="AB96" s="46"/>
      <c r="AC96" s="46">
        <f>sum(COUNTif(AC2:AC5,"POS"),COUNTif(AC7:AC24,"POS"),COUNTif(AC26:AC28,"POS"),COUNTif(AC30:AC76,"POS"),COUNTif(AC79:AC91,"POS"))</f>
        <v>33</v>
      </c>
      <c r="AD96" s="46"/>
      <c r="AE96" s="372">
        <f>sum(COUNTif($AE$2:$AE$5,"&gt;0"),COUNTif($AE$7:$AE$24,"&gt;0"),COUNTif($AE$26:$AE$28,"&gt;0"),COUNTif($AE$30:$AE$76,"&gt;0"),COUNTif($AE$79:$AE$91,"&gt;0"))</f>
        <v>35</v>
      </c>
      <c r="AF96" s="372">
        <f>sum(COUNTif($AE$2:$AE$5,"&gt;1"),COUNTif($AE$7:$AE$24,"&gt;1"),COUNTif($AE$26:$AE$28,"&gt;1"),COUNTif($AE$30:$AE$76,"&gt;1"),COUNTif($AE$79:$AE$91,"&gt;1"))</f>
        <v>22</v>
      </c>
      <c r="AG96" s="372">
        <f>sum(COUNTif($AE$2:$AE$5,"&gt;2"),COUNTif($AE$7:$AE$24,"&gt;2"),COUNTif($AE$26:$AE$28,"&gt;2"),COUNTif($AE$30:$AE$76,"&gt;2"),COUNTif($AE$79:$AE$91,"&gt;2"))</f>
        <v>15</v>
      </c>
      <c r="AH96" s="372">
        <f>sum(COUNTif($AE$2:$AE$5,"&gt;3"),COUNTif($AE$7:$AE$24,"&gt;3"),COUNTif($AE$26:$AE$28,"&gt;3"),COUNTif($AE$30:$AE$76,"&gt;3"),COUNTif($AE$79:$AE$91,"&gt;3"))</f>
        <v>9</v>
      </c>
      <c r="AI96" s="372">
        <f>sum(countif($AS$2:$AS$76,"&gt;1"),countif($AS$25:$AS$91,"&gt;1"))</f>
        <v>8</v>
      </c>
      <c r="AJ96" s="235">
        <v>3.0</v>
      </c>
      <c r="AK96" s="235">
        <v>3.0</v>
      </c>
      <c r="AL96" s="235">
        <v>3.0</v>
      </c>
      <c r="AM96" s="235">
        <v>3.0</v>
      </c>
      <c r="AN96" s="235">
        <v>9.0</v>
      </c>
      <c r="AO96" s="235">
        <v>8.0</v>
      </c>
      <c r="AP96" s="235">
        <v>0.0</v>
      </c>
      <c r="AQ96" s="235">
        <v>0.0</v>
      </c>
      <c r="AR96" s="182"/>
      <c r="AS96" s="182"/>
    </row>
    <row r="97">
      <c r="A97" s="182"/>
      <c r="B97" s="182"/>
      <c r="C97" s="182"/>
      <c r="D97" s="182"/>
      <c r="E97" s="182"/>
      <c r="F97" s="495"/>
      <c r="G97" s="182"/>
      <c r="H97" s="182"/>
      <c r="I97" s="182"/>
      <c r="J97" s="182"/>
      <c r="K97" s="182"/>
      <c r="L97" s="182"/>
      <c r="M97" s="182"/>
      <c r="N97" s="182"/>
      <c r="O97" s="182"/>
      <c r="P97" s="46">
        <f>COUNT($P$2:$P$5,$P$7:$P$24,$P$26:$P$28,$P$30:$P$76,$P$79:$P$91)</f>
        <v>85</v>
      </c>
      <c r="Q97" s="182"/>
      <c r="R97" s="182"/>
      <c r="S97" s="182"/>
      <c r="T97" s="182"/>
      <c r="U97" s="182"/>
      <c r="V97" s="182"/>
      <c r="W97" s="182"/>
      <c r="X97" s="182"/>
      <c r="Y97" s="46">
        <f>COUNT($P$2:$P$5,$P$7:$P$24,$P$26:$P$28,$P$30:$P$76,$P$79:$P$91)</f>
        <v>85</v>
      </c>
      <c r="Z97" s="46"/>
      <c r="AA97" s="46">
        <f>COUNT($P$2:$P$5,$P$7:$P$24,$P$26:$P$28,$P$30:$P$76,$P$79:$P$91)</f>
        <v>85</v>
      </c>
      <c r="AB97" s="46"/>
      <c r="AC97" s="46">
        <f>COUNT($P$2:$P$5,$P$7:$P$24,$P$26:$P$28,$P$30:$P$76,$P$79:$P$91)</f>
        <v>85</v>
      </c>
      <c r="AD97" s="46"/>
      <c r="AE97" s="372">
        <f t="shared" ref="AE97:AI97" si="8">COUNT($P$2:$P$5,$P$7:$P$24,$P$26:$P$28,$P$30:$P$76,$P$79:$P$91)</f>
        <v>85</v>
      </c>
      <c r="AF97" s="372">
        <f t="shared" si="8"/>
        <v>85</v>
      </c>
      <c r="AG97" s="372">
        <f t="shared" si="8"/>
        <v>85</v>
      </c>
      <c r="AH97" s="372">
        <f t="shared" si="8"/>
        <v>85</v>
      </c>
      <c r="AI97" s="372">
        <f t="shared" si="8"/>
        <v>85</v>
      </c>
      <c r="AJ97" s="182"/>
      <c r="AK97" s="182"/>
      <c r="AL97" s="182"/>
      <c r="AM97" s="182"/>
      <c r="AN97" s="182"/>
      <c r="AO97" s="182"/>
      <c r="AP97" s="182"/>
      <c r="AQ97" s="182"/>
      <c r="AR97" s="182"/>
      <c r="AS97" s="182"/>
    </row>
    <row r="98">
      <c r="A98" s="182"/>
      <c r="B98" s="182"/>
      <c r="C98" s="182"/>
      <c r="D98" s="182"/>
      <c r="E98" s="182"/>
      <c r="F98" s="495"/>
      <c r="G98" s="182"/>
      <c r="H98" s="182"/>
      <c r="I98" s="182"/>
      <c r="J98" s="182"/>
      <c r="K98" s="182"/>
      <c r="L98" s="182"/>
      <c r="M98" s="182"/>
      <c r="N98" s="182"/>
      <c r="O98" s="182"/>
      <c r="P98" s="374">
        <f>P96/P97</f>
        <v>0.2</v>
      </c>
      <c r="Q98" s="182"/>
      <c r="R98" s="182"/>
      <c r="S98" s="182"/>
      <c r="T98" s="182"/>
      <c r="U98" s="182"/>
      <c r="V98" s="182"/>
      <c r="W98" s="182"/>
      <c r="X98" s="182"/>
      <c r="Y98" s="374">
        <f>Y96/Y97</f>
        <v>0.2</v>
      </c>
      <c r="Z98" s="46"/>
      <c r="AA98" s="374">
        <f>AA96/AA97</f>
        <v>0.1647058824</v>
      </c>
      <c r="AB98" s="46"/>
      <c r="AC98" s="374">
        <f>AC96/AC97</f>
        <v>0.3882352941</v>
      </c>
      <c r="AD98" s="46"/>
      <c r="AE98" s="630">
        <f t="shared" ref="AE98:AI98" si="9">AE96/AE97</f>
        <v>0.4117647059</v>
      </c>
      <c r="AF98" s="630">
        <f t="shared" si="9"/>
        <v>0.2588235294</v>
      </c>
      <c r="AG98" s="630">
        <f t="shared" si="9"/>
        <v>0.1764705882</v>
      </c>
      <c r="AH98" s="630">
        <f t="shared" si="9"/>
        <v>0.1058823529</v>
      </c>
      <c r="AI98" s="630">
        <f t="shared" si="9"/>
        <v>0.09411764706</v>
      </c>
      <c r="AJ98" s="182"/>
      <c r="AK98" s="182"/>
      <c r="AL98" s="182"/>
      <c r="AM98" s="182"/>
      <c r="AN98" s="182"/>
      <c r="AO98" s="182"/>
      <c r="AP98" s="182"/>
      <c r="AQ98" s="182"/>
      <c r="AR98" s="182"/>
      <c r="AS98" s="182"/>
    </row>
    <row r="99">
      <c r="A99" s="182"/>
      <c r="B99" s="182"/>
      <c r="C99" s="182"/>
      <c r="D99" s="182"/>
      <c r="E99" s="182"/>
      <c r="F99" s="495"/>
      <c r="G99" s="182"/>
      <c r="H99" s="182"/>
      <c r="I99" s="182"/>
      <c r="J99" s="182"/>
      <c r="K99" s="182"/>
      <c r="L99" s="182"/>
      <c r="M99" s="182"/>
      <c r="N99" s="182"/>
      <c r="O99" s="182"/>
      <c r="P99" s="56"/>
      <c r="Q99" s="182"/>
      <c r="R99" s="182"/>
      <c r="S99" s="182"/>
      <c r="T99" s="182"/>
      <c r="U99" s="182"/>
      <c r="V99" s="182"/>
      <c r="W99" s="182"/>
      <c r="X99" s="182"/>
      <c r="Y99" s="46"/>
      <c r="Z99" s="46"/>
      <c r="AA99" s="46"/>
      <c r="AB99" s="46"/>
      <c r="AC99" s="46"/>
      <c r="AD99" s="46"/>
      <c r="AE99" s="372" t="s">
        <v>1401</v>
      </c>
      <c r="AF99" s="372" t="s">
        <v>1402</v>
      </c>
      <c r="AG99" s="372" t="s">
        <v>1403</v>
      </c>
      <c r="AH99" s="340" t="s">
        <v>1404</v>
      </c>
      <c r="AI99" s="310" t="s">
        <v>1376</v>
      </c>
      <c r="AJ99" s="182"/>
      <c r="AK99" s="182"/>
      <c r="AL99" s="182"/>
      <c r="AM99" s="182"/>
      <c r="AN99" s="182"/>
      <c r="AO99" s="182"/>
      <c r="AP99" s="182"/>
      <c r="AQ99" s="182"/>
      <c r="AR99" s="182"/>
      <c r="AS99" s="182"/>
    </row>
    <row r="100">
      <c r="A100" s="182"/>
      <c r="B100" s="182"/>
      <c r="C100" s="182"/>
      <c r="D100" s="182"/>
      <c r="E100" s="182"/>
      <c r="F100" s="495"/>
      <c r="G100" s="182"/>
      <c r="H100" s="182"/>
      <c r="I100" s="182"/>
      <c r="J100" s="182"/>
      <c r="K100" s="182"/>
      <c r="L100" s="182"/>
      <c r="M100" s="182"/>
      <c r="N100" s="182"/>
      <c r="O100" s="182"/>
      <c r="P100" s="56"/>
      <c r="Q100" s="182"/>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182"/>
      <c r="AQ100" s="182"/>
      <c r="AR100" s="182"/>
      <c r="AS100" s="182"/>
    </row>
    <row r="101">
      <c r="A101" s="182"/>
      <c r="B101" s="182"/>
      <c r="C101" s="182"/>
      <c r="D101" s="182"/>
      <c r="I101" s="331" t="s">
        <v>1497</v>
      </c>
      <c r="J101" s="345" t="s">
        <v>389</v>
      </c>
      <c r="K101" s="346" t="s">
        <v>420</v>
      </c>
      <c r="L101" s="347" t="s">
        <v>358</v>
      </c>
      <c r="M101" s="348" t="s">
        <v>363</v>
      </c>
      <c r="N101" s="349" t="s">
        <v>413</v>
      </c>
      <c r="O101" s="350" t="s">
        <v>357</v>
      </c>
      <c r="P101" s="351" t="s">
        <v>380</v>
      </c>
      <c r="Q101" s="352" t="s">
        <v>387</v>
      </c>
      <c r="R101" s="642" t="s">
        <v>1427</v>
      </c>
      <c r="S101" s="643" t="s">
        <v>1190</v>
      </c>
      <c r="T101" s="644" t="s">
        <v>1214</v>
      </c>
      <c r="U101" s="645" t="s">
        <v>1120</v>
      </c>
      <c r="V101" s="646" t="s">
        <v>1188</v>
      </c>
      <c r="W101" s="647" t="s">
        <v>1428</v>
      </c>
      <c r="X101" s="648" t="s">
        <v>1429</v>
      </c>
      <c r="Y101" s="649" t="s">
        <v>1178</v>
      </c>
      <c r="Z101" s="650" t="s">
        <v>1145</v>
      </c>
      <c r="AA101" s="651" t="s">
        <v>1301</v>
      </c>
      <c r="AB101" s="652" t="s">
        <v>1130</v>
      </c>
      <c r="AC101" s="653" t="s">
        <v>1314</v>
      </c>
      <c r="AD101" s="654" t="s">
        <v>1431</v>
      </c>
      <c r="AE101" s="655" t="s">
        <v>1095</v>
      </c>
      <c r="AF101" s="656" t="s">
        <v>1103</v>
      </c>
      <c r="AG101" s="657" t="s">
        <v>1090</v>
      </c>
      <c r="AH101" s="658" t="s">
        <v>1296</v>
      </c>
      <c r="AI101" s="659" t="s">
        <v>1270</v>
      </c>
      <c r="AJ101" s="660" t="s">
        <v>1115</v>
      </c>
      <c r="AK101" s="661" t="s">
        <v>1089</v>
      </c>
      <c r="AL101" s="662" t="s">
        <v>1182</v>
      </c>
      <c r="AM101" s="663" t="s">
        <v>1298</v>
      </c>
      <c r="AN101" s="664" t="s">
        <v>1163</v>
      </c>
      <c r="AO101" s="665" t="s">
        <v>1223</v>
      </c>
      <c r="AP101" s="666" t="s">
        <v>1441</v>
      </c>
      <c r="AQ101" s="667" t="s">
        <v>1129</v>
      </c>
      <c r="AR101" s="668" t="s">
        <v>1447</v>
      </c>
      <c r="AS101" s="669" t="s">
        <v>1454</v>
      </c>
    </row>
    <row r="102">
      <c r="A102" s="182"/>
      <c r="B102" s="182"/>
      <c r="C102" s="182"/>
      <c r="D102" s="182"/>
      <c r="I102" s="468">
        <f>correl(J102:Q102,AJ93:AQ93)</f>
        <v>0.976324135</v>
      </c>
      <c r="J102" s="80">
        <f t="shared" ref="J102:Q102" si="10">sum(countif(AJ2:AJ5,"&gt;0"),countif(AJ7:AJ24,"&gt;0"),countif(AJ26:AJ28,"&gt;0"),countif(AJ30:AJ76,"&gt;0"),sum(countif(AJ79:AJ91,"&gt;0")))</f>
        <v>7</v>
      </c>
      <c r="K102" s="80">
        <f t="shared" si="10"/>
        <v>3</v>
      </c>
      <c r="L102" s="80">
        <f t="shared" si="10"/>
        <v>5</v>
      </c>
      <c r="M102" s="80">
        <f t="shared" si="10"/>
        <v>4</v>
      </c>
      <c r="N102" s="80">
        <f t="shared" si="10"/>
        <v>13</v>
      </c>
      <c r="O102" s="80">
        <f t="shared" si="10"/>
        <v>9</v>
      </c>
      <c r="P102" s="80">
        <f t="shared" si="10"/>
        <v>0</v>
      </c>
      <c r="Q102" s="80">
        <f t="shared" si="10"/>
        <v>0</v>
      </c>
      <c r="R102" s="80">
        <f t="shared" ref="R102:X102" si="11">sum(countifs($AJ$2:$AJ$5,"&gt;0",AK2:AK5,"&gt;0"),countifs($AJ$7:$AJ$24,"&gt;0",AK7:AK24,"&gt;0"),countifs($AJ$26:$AJ$28,"&gt;0",AK26:AK28,"&gt;0"),countifs($AJ$30:$AJ$76,"&gt;0",AK30:AK76,"&gt;0"),countifs($AJ$79:$AJ$91,"&gt;0",AK79:AK91,"&gt;0"))</f>
        <v>0</v>
      </c>
      <c r="S102" s="670">
        <f t="shared" si="11"/>
        <v>1</v>
      </c>
      <c r="T102" s="80">
        <f t="shared" si="11"/>
        <v>0</v>
      </c>
      <c r="U102" s="670">
        <f t="shared" si="11"/>
        <v>3</v>
      </c>
      <c r="V102" s="80">
        <f t="shared" si="11"/>
        <v>0</v>
      </c>
      <c r="W102" s="80">
        <f t="shared" si="11"/>
        <v>0</v>
      </c>
      <c r="X102" s="80">
        <f t="shared" si="11"/>
        <v>0</v>
      </c>
      <c r="Y102" s="80">
        <f t="shared" ref="Y102:AD102" si="12">sum(countifs($AK$2:$AK$5,"&gt;0",AL2:AL5,"&gt;0"),countifs($AK$7:$AK$24,"&gt;0",AL7:AL24,"&gt;0"),countifs($AK$26:$AK$28,"&gt;0",AL26:AL28,"&gt;0"),countifs($AK$30:$AK$76,"&gt;0",AL30:AL76,"&gt;0"),countifs($AK$79:$AK$91,"&gt;0",AL79:AL91,"&gt;0"))</f>
        <v>0</v>
      </c>
      <c r="Z102" s="80">
        <f t="shared" si="12"/>
        <v>0</v>
      </c>
      <c r="AA102" s="80">
        <f t="shared" si="12"/>
        <v>0</v>
      </c>
      <c r="AB102" s="80">
        <f t="shared" si="12"/>
        <v>0</v>
      </c>
      <c r="AC102" s="80">
        <f t="shared" si="12"/>
        <v>0</v>
      </c>
      <c r="AD102" s="80">
        <f t="shared" si="12"/>
        <v>0</v>
      </c>
      <c r="AE102" s="80">
        <f t="shared" ref="AE102:AI102" si="13">sum(countifs($AL$2:$AL$5,"&gt;0",AM2:AM5,"&gt;0"),countifs($AL$7:$AL$24,"&gt;0",AM7:AM24,"&gt;0"),countifs($AL$26:$AL$28,"&gt;0",AM26:AM28,"&gt;0"),countifs($AL$30:$AL$76,"&gt;0",AM30:AM76,"&gt;0"),countifs($AL$79:$AL$91,"&gt;0",AM79:AM91,"&gt;0"))</f>
        <v>0</v>
      </c>
      <c r="AF102" s="80">
        <f t="shared" si="13"/>
        <v>0</v>
      </c>
      <c r="AG102" s="670">
        <f t="shared" si="13"/>
        <v>1</v>
      </c>
      <c r="AH102" s="80">
        <f t="shared" si="13"/>
        <v>0</v>
      </c>
      <c r="AI102" s="80">
        <f t="shared" si="13"/>
        <v>0</v>
      </c>
      <c r="AJ102" s="670">
        <f t="shared" ref="AJ102:AM102" si="14">sum(countifs($AM$2:$AM$5,"&gt;0",AN2:AN5,"&gt;0"),countifs($AM$7:$AM$24,"&gt;0",AN7:AN24,"&gt;0"),countifs($AM$26:$AM$28,"&gt;0",AN26:AN28,"&gt;0"),countifs($AM$30:$AM$76,"&gt;0",AN30:AN76,"&gt;0"),countifs($AM$79:$AM$91,"&gt;0",AN79:AN91,"&gt;0"))</f>
        <v>1</v>
      </c>
      <c r="AK102" s="80">
        <f t="shared" si="14"/>
        <v>0</v>
      </c>
      <c r="AL102" s="80">
        <f t="shared" si="14"/>
        <v>0</v>
      </c>
      <c r="AM102" s="80">
        <f t="shared" si="14"/>
        <v>0</v>
      </c>
      <c r="AN102" s="80">
        <f t="shared" ref="AN102:AP102" si="15">sum(countifs($AN$2:$AN$5,"&gt;0",AO2:AO5,"&gt;0"),countifs($AN$7:$AN$24,"&gt;0",AO7:AO24,"&gt;0"),countifs($AN$26:$AN$28,"&gt;0",AO26:AO28,"&gt;0"),countifs($AN$30:$AN$76,"&gt;0",AO30:AO76,"&gt;0"),countifs($AN$79:$AN$91,"&gt;0",AO79:AO91,"&gt;0"))</f>
        <v>0</v>
      </c>
      <c r="AO102" s="80">
        <f t="shared" si="15"/>
        <v>0</v>
      </c>
      <c r="AP102" s="80">
        <f t="shared" si="15"/>
        <v>0</v>
      </c>
      <c r="AQ102" s="80">
        <f t="shared" ref="AQ102:AR102" si="16">sum(countifs($AO$2:$AO$5,"&gt;0",AP2:AP5,"&gt;0"),countifs($AO$7:$AO$24,"&gt;0",AP7:AP24,"&gt;0"),countifs($AO$26:$AO$28,"&gt;0",AP26:AP28,"&gt;0"),countifs($AO$30:$AO$76,"&gt;0",AP30:AP76,"&gt;0"),countifs($AO$79:$AO$91,"&gt;0",AP79:AP91,"&gt;0"))</f>
        <v>0</v>
      </c>
      <c r="AR102" s="80">
        <f t="shared" si="16"/>
        <v>0</v>
      </c>
      <c r="AS102" s="80">
        <f>sum(countifs($AP$2:$AP$5,"&gt;0",AQ2:AQ5,"&gt;0"),countifs($AP$7:$AP$24,"&gt;0",AQ7:AQ24,"&gt;0"),countifs($AP$26:$AP$28,"&gt;0",AQ26:AQ28,"&gt;0"),countifs($AP$30:$AP$76,"&gt;0",AQ30:AQ76,"&gt;0"),countifs($AP$79:$AP$91,"&gt;0",AQ79:AQ91,"&gt;0"))</f>
        <v>0</v>
      </c>
    </row>
    <row r="103">
      <c r="A103" s="182"/>
      <c r="B103" s="182"/>
      <c r="C103" s="182"/>
      <c r="D103" s="182"/>
      <c r="J103" s="76">
        <f t="shared" ref="J103:Q103" si="17">J102/sum($J$102:$Q$102)</f>
        <v>0.1707317073</v>
      </c>
      <c r="K103" s="76">
        <f t="shared" si="17"/>
        <v>0.07317073171</v>
      </c>
      <c r="L103" s="76">
        <f t="shared" si="17"/>
        <v>0.1219512195</v>
      </c>
      <c r="M103" s="76">
        <f t="shared" si="17"/>
        <v>0.09756097561</v>
      </c>
      <c r="N103" s="76">
        <f t="shared" si="17"/>
        <v>0.3170731707</v>
      </c>
      <c r="O103" s="76">
        <f t="shared" si="17"/>
        <v>0.2195121951</v>
      </c>
      <c r="P103" s="76">
        <f t="shared" si="17"/>
        <v>0</v>
      </c>
      <c r="Q103" s="76">
        <f t="shared" si="17"/>
        <v>0</v>
      </c>
      <c r="R103" s="80"/>
      <c r="S103" s="80"/>
      <c r="T103" s="80"/>
      <c r="U103" s="80"/>
      <c r="V103" s="80"/>
      <c r="W103" s="80"/>
      <c r="X103" s="80"/>
      <c r="Y103" s="80"/>
      <c r="Z103" s="80"/>
      <c r="AA103" s="80"/>
      <c r="AB103" s="80"/>
      <c r="AC103" s="80"/>
      <c r="AD103" s="80"/>
      <c r="AE103" s="80"/>
      <c r="AF103" s="80"/>
      <c r="AG103" s="80"/>
      <c r="AH103" s="80"/>
      <c r="AI103" s="80"/>
      <c r="AJ103" s="80"/>
      <c r="AK103" s="80"/>
      <c r="AL103" s="80"/>
      <c r="AM103" s="80"/>
      <c r="AN103" s="80"/>
      <c r="AO103" s="80"/>
      <c r="AP103" s="80"/>
      <c r="AQ103" s="80"/>
      <c r="AR103" s="80"/>
      <c r="AS103" s="8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7.29" defaultRowHeight="15.0"/>
  <cols>
    <col customWidth="1" min="3" max="4" width="16.86"/>
    <col customWidth="1" min="10" max="10" width="10.0"/>
    <col customWidth="1" min="11" max="11" width="4.86"/>
    <col customWidth="1" min="12" max="12" width="6.43"/>
    <col customWidth="1" min="13" max="13" width="8.29"/>
    <col customWidth="1" min="14" max="14" width="6.71"/>
    <col customWidth="1" min="15" max="15" width="28.0"/>
    <col customWidth="1" min="16" max="16" width="19.43"/>
    <col customWidth="1" min="17" max="17" width="16.0"/>
    <col customWidth="1" min="18" max="18" width="22.71"/>
    <col customWidth="1" min="19" max="19" width="25.86"/>
    <col customWidth="1" min="20" max="20" width="25.71"/>
    <col customWidth="1" min="21" max="21" width="14.14"/>
    <col customWidth="1" min="22" max="22" width="20.57"/>
    <col customWidth="1" min="23" max="23" width="23.43"/>
    <col customWidth="1" min="24" max="24" width="18.43"/>
    <col customWidth="1" min="25" max="25" width="14.57"/>
    <col customWidth="1" min="26" max="26" width="9.71"/>
    <col customWidth="1" min="27" max="27" width="14.86"/>
    <col customWidth="1" min="28" max="28" width="27.43"/>
    <col customWidth="1" min="29" max="29" width="12.0"/>
    <col customWidth="1" min="30" max="30" width="9.71"/>
    <col customWidth="1" min="31" max="31" width="8.71"/>
    <col customWidth="1" min="32" max="34" width="9.43"/>
    <col customWidth="1" min="35" max="35" width="8.71"/>
    <col customWidth="1" min="36" max="37" width="8.14"/>
    <col customWidth="1" min="38" max="39" width="8.71"/>
    <col customWidth="1" min="40" max="40" width="8.14"/>
    <col customWidth="1" min="41" max="42" width="8.71"/>
    <col customWidth="1" min="43" max="44" width="9.14"/>
    <col customWidth="1" min="45" max="45" width="11.29"/>
  </cols>
  <sheetData>
    <row r="1">
      <c r="A1" s="310" t="s">
        <v>1355</v>
      </c>
      <c r="B1" s="310" t="s">
        <v>1356</v>
      </c>
      <c r="C1" s="309" t="s">
        <v>1246</v>
      </c>
      <c r="D1" s="310" t="s">
        <v>331</v>
      </c>
      <c r="E1" s="310" t="s">
        <v>1357</v>
      </c>
      <c r="F1" s="310" t="s">
        <v>1</v>
      </c>
      <c r="G1" s="310" t="s">
        <v>4</v>
      </c>
      <c r="H1" s="310" t="s">
        <v>1358</v>
      </c>
      <c r="I1" s="310" t="s">
        <v>1359</v>
      </c>
      <c r="J1" s="310" t="s">
        <v>336</v>
      </c>
      <c r="K1" s="310" t="s">
        <v>337</v>
      </c>
      <c r="L1" s="311" t="s">
        <v>338</v>
      </c>
      <c r="M1" s="311" t="s">
        <v>332</v>
      </c>
      <c r="N1" s="311" t="s">
        <v>1360</v>
      </c>
      <c r="O1" s="310" t="s">
        <v>339</v>
      </c>
      <c r="P1" s="339" t="s">
        <v>1361</v>
      </c>
      <c r="Q1" s="339" t="s">
        <v>1362</v>
      </c>
      <c r="R1" s="339" t="s">
        <v>1363</v>
      </c>
      <c r="S1" s="339" t="s">
        <v>1627</v>
      </c>
      <c r="T1" s="339" t="s">
        <v>1628</v>
      </c>
      <c r="U1" s="339" t="s">
        <v>1364</v>
      </c>
      <c r="V1" s="340" t="s">
        <v>1407</v>
      </c>
      <c r="W1" s="340" t="s">
        <v>1366</v>
      </c>
      <c r="X1" s="340" t="s">
        <v>1367</v>
      </c>
      <c r="Y1" s="341" t="s">
        <v>1368</v>
      </c>
      <c r="Z1" s="341" t="s">
        <v>1369</v>
      </c>
      <c r="AA1" s="342" t="s">
        <v>1370</v>
      </c>
      <c r="AB1" s="342" t="s">
        <v>1371</v>
      </c>
      <c r="AC1" s="343" t="s">
        <v>1372</v>
      </c>
      <c r="AD1" s="344" t="s">
        <v>1373</v>
      </c>
      <c r="AE1" s="313" t="s">
        <v>1374</v>
      </c>
      <c r="AF1" s="265"/>
      <c r="AG1" s="265"/>
      <c r="AH1" s="265"/>
      <c r="AI1" s="182"/>
      <c r="AJ1" s="345" t="s">
        <v>389</v>
      </c>
      <c r="AK1" s="346" t="s">
        <v>420</v>
      </c>
      <c r="AL1" s="347" t="s">
        <v>358</v>
      </c>
      <c r="AM1" s="348" t="s">
        <v>363</v>
      </c>
      <c r="AN1" s="349" t="s">
        <v>413</v>
      </c>
      <c r="AO1" s="350" t="s">
        <v>357</v>
      </c>
      <c r="AP1" s="351" t="s">
        <v>380</v>
      </c>
      <c r="AQ1" s="352" t="s">
        <v>387</v>
      </c>
      <c r="AR1" s="353" t="s">
        <v>1375</v>
      </c>
      <c r="AS1" s="353" t="s">
        <v>1376</v>
      </c>
    </row>
    <row r="2">
      <c r="A2" s="235">
        <v>1.0</v>
      </c>
      <c r="B2" s="690">
        <v>3428.0</v>
      </c>
      <c r="C2" s="690" t="s">
        <v>1040</v>
      </c>
      <c r="D2" s="716" t="s">
        <v>1038</v>
      </c>
      <c r="E2" s="463">
        <v>40983.0</v>
      </c>
      <c r="F2" s="772">
        <v>42471.0</v>
      </c>
      <c r="G2" s="235" t="s">
        <v>8</v>
      </c>
      <c r="H2" s="235" t="s">
        <v>433</v>
      </c>
      <c r="I2" s="235" t="s">
        <v>354</v>
      </c>
      <c r="J2" s="235" t="s">
        <v>354</v>
      </c>
      <c r="K2" s="184">
        <v>0.0</v>
      </c>
      <c r="L2" s="184" t="s">
        <v>354</v>
      </c>
      <c r="M2" s="265"/>
      <c r="N2" s="265"/>
      <c r="O2" s="184" t="s">
        <v>371</v>
      </c>
      <c r="P2" s="157">
        <v>0.0</v>
      </c>
      <c r="Q2" s="157">
        <v>0.0</v>
      </c>
      <c r="R2" s="551" t="s">
        <v>354</v>
      </c>
      <c r="S2" s="551" t="s">
        <v>354</v>
      </c>
      <c r="T2" s="551" t="s">
        <v>354</v>
      </c>
      <c r="U2" s="157">
        <v>0.0</v>
      </c>
      <c r="V2" s="157">
        <v>0.0</v>
      </c>
      <c r="W2" s="551" t="s">
        <v>354</v>
      </c>
      <c r="X2" s="551" t="s">
        <v>354</v>
      </c>
      <c r="Y2" s="355" t="s">
        <v>365</v>
      </c>
      <c r="Z2" s="102" t="s">
        <v>357</v>
      </c>
      <c r="AA2" s="356" t="s">
        <v>365</v>
      </c>
      <c r="AB2" s="40" t="s">
        <v>357</v>
      </c>
      <c r="AC2" s="144" t="s">
        <v>365</v>
      </c>
      <c r="AD2" s="102" t="s">
        <v>357</v>
      </c>
      <c r="AE2" s="357">
        <f t="shared" ref="AE2:AE87" si="1">sum(COUNTIF(Y2:AD2,"POS"),countif(P2,"&gt;0"))</f>
        <v>3</v>
      </c>
      <c r="AF2" s="265"/>
      <c r="AG2" s="265"/>
      <c r="AH2" s="265"/>
      <c r="AI2" s="182"/>
      <c r="AJ2" s="80">
        <v>0.0</v>
      </c>
      <c r="AK2" s="80">
        <v>0.0</v>
      </c>
      <c r="AL2" s="80">
        <v>0.0</v>
      </c>
      <c r="AM2" s="80">
        <v>0.0</v>
      </c>
      <c r="AN2" s="80">
        <v>0.0</v>
      </c>
      <c r="AO2" s="224">
        <v>3.0</v>
      </c>
      <c r="AP2" s="80">
        <v>0.0</v>
      </c>
      <c r="AQ2" s="80">
        <v>0.0</v>
      </c>
      <c r="AR2" s="358">
        <f t="shared" ref="AR2:AR87" si="2">sum(AJ2:AQ2)</f>
        <v>3</v>
      </c>
      <c r="AS2" s="358">
        <f t="shared" ref="AS2:AS85" si="3">countif(AJ2:AQ2,"&gt;0")</f>
        <v>1</v>
      </c>
    </row>
    <row r="3">
      <c r="A3" s="235">
        <v>2.0</v>
      </c>
      <c r="B3" s="201" t="s">
        <v>448</v>
      </c>
      <c r="C3" s="747" t="s">
        <v>437</v>
      </c>
      <c r="D3" s="751" t="s">
        <v>438</v>
      </c>
      <c r="E3" s="463">
        <v>40983.0</v>
      </c>
      <c r="F3" s="235">
        <v>2.0</v>
      </c>
      <c r="G3" s="235" t="s">
        <v>8</v>
      </c>
      <c r="H3" s="235" t="s">
        <v>7</v>
      </c>
      <c r="I3" s="235" t="s">
        <v>354</v>
      </c>
      <c r="J3" s="235" t="s">
        <v>354</v>
      </c>
      <c r="K3" s="179">
        <v>2.0</v>
      </c>
      <c r="L3" s="179" t="s">
        <v>447</v>
      </c>
      <c r="M3" s="265"/>
      <c r="N3" s="265"/>
      <c r="O3" s="179" t="s">
        <v>446</v>
      </c>
      <c r="P3" s="157">
        <v>0.0</v>
      </c>
      <c r="Q3" s="157">
        <v>0.0</v>
      </c>
      <c r="R3" s="551" t="s">
        <v>354</v>
      </c>
      <c r="S3" s="551" t="s">
        <v>354</v>
      </c>
      <c r="T3" s="551" t="s">
        <v>354</v>
      </c>
      <c r="U3" s="157">
        <v>0.0</v>
      </c>
      <c r="V3" s="157">
        <v>0.0</v>
      </c>
      <c r="W3" s="551" t="s">
        <v>354</v>
      </c>
      <c r="X3" s="551" t="s">
        <v>354</v>
      </c>
      <c r="Y3" s="355" t="s">
        <v>365</v>
      </c>
      <c r="Z3" s="90" t="s">
        <v>413</v>
      </c>
      <c r="AA3" s="356" t="s">
        <v>365</v>
      </c>
      <c r="AB3" s="90" t="s">
        <v>413</v>
      </c>
      <c r="AC3" s="144" t="s">
        <v>365</v>
      </c>
      <c r="AD3" s="90" t="s">
        <v>413</v>
      </c>
      <c r="AE3" s="357">
        <f t="shared" si="1"/>
        <v>3</v>
      </c>
      <c r="AF3" s="265"/>
      <c r="AG3" s="265"/>
      <c r="AH3" s="265"/>
      <c r="AI3" s="182"/>
      <c r="AJ3" s="80">
        <v>0.0</v>
      </c>
      <c r="AK3" s="80">
        <v>0.0</v>
      </c>
      <c r="AL3" s="80">
        <v>0.0</v>
      </c>
      <c r="AM3" s="80">
        <v>0.0</v>
      </c>
      <c r="AN3" s="224">
        <v>3.0</v>
      </c>
      <c r="AO3" s="224">
        <v>0.0</v>
      </c>
      <c r="AP3" s="80">
        <v>0.0</v>
      </c>
      <c r="AQ3" s="80">
        <v>0.0</v>
      </c>
      <c r="AR3" s="358">
        <f t="shared" si="2"/>
        <v>3</v>
      </c>
      <c r="AS3" s="358">
        <f t="shared" si="3"/>
        <v>1</v>
      </c>
    </row>
    <row r="4">
      <c r="A4" s="235">
        <v>3.0</v>
      </c>
      <c r="B4" s="235" t="s">
        <v>982</v>
      </c>
      <c r="C4" s="63" t="s">
        <v>982</v>
      </c>
      <c r="D4" s="482" t="s">
        <v>980</v>
      </c>
      <c r="E4" s="463">
        <v>40983.0</v>
      </c>
      <c r="F4" s="773">
        <v>41010.0</v>
      </c>
      <c r="G4" s="235" t="s">
        <v>8</v>
      </c>
      <c r="H4" s="235" t="s">
        <v>433</v>
      </c>
      <c r="I4" s="235" t="s">
        <v>354</v>
      </c>
      <c r="J4" s="235" t="s">
        <v>354</v>
      </c>
      <c r="K4" s="235">
        <v>0.0</v>
      </c>
      <c r="L4" s="235"/>
      <c r="M4" s="235" t="s">
        <v>354</v>
      </c>
      <c r="N4" s="235" t="s">
        <v>354</v>
      </c>
      <c r="O4" s="182"/>
      <c r="P4" s="154">
        <v>31.5993832387245</v>
      </c>
      <c r="Q4" s="157">
        <v>0.0</v>
      </c>
      <c r="R4" s="551" t="s">
        <v>354</v>
      </c>
      <c r="S4" s="551" t="s">
        <v>354</v>
      </c>
      <c r="T4" s="551" t="s">
        <v>354</v>
      </c>
      <c r="U4" s="157">
        <v>0.0</v>
      </c>
      <c r="V4" s="157">
        <v>0.0</v>
      </c>
      <c r="W4" s="551" t="s">
        <v>354</v>
      </c>
      <c r="X4" s="551" t="s">
        <v>354</v>
      </c>
      <c r="Y4" s="355" t="s">
        <v>365</v>
      </c>
      <c r="Z4" s="90" t="s">
        <v>413</v>
      </c>
      <c r="AA4" s="356" t="s">
        <v>365</v>
      </c>
      <c r="AB4" s="90" t="s">
        <v>413</v>
      </c>
      <c r="AC4" s="144" t="s">
        <v>365</v>
      </c>
      <c r="AD4" s="143" t="s">
        <v>358</v>
      </c>
      <c r="AE4" s="357">
        <f t="shared" si="1"/>
        <v>4</v>
      </c>
      <c r="AF4" s="265"/>
      <c r="AG4" s="265"/>
      <c r="AH4" s="265"/>
      <c r="AI4" s="182"/>
      <c r="AJ4" s="80">
        <v>0.0</v>
      </c>
      <c r="AK4" s="80">
        <v>0.0</v>
      </c>
      <c r="AL4" s="224">
        <v>1.0</v>
      </c>
      <c r="AM4" s="80">
        <v>0.0</v>
      </c>
      <c r="AN4" s="224">
        <v>2.0</v>
      </c>
      <c r="AO4" s="224">
        <v>0.0</v>
      </c>
      <c r="AP4" s="80">
        <v>0.0</v>
      </c>
      <c r="AQ4" s="80">
        <v>0.0</v>
      </c>
      <c r="AR4" s="358">
        <f t="shared" si="2"/>
        <v>3</v>
      </c>
      <c r="AS4" s="358">
        <f t="shared" si="3"/>
        <v>2</v>
      </c>
    </row>
    <row r="5">
      <c r="A5" s="235">
        <v>4.0</v>
      </c>
      <c r="B5" s="690">
        <v>6698.0</v>
      </c>
      <c r="C5" s="715" t="s">
        <v>1014</v>
      </c>
      <c r="D5" s="687" t="s">
        <v>1014</v>
      </c>
      <c r="E5" s="463">
        <v>40983.0</v>
      </c>
      <c r="F5" s="773">
        <v>41010.0</v>
      </c>
      <c r="G5" s="235" t="s">
        <v>8</v>
      </c>
      <c r="H5" s="235" t="s">
        <v>433</v>
      </c>
      <c r="I5" s="235" t="s">
        <v>354</v>
      </c>
      <c r="J5" s="235" t="s">
        <v>354</v>
      </c>
      <c r="K5" s="184">
        <v>0.0</v>
      </c>
      <c r="L5" s="184" t="s">
        <v>354</v>
      </c>
      <c r="M5" s="265"/>
      <c r="N5" s="265"/>
      <c r="O5" s="184" t="s">
        <v>371</v>
      </c>
      <c r="P5" s="157">
        <v>0.0</v>
      </c>
      <c r="Q5" s="157">
        <v>0.0</v>
      </c>
      <c r="R5" s="551" t="s">
        <v>354</v>
      </c>
      <c r="S5" s="551" t="s">
        <v>354</v>
      </c>
      <c r="T5" s="551" t="s">
        <v>354</v>
      </c>
      <c r="U5" s="157">
        <v>0.0</v>
      </c>
      <c r="V5" s="157">
        <v>0.0</v>
      </c>
      <c r="W5" s="551" t="s">
        <v>354</v>
      </c>
      <c r="X5" s="551" t="s">
        <v>354</v>
      </c>
      <c r="Y5" s="359" t="s">
        <v>356</v>
      </c>
      <c r="Z5" s="359" t="s">
        <v>354</v>
      </c>
      <c r="AA5" s="368" t="s">
        <v>356</v>
      </c>
      <c r="AB5" s="368" t="s">
        <v>354</v>
      </c>
      <c r="AC5" s="139" t="s">
        <v>356</v>
      </c>
      <c r="AD5" s="139" t="s">
        <v>354</v>
      </c>
      <c r="AE5" s="46">
        <f t="shared" si="1"/>
        <v>0</v>
      </c>
      <c r="AF5" s="265"/>
      <c r="AG5" s="265"/>
      <c r="AH5" s="265"/>
      <c r="AI5" s="182"/>
      <c r="AJ5" s="80">
        <v>0.0</v>
      </c>
      <c r="AK5" s="80">
        <v>0.0</v>
      </c>
      <c r="AL5" s="80">
        <v>0.0</v>
      </c>
      <c r="AM5" s="80">
        <v>0.0</v>
      </c>
      <c r="AN5" s="80">
        <v>0.0</v>
      </c>
      <c r="AO5" s="224">
        <v>0.0</v>
      </c>
      <c r="AP5" s="80">
        <v>0.0</v>
      </c>
      <c r="AQ5" s="80">
        <v>0.0</v>
      </c>
      <c r="AR5" s="182">
        <f t="shared" si="2"/>
        <v>0</v>
      </c>
      <c r="AS5" s="182">
        <f t="shared" si="3"/>
        <v>0</v>
      </c>
    </row>
    <row r="6">
      <c r="A6" s="235">
        <v>5.0</v>
      </c>
      <c r="B6" s="717" t="s">
        <v>216</v>
      </c>
      <c r="C6" s="684" t="s">
        <v>216</v>
      </c>
      <c r="D6" s="692" t="s">
        <v>764</v>
      </c>
      <c r="E6" s="463">
        <v>40983.0</v>
      </c>
      <c r="F6" s="235">
        <v>3.0</v>
      </c>
      <c r="G6" s="235" t="s">
        <v>67</v>
      </c>
      <c r="H6" s="235" t="s">
        <v>7</v>
      </c>
      <c r="I6" s="235" t="s">
        <v>354</v>
      </c>
      <c r="J6" s="235" t="s">
        <v>1611</v>
      </c>
      <c r="K6" s="158">
        <v>3.0</v>
      </c>
      <c r="L6" s="158" t="s">
        <v>766</v>
      </c>
      <c r="M6" s="265"/>
      <c r="N6" s="265"/>
      <c r="O6" s="158" t="s">
        <v>600</v>
      </c>
      <c r="P6" s="157">
        <v>0.0</v>
      </c>
      <c r="Q6" s="157">
        <v>0.0</v>
      </c>
      <c r="R6" s="551" t="s">
        <v>354</v>
      </c>
      <c r="S6" s="551" t="s">
        <v>354</v>
      </c>
      <c r="T6" s="551" t="s">
        <v>354</v>
      </c>
      <c r="U6" s="157">
        <v>0.0</v>
      </c>
      <c r="V6" s="157">
        <v>0.0</v>
      </c>
      <c r="W6" s="551" t="s">
        <v>354</v>
      </c>
      <c r="X6" s="551" t="s">
        <v>354</v>
      </c>
      <c r="Y6" s="359" t="s">
        <v>356</v>
      </c>
      <c r="Z6" s="359" t="s">
        <v>354</v>
      </c>
      <c r="AA6" s="368" t="s">
        <v>356</v>
      </c>
      <c r="AB6" s="368" t="s">
        <v>354</v>
      </c>
      <c r="AC6" s="139" t="s">
        <v>356</v>
      </c>
      <c r="AD6" s="139" t="s">
        <v>354</v>
      </c>
      <c r="AE6" s="46">
        <f t="shared" si="1"/>
        <v>0</v>
      </c>
      <c r="AF6" s="265"/>
      <c r="AG6" s="265"/>
      <c r="AH6" s="265"/>
      <c r="AI6" s="182"/>
      <c r="AJ6" s="80">
        <v>0.0</v>
      </c>
      <c r="AK6" s="80">
        <v>0.0</v>
      </c>
      <c r="AL6" s="80">
        <v>0.0</v>
      </c>
      <c r="AM6" s="80">
        <v>0.0</v>
      </c>
      <c r="AN6" s="80">
        <v>0.0</v>
      </c>
      <c r="AO6" s="224">
        <v>0.0</v>
      </c>
      <c r="AP6" s="80">
        <v>0.0</v>
      </c>
      <c r="AQ6" s="80">
        <v>0.0</v>
      </c>
      <c r="AR6" s="182">
        <f t="shared" si="2"/>
        <v>0</v>
      </c>
      <c r="AS6" s="182">
        <f t="shared" si="3"/>
        <v>0</v>
      </c>
    </row>
    <row r="7">
      <c r="A7" s="235">
        <v>6.0</v>
      </c>
      <c r="B7" s="717" t="s">
        <v>999</v>
      </c>
      <c r="C7" s="710" t="s">
        <v>999</v>
      </c>
      <c r="D7" s="692" t="s">
        <v>1763</v>
      </c>
      <c r="E7" s="463">
        <v>40983.0</v>
      </c>
      <c r="F7" s="773">
        <v>41010.0</v>
      </c>
      <c r="G7" s="235" t="s">
        <v>67</v>
      </c>
      <c r="H7" s="235" t="s">
        <v>433</v>
      </c>
      <c r="I7" s="235" t="s">
        <v>354</v>
      </c>
      <c r="J7" s="235" t="s">
        <v>770</v>
      </c>
      <c r="K7" s="158">
        <v>1.0</v>
      </c>
      <c r="L7" s="158" t="s">
        <v>998</v>
      </c>
      <c r="M7" s="265"/>
      <c r="N7" s="265"/>
      <c r="O7" s="158" t="s">
        <v>455</v>
      </c>
      <c r="P7" s="154">
        <v>29.6543310182729</v>
      </c>
      <c r="Q7" s="157">
        <v>0.0</v>
      </c>
      <c r="R7" s="551" t="s">
        <v>354</v>
      </c>
      <c r="S7" s="551" t="s">
        <v>354</v>
      </c>
      <c r="T7" s="551" t="s">
        <v>354</v>
      </c>
      <c r="U7" s="157">
        <v>0.0</v>
      </c>
      <c r="V7" s="157">
        <v>0.0</v>
      </c>
      <c r="W7" s="551" t="s">
        <v>354</v>
      </c>
      <c r="X7" s="551" t="s">
        <v>354</v>
      </c>
      <c r="Y7" s="355" t="s">
        <v>365</v>
      </c>
      <c r="Z7" s="90" t="s">
        <v>413</v>
      </c>
      <c r="AA7" s="356" t="s">
        <v>365</v>
      </c>
      <c r="AB7" s="90" t="s">
        <v>413</v>
      </c>
      <c r="AC7" s="144" t="s">
        <v>365</v>
      </c>
      <c r="AD7" s="90" t="s">
        <v>413</v>
      </c>
      <c r="AE7" s="357">
        <f t="shared" si="1"/>
        <v>4</v>
      </c>
      <c r="AF7" s="265"/>
      <c r="AG7" s="265"/>
      <c r="AH7" s="265"/>
      <c r="AI7" s="182"/>
      <c r="AJ7" s="80">
        <v>0.0</v>
      </c>
      <c r="AK7" s="80">
        <v>0.0</v>
      </c>
      <c r="AL7" s="80">
        <v>0.0</v>
      </c>
      <c r="AM7" s="80">
        <v>0.0</v>
      </c>
      <c r="AN7" s="224">
        <v>3.0</v>
      </c>
      <c r="AO7" s="224">
        <v>0.0</v>
      </c>
      <c r="AP7" s="80">
        <v>0.0</v>
      </c>
      <c r="AQ7" s="80">
        <v>0.0</v>
      </c>
      <c r="AR7" s="358">
        <f t="shared" si="2"/>
        <v>3</v>
      </c>
      <c r="AS7" s="358">
        <f t="shared" si="3"/>
        <v>1</v>
      </c>
    </row>
    <row r="8">
      <c r="A8" s="235">
        <v>7.0</v>
      </c>
      <c r="B8" s="717" t="s">
        <v>274</v>
      </c>
      <c r="C8" s="684" t="s">
        <v>271</v>
      </c>
      <c r="D8" s="692" t="s">
        <v>924</v>
      </c>
      <c r="E8" s="463">
        <v>40983.0</v>
      </c>
      <c r="F8" s="235">
        <v>3.0</v>
      </c>
      <c r="G8" s="235" t="s">
        <v>67</v>
      </c>
      <c r="H8" s="235" t="s">
        <v>7</v>
      </c>
      <c r="I8" s="235" t="s">
        <v>354</v>
      </c>
      <c r="J8" s="235" t="s">
        <v>770</v>
      </c>
      <c r="K8" s="158">
        <v>1.0</v>
      </c>
      <c r="L8" s="158" t="s">
        <v>929</v>
      </c>
      <c r="M8" s="265"/>
      <c r="N8" s="265"/>
      <c r="O8" s="158" t="s">
        <v>455</v>
      </c>
      <c r="P8" s="154">
        <v>31.5514135236395</v>
      </c>
      <c r="Q8" s="154">
        <v>35.7067325972038</v>
      </c>
      <c r="R8" s="551" t="s">
        <v>356</v>
      </c>
      <c r="S8" s="551" t="s">
        <v>356</v>
      </c>
      <c r="T8" s="551" t="s">
        <v>356</v>
      </c>
      <c r="U8" s="157">
        <v>0.0</v>
      </c>
      <c r="V8" s="157">
        <v>0.0</v>
      </c>
      <c r="W8" s="551" t="s">
        <v>354</v>
      </c>
      <c r="X8" s="551" t="s">
        <v>354</v>
      </c>
      <c r="Y8" s="355" t="s">
        <v>365</v>
      </c>
      <c r="Z8" s="90" t="s">
        <v>413</v>
      </c>
      <c r="AA8" s="356" t="s">
        <v>365</v>
      </c>
      <c r="AB8" s="90" t="s">
        <v>413</v>
      </c>
      <c r="AC8" s="144" t="s">
        <v>365</v>
      </c>
      <c r="AD8" s="143" t="s">
        <v>358</v>
      </c>
      <c r="AE8" s="357">
        <f t="shared" si="1"/>
        <v>4</v>
      </c>
      <c r="AF8" s="265"/>
      <c r="AG8" s="265"/>
      <c r="AH8" s="265"/>
      <c r="AI8" s="182"/>
      <c r="AJ8" s="80">
        <v>0.0</v>
      </c>
      <c r="AK8" s="80">
        <v>0.0</v>
      </c>
      <c r="AL8" s="224">
        <v>1.0</v>
      </c>
      <c r="AM8" s="80">
        <v>0.0</v>
      </c>
      <c r="AN8" s="224">
        <v>2.0</v>
      </c>
      <c r="AO8" s="224">
        <v>0.0</v>
      </c>
      <c r="AP8" s="80">
        <v>0.0</v>
      </c>
      <c r="AQ8" s="80">
        <v>0.0</v>
      </c>
      <c r="AR8" s="358">
        <f t="shared" si="2"/>
        <v>3</v>
      </c>
      <c r="AS8" s="358">
        <f t="shared" si="3"/>
        <v>2</v>
      </c>
    </row>
    <row r="9">
      <c r="A9" s="235">
        <v>8.0</v>
      </c>
      <c r="B9" s="690" t="s">
        <v>496</v>
      </c>
      <c r="C9" s="715" t="s">
        <v>488</v>
      </c>
      <c r="D9" s="687" t="s">
        <v>489</v>
      </c>
      <c r="E9" s="463">
        <v>40983.0</v>
      </c>
      <c r="F9" s="772">
        <v>42470.0</v>
      </c>
      <c r="G9" s="235" t="s">
        <v>67</v>
      </c>
      <c r="H9" s="235" t="s">
        <v>7</v>
      </c>
      <c r="I9" s="72" t="s">
        <v>84</v>
      </c>
      <c r="J9" s="235" t="s">
        <v>1611</v>
      </c>
      <c r="K9" s="184">
        <v>0.0</v>
      </c>
      <c r="L9" s="184" t="s">
        <v>354</v>
      </c>
      <c r="M9" s="265"/>
      <c r="N9" s="265"/>
      <c r="O9" s="184" t="s">
        <v>371</v>
      </c>
      <c r="P9" s="154">
        <v>22.2364942628902</v>
      </c>
      <c r="Q9" s="157">
        <v>0.0</v>
      </c>
      <c r="R9" s="551" t="s">
        <v>354</v>
      </c>
      <c r="S9" s="551" t="s">
        <v>354</v>
      </c>
      <c r="T9" s="551" t="s">
        <v>354</v>
      </c>
      <c r="U9" s="157">
        <v>0.0</v>
      </c>
      <c r="V9" s="157">
        <v>0.0</v>
      </c>
      <c r="W9" s="551" t="s">
        <v>354</v>
      </c>
      <c r="X9" s="551" t="s">
        <v>354</v>
      </c>
      <c r="Y9" s="355" t="s">
        <v>365</v>
      </c>
      <c r="Z9" s="143" t="s">
        <v>358</v>
      </c>
      <c r="AA9" s="356" t="s">
        <v>365</v>
      </c>
      <c r="AB9" s="143" t="s">
        <v>358</v>
      </c>
      <c r="AC9" s="144" t="s">
        <v>365</v>
      </c>
      <c r="AD9" s="143" t="s">
        <v>358</v>
      </c>
      <c r="AE9" s="357">
        <f t="shared" si="1"/>
        <v>4</v>
      </c>
      <c r="AF9" s="265"/>
      <c r="AG9" s="265"/>
      <c r="AH9" s="265"/>
      <c r="AI9" s="182"/>
      <c r="AJ9" s="80">
        <v>0.0</v>
      </c>
      <c r="AK9" s="80">
        <v>0.0</v>
      </c>
      <c r="AL9" s="224">
        <v>3.0</v>
      </c>
      <c r="AM9" s="80">
        <v>0.0</v>
      </c>
      <c r="AN9" s="80">
        <v>0.0</v>
      </c>
      <c r="AO9" s="224">
        <v>0.0</v>
      </c>
      <c r="AP9" s="80">
        <v>0.0</v>
      </c>
      <c r="AQ9" s="80">
        <v>0.0</v>
      </c>
      <c r="AR9" s="358">
        <f t="shared" si="2"/>
        <v>3</v>
      </c>
      <c r="AS9" s="358">
        <f t="shared" si="3"/>
        <v>1</v>
      </c>
    </row>
    <row r="10">
      <c r="A10" s="235">
        <v>9.0</v>
      </c>
      <c r="B10" s="690" t="s">
        <v>562</v>
      </c>
      <c r="C10" s="715" t="s">
        <v>560</v>
      </c>
      <c r="D10" s="687" t="s">
        <v>561</v>
      </c>
      <c r="E10" s="463">
        <v>40983.0</v>
      </c>
      <c r="F10" s="235">
        <v>3.0</v>
      </c>
      <c r="G10" s="235" t="s">
        <v>8</v>
      </c>
      <c r="H10" s="235" t="s">
        <v>7</v>
      </c>
      <c r="I10" s="235" t="s">
        <v>354</v>
      </c>
      <c r="J10" s="235" t="s">
        <v>354</v>
      </c>
      <c r="K10" s="184">
        <v>0.0</v>
      </c>
      <c r="L10" s="184" t="s">
        <v>354</v>
      </c>
      <c r="M10" s="265"/>
      <c r="N10" s="265"/>
      <c r="O10" s="184" t="s">
        <v>371</v>
      </c>
      <c r="P10" s="157">
        <v>0.0</v>
      </c>
      <c r="Q10" s="157">
        <v>0.0</v>
      </c>
      <c r="R10" s="551" t="s">
        <v>354</v>
      </c>
      <c r="S10" s="551" t="s">
        <v>354</v>
      </c>
      <c r="T10" s="551" t="s">
        <v>354</v>
      </c>
      <c r="U10" s="157">
        <v>0.0</v>
      </c>
      <c r="V10" s="157">
        <v>0.0</v>
      </c>
      <c r="W10" s="551" t="s">
        <v>354</v>
      </c>
      <c r="X10" s="551" t="s">
        <v>354</v>
      </c>
      <c r="Y10" s="359" t="s">
        <v>356</v>
      </c>
      <c r="Z10" s="359" t="s">
        <v>354</v>
      </c>
      <c r="AA10" s="368" t="s">
        <v>356</v>
      </c>
      <c r="AB10" s="368" t="s">
        <v>354</v>
      </c>
      <c r="AC10" s="139" t="s">
        <v>356</v>
      </c>
      <c r="AD10" s="139" t="s">
        <v>354</v>
      </c>
      <c r="AE10" s="46">
        <f t="shared" si="1"/>
        <v>0</v>
      </c>
      <c r="AF10" s="265"/>
      <c r="AG10" s="265"/>
      <c r="AH10" s="265"/>
      <c r="AI10" s="182"/>
      <c r="AJ10" s="80">
        <v>0.0</v>
      </c>
      <c r="AK10" s="80">
        <v>0.0</v>
      </c>
      <c r="AL10" s="80">
        <v>0.0</v>
      </c>
      <c r="AM10" s="80">
        <v>0.0</v>
      </c>
      <c r="AN10" s="80">
        <v>0.0</v>
      </c>
      <c r="AO10" s="224">
        <v>0.0</v>
      </c>
      <c r="AP10" s="80">
        <v>0.0</v>
      </c>
      <c r="AQ10" s="80">
        <v>0.0</v>
      </c>
      <c r="AR10" s="182">
        <f t="shared" si="2"/>
        <v>0</v>
      </c>
      <c r="AS10" s="182">
        <f t="shared" si="3"/>
        <v>0</v>
      </c>
    </row>
    <row r="11">
      <c r="A11" s="235">
        <v>10.0</v>
      </c>
      <c r="B11" s="235" t="s">
        <v>1049</v>
      </c>
      <c r="C11" s="63" t="s">
        <v>1049</v>
      </c>
      <c r="D11" s="482" t="s">
        <v>1046</v>
      </c>
      <c r="E11" s="463">
        <v>40983.0</v>
      </c>
      <c r="F11" s="773">
        <v>41010.0</v>
      </c>
      <c r="G11" s="235" t="s">
        <v>8</v>
      </c>
      <c r="H11" s="235" t="s">
        <v>433</v>
      </c>
      <c r="I11" s="235" t="s">
        <v>354</v>
      </c>
      <c r="J11" s="235" t="s">
        <v>354</v>
      </c>
      <c r="K11" s="235">
        <v>0.0</v>
      </c>
      <c r="L11" s="235"/>
      <c r="M11" s="235" t="s">
        <v>354</v>
      </c>
      <c r="N11" s="235" t="s">
        <v>354</v>
      </c>
      <c r="O11" s="182"/>
      <c r="P11" s="154">
        <v>31.5863853513204</v>
      </c>
      <c r="Q11" s="157">
        <v>0.0</v>
      </c>
      <c r="R11" s="551" t="s">
        <v>354</v>
      </c>
      <c r="S11" s="551" t="s">
        <v>354</v>
      </c>
      <c r="T11" s="551" t="s">
        <v>354</v>
      </c>
      <c r="U11" s="157">
        <v>0.0</v>
      </c>
      <c r="V11" s="157">
        <v>0.0</v>
      </c>
      <c r="W11" s="551" t="s">
        <v>354</v>
      </c>
      <c r="X11" s="551" t="s">
        <v>354</v>
      </c>
      <c r="Y11" s="355" t="s">
        <v>365</v>
      </c>
      <c r="Z11" s="90" t="s">
        <v>413</v>
      </c>
      <c r="AA11" s="356" t="s">
        <v>365</v>
      </c>
      <c r="AB11" s="90" t="s">
        <v>413</v>
      </c>
      <c r="AC11" s="144" t="s">
        <v>365</v>
      </c>
      <c r="AD11" s="90" t="s">
        <v>413</v>
      </c>
      <c r="AE11" s="357">
        <f t="shared" si="1"/>
        <v>4</v>
      </c>
      <c r="AF11" s="265"/>
      <c r="AG11" s="265"/>
      <c r="AH11" s="265"/>
      <c r="AI11" s="182"/>
      <c r="AJ11" s="80">
        <v>0.0</v>
      </c>
      <c r="AK11" s="80">
        <v>0.0</v>
      </c>
      <c r="AL11" s="80">
        <v>0.0</v>
      </c>
      <c r="AM11" s="80">
        <v>0.0</v>
      </c>
      <c r="AN11" s="224">
        <v>3.0</v>
      </c>
      <c r="AO11" s="224">
        <v>0.0</v>
      </c>
      <c r="AP11" s="80">
        <v>0.0</v>
      </c>
      <c r="AQ11" s="80">
        <v>0.0</v>
      </c>
      <c r="AR11" s="358">
        <f t="shared" si="2"/>
        <v>3</v>
      </c>
      <c r="AS11" s="358">
        <f t="shared" si="3"/>
        <v>1</v>
      </c>
    </row>
    <row r="12">
      <c r="A12" s="235">
        <v>11.0</v>
      </c>
      <c r="B12" s="717" t="s">
        <v>135</v>
      </c>
      <c r="C12" s="684" t="s">
        <v>135</v>
      </c>
      <c r="D12" s="692" t="s">
        <v>596</v>
      </c>
      <c r="E12" s="463">
        <v>40983.0</v>
      </c>
      <c r="F12" s="235">
        <v>3.0</v>
      </c>
      <c r="G12" s="235" t="s">
        <v>8</v>
      </c>
      <c r="H12" s="235" t="s">
        <v>7</v>
      </c>
      <c r="I12" s="235" t="s">
        <v>354</v>
      </c>
      <c r="J12" s="235" t="s">
        <v>354</v>
      </c>
      <c r="K12" s="158">
        <v>3.0</v>
      </c>
      <c r="L12" s="158" t="s">
        <v>601</v>
      </c>
      <c r="M12" s="265"/>
      <c r="N12" s="265"/>
      <c r="O12" s="158" t="s">
        <v>600</v>
      </c>
      <c r="P12" s="157">
        <v>0.0</v>
      </c>
      <c r="Q12" s="157">
        <v>0.0</v>
      </c>
      <c r="R12" s="551" t="s">
        <v>354</v>
      </c>
      <c r="S12" s="551" t="s">
        <v>354</v>
      </c>
      <c r="T12" s="551" t="s">
        <v>354</v>
      </c>
      <c r="U12" s="157">
        <v>0.0</v>
      </c>
      <c r="V12" s="157">
        <v>0.0</v>
      </c>
      <c r="W12" s="551" t="s">
        <v>354</v>
      </c>
      <c r="X12" s="551" t="s">
        <v>354</v>
      </c>
      <c r="Y12" s="359" t="s">
        <v>356</v>
      </c>
      <c r="Z12" s="359" t="s">
        <v>354</v>
      </c>
      <c r="AA12" s="392" t="s">
        <v>361</v>
      </c>
      <c r="AB12" s="392" t="s">
        <v>361</v>
      </c>
      <c r="AC12" s="144" t="s">
        <v>365</v>
      </c>
      <c r="AD12" s="102" t="s">
        <v>357</v>
      </c>
      <c r="AE12" s="367">
        <f t="shared" si="1"/>
        <v>1</v>
      </c>
      <c r="AF12" s="265"/>
      <c r="AG12" s="265"/>
      <c r="AH12" s="265"/>
      <c r="AI12" s="182"/>
      <c r="AJ12" s="80">
        <v>0.0</v>
      </c>
      <c r="AK12" s="80">
        <v>0.0</v>
      </c>
      <c r="AL12" s="80">
        <v>0.0</v>
      </c>
      <c r="AM12" s="80">
        <v>0.0</v>
      </c>
      <c r="AN12" s="80">
        <v>0.0</v>
      </c>
      <c r="AO12" s="224">
        <v>1.0</v>
      </c>
      <c r="AP12" s="80">
        <v>0.0</v>
      </c>
      <c r="AQ12" s="80">
        <v>0.0</v>
      </c>
      <c r="AR12" s="363">
        <f t="shared" si="2"/>
        <v>1</v>
      </c>
      <c r="AS12" s="363">
        <f t="shared" si="3"/>
        <v>1</v>
      </c>
    </row>
    <row r="13">
      <c r="A13" s="235">
        <v>12.0</v>
      </c>
      <c r="B13" s="690" t="s">
        <v>201</v>
      </c>
      <c r="C13" s="714" t="s">
        <v>201</v>
      </c>
      <c r="D13" s="711" t="s">
        <v>1622</v>
      </c>
      <c r="E13" s="463">
        <v>40983.0</v>
      </c>
      <c r="F13" s="235">
        <v>3.0</v>
      </c>
      <c r="G13" s="235" t="s">
        <v>67</v>
      </c>
      <c r="H13" s="235" t="s">
        <v>7</v>
      </c>
      <c r="I13" s="235" t="s">
        <v>354</v>
      </c>
      <c r="J13" s="235" t="s">
        <v>1611</v>
      </c>
      <c r="K13" s="184">
        <v>0.0</v>
      </c>
      <c r="L13" s="184" t="s">
        <v>354</v>
      </c>
      <c r="M13" s="265"/>
      <c r="N13" s="265"/>
      <c r="O13" s="184" t="s">
        <v>371</v>
      </c>
      <c r="P13" s="157">
        <v>0.0</v>
      </c>
      <c r="Q13" s="157">
        <v>0.0</v>
      </c>
      <c r="R13" s="551" t="s">
        <v>354</v>
      </c>
      <c r="S13" s="551" t="s">
        <v>354</v>
      </c>
      <c r="T13" s="551" t="s">
        <v>354</v>
      </c>
      <c r="U13" s="157">
        <v>0.0</v>
      </c>
      <c r="V13" s="157">
        <v>0.0</v>
      </c>
      <c r="W13" s="551" t="s">
        <v>354</v>
      </c>
      <c r="X13" s="551" t="s">
        <v>354</v>
      </c>
      <c r="Y13" s="359" t="s">
        <v>356</v>
      </c>
      <c r="Z13" s="359" t="s">
        <v>354</v>
      </c>
      <c r="AA13" s="392" t="s">
        <v>361</v>
      </c>
      <c r="AB13" s="392" t="s">
        <v>361</v>
      </c>
      <c r="AC13" s="139" t="s">
        <v>356</v>
      </c>
      <c r="AD13" s="139" t="s">
        <v>354</v>
      </c>
      <c r="AE13" s="46">
        <f t="shared" si="1"/>
        <v>0</v>
      </c>
      <c r="AF13" s="265"/>
      <c r="AG13" s="265"/>
      <c r="AH13" s="265"/>
      <c r="AI13" s="182"/>
      <c r="AJ13" s="80">
        <v>0.0</v>
      </c>
      <c r="AK13" s="80">
        <v>0.0</v>
      </c>
      <c r="AL13" s="80">
        <v>0.0</v>
      </c>
      <c r="AM13" s="80">
        <v>0.0</v>
      </c>
      <c r="AN13" s="80">
        <v>0.0</v>
      </c>
      <c r="AO13" s="224">
        <v>0.0</v>
      </c>
      <c r="AP13" s="80">
        <v>0.0</v>
      </c>
      <c r="AQ13" s="80">
        <v>0.0</v>
      </c>
      <c r="AR13" s="182">
        <f t="shared" si="2"/>
        <v>0</v>
      </c>
      <c r="AS13" s="182">
        <f t="shared" si="3"/>
        <v>0</v>
      </c>
    </row>
    <row r="14">
      <c r="A14" s="235">
        <v>13.0</v>
      </c>
      <c r="B14" s="235" t="s">
        <v>842</v>
      </c>
      <c r="C14" s="63" t="s">
        <v>835</v>
      </c>
      <c r="D14" s="482" t="s">
        <v>1661</v>
      </c>
      <c r="E14" s="463">
        <v>40983.0</v>
      </c>
      <c r="F14" s="772">
        <v>42470.0</v>
      </c>
      <c r="G14" s="235" t="s">
        <v>67</v>
      </c>
      <c r="H14" s="235" t="s">
        <v>7</v>
      </c>
      <c r="I14" s="235" t="s">
        <v>236</v>
      </c>
      <c r="J14" s="235" t="s">
        <v>1611</v>
      </c>
      <c r="K14" s="235">
        <v>0.0</v>
      </c>
      <c r="L14" s="235"/>
      <c r="M14" s="235" t="s">
        <v>354</v>
      </c>
      <c r="N14" s="235" t="s">
        <v>354</v>
      </c>
      <c r="O14" s="182"/>
      <c r="P14" s="154">
        <v>31.8754945809734</v>
      </c>
      <c r="Q14" s="157">
        <v>0.0</v>
      </c>
      <c r="R14" s="551" t="s">
        <v>354</v>
      </c>
      <c r="S14" s="551" t="s">
        <v>354</v>
      </c>
      <c r="T14" s="551" t="s">
        <v>354</v>
      </c>
      <c r="U14" s="157">
        <v>0.0</v>
      </c>
      <c r="V14" s="157">
        <v>0.0</v>
      </c>
      <c r="W14" s="551" t="s">
        <v>354</v>
      </c>
      <c r="X14" s="551" t="s">
        <v>354</v>
      </c>
      <c r="Y14" s="355" t="s">
        <v>365</v>
      </c>
      <c r="Z14" s="143" t="s">
        <v>358</v>
      </c>
      <c r="AA14" s="356" t="s">
        <v>365</v>
      </c>
      <c r="AB14" s="143" t="s">
        <v>358</v>
      </c>
      <c r="AC14" s="144" t="s">
        <v>365</v>
      </c>
      <c r="AD14" s="143" t="s">
        <v>358</v>
      </c>
      <c r="AE14" s="357">
        <f t="shared" si="1"/>
        <v>4</v>
      </c>
      <c r="AF14" s="265"/>
      <c r="AG14" s="265"/>
      <c r="AH14" s="265"/>
      <c r="AI14" s="182"/>
      <c r="AJ14" s="80">
        <v>0.0</v>
      </c>
      <c r="AK14" s="80">
        <v>0.0</v>
      </c>
      <c r="AL14" s="224">
        <v>3.0</v>
      </c>
      <c r="AM14" s="80">
        <v>0.0</v>
      </c>
      <c r="AN14" s="80">
        <v>0.0</v>
      </c>
      <c r="AO14" s="224">
        <v>0.0</v>
      </c>
      <c r="AP14" s="80">
        <v>0.0</v>
      </c>
      <c r="AQ14" s="80">
        <v>0.0</v>
      </c>
      <c r="AR14" s="358">
        <f t="shared" si="2"/>
        <v>3</v>
      </c>
      <c r="AS14" s="358">
        <f t="shared" si="3"/>
        <v>1</v>
      </c>
    </row>
    <row r="15">
      <c r="A15" s="235">
        <v>14.0</v>
      </c>
      <c r="B15" s="690" t="s">
        <v>1005</v>
      </c>
      <c r="C15" s="715" t="s">
        <v>1005</v>
      </c>
      <c r="D15" s="687" t="s">
        <v>1003</v>
      </c>
      <c r="E15" s="463">
        <v>40983.0</v>
      </c>
      <c r="F15" s="773">
        <v>41010.0</v>
      </c>
      <c r="G15" s="235" t="s">
        <v>8</v>
      </c>
      <c r="H15" s="235" t="s">
        <v>37</v>
      </c>
      <c r="I15" s="235" t="s">
        <v>354</v>
      </c>
      <c r="J15" s="235" t="s">
        <v>354</v>
      </c>
      <c r="K15" s="184">
        <v>0.0</v>
      </c>
      <c r="L15" s="184" t="s">
        <v>354</v>
      </c>
      <c r="M15" s="265"/>
      <c r="N15" s="265"/>
      <c r="O15" s="184" t="s">
        <v>371</v>
      </c>
      <c r="P15" s="157">
        <v>0.0</v>
      </c>
      <c r="Q15" s="157">
        <v>0.0</v>
      </c>
      <c r="R15" s="551" t="s">
        <v>354</v>
      </c>
      <c r="S15" s="551" t="s">
        <v>354</v>
      </c>
      <c r="T15" s="551" t="s">
        <v>354</v>
      </c>
      <c r="U15" s="157">
        <v>0.0</v>
      </c>
      <c r="V15" s="157">
        <v>0.0</v>
      </c>
      <c r="W15" s="551" t="s">
        <v>354</v>
      </c>
      <c r="X15" s="551" t="s">
        <v>354</v>
      </c>
      <c r="Y15" s="359" t="s">
        <v>356</v>
      </c>
      <c r="Z15" s="359" t="s">
        <v>354</v>
      </c>
      <c r="AA15" s="368" t="s">
        <v>356</v>
      </c>
      <c r="AB15" s="368" t="s">
        <v>354</v>
      </c>
      <c r="AC15" s="139" t="s">
        <v>356</v>
      </c>
      <c r="AD15" s="139" t="s">
        <v>354</v>
      </c>
      <c r="AE15" s="46">
        <f t="shared" si="1"/>
        <v>0</v>
      </c>
      <c r="AF15" s="265"/>
      <c r="AG15" s="265"/>
      <c r="AH15" s="265"/>
      <c r="AI15" s="182"/>
      <c r="AJ15" s="80">
        <v>0.0</v>
      </c>
      <c r="AK15" s="80">
        <v>0.0</v>
      </c>
      <c r="AL15" s="80">
        <v>0.0</v>
      </c>
      <c r="AM15" s="80">
        <v>0.0</v>
      </c>
      <c r="AN15" s="80">
        <v>0.0</v>
      </c>
      <c r="AO15" s="224">
        <v>0.0</v>
      </c>
      <c r="AP15" s="80">
        <v>0.0</v>
      </c>
      <c r="AQ15" s="80">
        <v>0.0</v>
      </c>
      <c r="AR15" s="182">
        <f t="shared" si="2"/>
        <v>0</v>
      </c>
      <c r="AS15" s="182">
        <f t="shared" si="3"/>
        <v>0</v>
      </c>
    </row>
    <row r="16">
      <c r="A16" s="235">
        <v>15.0</v>
      </c>
      <c r="B16" s="201" t="s">
        <v>84</v>
      </c>
      <c r="C16" s="712" t="s">
        <v>84</v>
      </c>
      <c r="D16" s="713" t="s">
        <v>474</v>
      </c>
      <c r="E16" s="463">
        <v>40983.0</v>
      </c>
      <c r="F16" s="235">
        <v>2.0</v>
      </c>
      <c r="G16" s="235" t="s">
        <v>67</v>
      </c>
      <c r="H16" s="235" t="s">
        <v>7</v>
      </c>
      <c r="I16" s="235" t="s">
        <v>354</v>
      </c>
      <c r="J16" s="235" t="s">
        <v>1611</v>
      </c>
      <c r="K16" s="179">
        <v>1.0</v>
      </c>
      <c r="L16" s="179" t="s">
        <v>354</v>
      </c>
      <c r="M16" s="265"/>
      <c r="N16" s="265"/>
      <c r="O16" s="179" t="s">
        <v>485</v>
      </c>
      <c r="P16" s="157">
        <v>0.0</v>
      </c>
      <c r="Q16" s="157">
        <v>0.0</v>
      </c>
      <c r="R16" s="551" t="s">
        <v>354</v>
      </c>
      <c r="S16" s="551" t="s">
        <v>354</v>
      </c>
      <c r="T16" s="551" t="s">
        <v>354</v>
      </c>
      <c r="U16" s="157">
        <v>0.0</v>
      </c>
      <c r="V16" s="157">
        <v>0.0</v>
      </c>
      <c r="W16" s="551" t="s">
        <v>354</v>
      </c>
      <c r="X16" s="551" t="s">
        <v>354</v>
      </c>
      <c r="Y16" s="359" t="s">
        <v>356</v>
      </c>
      <c r="Z16" s="359" t="s">
        <v>354</v>
      </c>
      <c r="AA16" s="368" t="s">
        <v>356</v>
      </c>
      <c r="AB16" s="368" t="s">
        <v>354</v>
      </c>
      <c r="AC16" s="139" t="s">
        <v>356</v>
      </c>
      <c r="AD16" s="139" t="s">
        <v>354</v>
      </c>
      <c r="AE16" s="46">
        <f t="shared" si="1"/>
        <v>0</v>
      </c>
      <c r="AF16" s="265"/>
      <c r="AG16" s="265"/>
      <c r="AH16" s="265"/>
      <c r="AI16" s="182"/>
      <c r="AJ16" s="80">
        <v>0.0</v>
      </c>
      <c r="AK16" s="80">
        <v>0.0</v>
      </c>
      <c r="AL16" s="80">
        <v>0.0</v>
      </c>
      <c r="AM16" s="80">
        <v>0.0</v>
      </c>
      <c r="AN16" s="80">
        <v>0.0</v>
      </c>
      <c r="AO16" s="224">
        <v>0.0</v>
      </c>
      <c r="AP16" s="80">
        <v>0.0</v>
      </c>
      <c r="AQ16" s="80">
        <v>0.0</v>
      </c>
      <c r="AR16" s="182">
        <f t="shared" si="2"/>
        <v>0</v>
      </c>
      <c r="AS16" s="182">
        <f t="shared" si="3"/>
        <v>0</v>
      </c>
    </row>
    <row r="17">
      <c r="A17" s="235">
        <v>16.0</v>
      </c>
      <c r="B17" s="717" t="s">
        <v>867</v>
      </c>
      <c r="C17" s="710" t="s">
        <v>863</v>
      </c>
      <c r="D17" s="741" t="s">
        <v>864</v>
      </c>
      <c r="E17" s="463">
        <v>40983.0</v>
      </c>
      <c r="F17" s="772">
        <v>42470.0</v>
      </c>
      <c r="G17" s="235" t="s">
        <v>8</v>
      </c>
      <c r="H17" s="235" t="s">
        <v>7</v>
      </c>
      <c r="I17" s="235" t="s">
        <v>244</v>
      </c>
      <c r="J17" s="235" t="s">
        <v>354</v>
      </c>
      <c r="K17" s="158">
        <v>3.0</v>
      </c>
      <c r="L17" s="158" t="s">
        <v>868</v>
      </c>
      <c r="M17" s="265"/>
      <c r="N17" s="265"/>
      <c r="O17" s="158" t="s">
        <v>600</v>
      </c>
      <c r="P17" s="154">
        <v>31.5584082187623</v>
      </c>
      <c r="Q17" s="157">
        <v>0.0</v>
      </c>
      <c r="R17" s="551" t="s">
        <v>354</v>
      </c>
      <c r="S17" s="551" t="s">
        <v>354</v>
      </c>
      <c r="T17" s="551" t="s">
        <v>354</v>
      </c>
      <c r="U17" s="157">
        <v>0.0</v>
      </c>
      <c r="V17" s="157">
        <v>0.0</v>
      </c>
      <c r="W17" s="551" t="s">
        <v>354</v>
      </c>
      <c r="X17" s="551" t="s">
        <v>354</v>
      </c>
      <c r="Y17" s="355" t="s">
        <v>365</v>
      </c>
      <c r="Z17" s="90" t="s">
        <v>413</v>
      </c>
      <c r="AA17" s="356" t="s">
        <v>365</v>
      </c>
      <c r="AB17" s="90" t="s">
        <v>413</v>
      </c>
      <c r="AC17" s="144" t="s">
        <v>365</v>
      </c>
      <c r="AD17" s="143" t="s">
        <v>358</v>
      </c>
      <c r="AE17" s="357">
        <f t="shared" si="1"/>
        <v>4</v>
      </c>
      <c r="AF17" s="265"/>
      <c r="AG17" s="265"/>
      <c r="AH17" s="265"/>
      <c r="AI17" s="182"/>
      <c r="AJ17" s="80">
        <v>0.0</v>
      </c>
      <c r="AK17" s="80">
        <v>0.0</v>
      </c>
      <c r="AL17" s="224">
        <v>1.0</v>
      </c>
      <c r="AM17" s="80">
        <v>0.0</v>
      </c>
      <c r="AN17" s="224">
        <v>2.0</v>
      </c>
      <c r="AO17" s="224">
        <v>0.0</v>
      </c>
      <c r="AP17" s="80">
        <v>0.0</v>
      </c>
      <c r="AQ17" s="80">
        <v>0.0</v>
      </c>
      <c r="AR17" s="358">
        <f t="shared" si="2"/>
        <v>3</v>
      </c>
      <c r="AS17" s="358">
        <f t="shared" si="3"/>
        <v>2</v>
      </c>
    </row>
    <row r="18">
      <c r="A18" s="235">
        <v>17.0</v>
      </c>
      <c r="B18" s="690" t="s">
        <v>1031</v>
      </c>
      <c r="C18" s="690" t="s">
        <v>1031</v>
      </c>
      <c r="D18" s="711" t="s">
        <v>1029</v>
      </c>
      <c r="E18" s="463">
        <v>40983.0</v>
      </c>
      <c r="F18" s="772">
        <v>42471.0</v>
      </c>
      <c r="G18" s="235" t="s">
        <v>67</v>
      </c>
      <c r="H18" s="235" t="s">
        <v>433</v>
      </c>
      <c r="I18" s="235" t="s">
        <v>354</v>
      </c>
      <c r="J18" s="235" t="s">
        <v>770</v>
      </c>
      <c r="K18" s="184">
        <v>0.0</v>
      </c>
      <c r="L18" s="184" t="s">
        <v>354</v>
      </c>
      <c r="M18" s="265"/>
      <c r="N18" s="265"/>
      <c r="O18" s="184" t="s">
        <v>371</v>
      </c>
      <c r="P18" s="157">
        <v>0.0</v>
      </c>
      <c r="Q18" s="157">
        <v>0.0</v>
      </c>
      <c r="R18" s="551" t="s">
        <v>354</v>
      </c>
      <c r="S18" s="551" t="s">
        <v>354</v>
      </c>
      <c r="T18" s="551" t="s">
        <v>354</v>
      </c>
      <c r="U18" s="157">
        <v>0.0</v>
      </c>
      <c r="V18" s="157">
        <v>0.0</v>
      </c>
      <c r="W18" s="551" t="s">
        <v>354</v>
      </c>
      <c r="X18" s="551" t="s">
        <v>354</v>
      </c>
      <c r="Y18" s="355" t="s">
        <v>365</v>
      </c>
      <c r="Z18" s="90" t="s">
        <v>413</v>
      </c>
      <c r="AA18" s="356" t="s">
        <v>365</v>
      </c>
      <c r="AB18" s="90" t="s">
        <v>413</v>
      </c>
      <c r="AC18" s="144" t="s">
        <v>365</v>
      </c>
      <c r="AD18" s="90" t="s">
        <v>413</v>
      </c>
      <c r="AE18" s="357">
        <f t="shared" si="1"/>
        <v>3</v>
      </c>
      <c r="AF18" s="265"/>
      <c r="AG18" s="265"/>
      <c r="AH18" s="265"/>
      <c r="AI18" s="182"/>
      <c r="AJ18" s="80">
        <v>0.0</v>
      </c>
      <c r="AK18" s="80">
        <v>0.0</v>
      </c>
      <c r="AL18" s="80">
        <v>0.0</v>
      </c>
      <c r="AM18" s="80">
        <v>0.0</v>
      </c>
      <c r="AN18" s="224">
        <v>3.0</v>
      </c>
      <c r="AO18" s="224">
        <v>0.0</v>
      </c>
      <c r="AP18" s="80">
        <v>0.0</v>
      </c>
      <c r="AQ18" s="80">
        <v>0.0</v>
      </c>
      <c r="AR18" s="358">
        <f t="shared" si="2"/>
        <v>3</v>
      </c>
      <c r="AS18" s="358">
        <f t="shared" si="3"/>
        <v>1</v>
      </c>
    </row>
    <row r="19">
      <c r="A19" s="235">
        <v>18.0</v>
      </c>
      <c r="B19" s="690" t="s">
        <v>259</v>
      </c>
      <c r="C19" s="690" t="s">
        <v>259</v>
      </c>
      <c r="D19" s="687" t="s">
        <v>977</v>
      </c>
      <c r="E19" s="463">
        <v>40983.0</v>
      </c>
      <c r="F19" s="772">
        <v>42471.0</v>
      </c>
      <c r="G19" s="235" t="s">
        <v>67</v>
      </c>
      <c r="H19" s="235" t="s">
        <v>433</v>
      </c>
      <c r="I19" s="235" t="s">
        <v>354</v>
      </c>
      <c r="J19" s="235" t="s">
        <v>770</v>
      </c>
      <c r="K19" s="184">
        <v>0.0</v>
      </c>
      <c r="L19" s="184" t="s">
        <v>354</v>
      </c>
      <c r="M19" s="265"/>
      <c r="N19" s="265"/>
      <c r="O19" s="184" t="s">
        <v>371</v>
      </c>
      <c r="P19" s="154">
        <v>31.5327813092929</v>
      </c>
      <c r="Q19" s="157">
        <v>0.0</v>
      </c>
      <c r="R19" s="551" t="s">
        <v>354</v>
      </c>
      <c r="S19" s="551" t="s">
        <v>354</v>
      </c>
      <c r="T19" s="551" t="s">
        <v>354</v>
      </c>
      <c r="U19" s="157">
        <v>0.0</v>
      </c>
      <c r="V19" s="157">
        <v>0.0</v>
      </c>
      <c r="W19" s="551" t="s">
        <v>354</v>
      </c>
      <c r="X19" s="551" t="s">
        <v>354</v>
      </c>
      <c r="Y19" s="355" t="s">
        <v>365</v>
      </c>
      <c r="Z19" s="90" t="s">
        <v>413</v>
      </c>
      <c r="AA19" s="356" t="s">
        <v>365</v>
      </c>
      <c r="AB19" s="90" t="s">
        <v>413</v>
      </c>
      <c r="AC19" s="144" t="s">
        <v>365</v>
      </c>
      <c r="AD19" s="143" t="s">
        <v>358</v>
      </c>
      <c r="AE19" s="357">
        <f t="shared" si="1"/>
        <v>4</v>
      </c>
      <c r="AF19" s="265"/>
      <c r="AG19" s="265"/>
      <c r="AH19" s="265"/>
      <c r="AI19" s="182"/>
      <c r="AJ19" s="80">
        <v>0.0</v>
      </c>
      <c r="AK19" s="80">
        <v>0.0</v>
      </c>
      <c r="AL19" s="224">
        <v>1.0</v>
      </c>
      <c r="AM19" s="80">
        <v>0.0</v>
      </c>
      <c r="AN19" s="224">
        <v>2.0</v>
      </c>
      <c r="AO19" s="224">
        <v>0.0</v>
      </c>
      <c r="AP19" s="80">
        <v>0.0</v>
      </c>
      <c r="AQ19" s="80">
        <v>0.0</v>
      </c>
      <c r="AR19" s="358">
        <f t="shared" si="2"/>
        <v>3</v>
      </c>
      <c r="AS19" s="358">
        <f t="shared" si="3"/>
        <v>2</v>
      </c>
    </row>
    <row r="20">
      <c r="A20" s="235">
        <v>19.0</v>
      </c>
      <c r="B20" s="690" t="s">
        <v>36</v>
      </c>
      <c r="C20" s="690" t="s">
        <v>36</v>
      </c>
      <c r="D20" s="687" t="s">
        <v>411</v>
      </c>
      <c r="E20" s="463">
        <v>40983.0</v>
      </c>
      <c r="F20" s="235">
        <v>1.0</v>
      </c>
      <c r="G20" s="235" t="s">
        <v>8</v>
      </c>
      <c r="H20" s="235" t="s">
        <v>7</v>
      </c>
      <c r="I20" s="235" t="s">
        <v>354</v>
      </c>
      <c r="J20" s="235" t="s">
        <v>354</v>
      </c>
      <c r="K20" s="184">
        <v>0.0</v>
      </c>
      <c r="L20" s="184" t="s">
        <v>354</v>
      </c>
      <c r="M20" s="265"/>
      <c r="N20" s="265"/>
      <c r="O20" s="184" t="s">
        <v>371</v>
      </c>
      <c r="P20" s="154">
        <v>31.097988622051</v>
      </c>
      <c r="Q20" s="157">
        <v>0.0</v>
      </c>
      <c r="R20" s="551" t="s">
        <v>354</v>
      </c>
      <c r="S20" s="551" t="s">
        <v>354</v>
      </c>
      <c r="T20" s="551" t="s">
        <v>354</v>
      </c>
      <c r="U20" s="157">
        <v>0.0</v>
      </c>
      <c r="V20" s="157">
        <v>0.0</v>
      </c>
      <c r="W20" s="551" t="s">
        <v>354</v>
      </c>
      <c r="X20" s="551" t="s">
        <v>354</v>
      </c>
      <c r="Y20" s="355" t="s">
        <v>365</v>
      </c>
      <c r="Z20" s="90" t="s">
        <v>413</v>
      </c>
      <c r="AA20" s="356" t="s">
        <v>365</v>
      </c>
      <c r="AB20" s="90" t="s">
        <v>413</v>
      </c>
      <c r="AC20" s="144" t="s">
        <v>365</v>
      </c>
      <c r="AD20" s="90" t="s">
        <v>413</v>
      </c>
      <c r="AE20" s="357">
        <f t="shared" si="1"/>
        <v>4</v>
      </c>
      <c r="AF20" s="265"/>
      <c r="AG20" s="265"/>
      <c r="AH20" s="265"/>
      <c r="AI20" s="182"/>
      <c r="AJ20" s="80">
        <v>0.0</v>
      </c>
      <c r="AK20" s="80">
        <v>0.0</v>
      </c>
      <c r="AL20" s="80">
        <v>0.0</v>
      </c>
      <c r="AM20" s="80">
        <v>0.0</v>
      </c>
      <c r="AN20" s="224">
        <v>3.0</v>
      </c>
      <c r="AO20" s="224">
        <v>0.0</v>
      </c>
      <c r="AP20" s="80">
        <v>0.0</v>
      </c>
      <c r="AQ20" s="80">
        <v>0.0</v>
      </c>
      <c r="AR20" s="358">
        <f t="shared" si="2"/>
        <v>3</v>
      </c>
      <c r="AS20" s="358">
        <f t="shared" si="3"/>
        <v>1</v>
      </c>
    </row>
    <row r="21">
      <c r="A21" s="235">
        <v>20.0</v>
      </c>
      <c r="B21" s="690" t="s">
        <v>624</v>
      </c>
      <c r="C21" s="715" t="s">
        <v>616</v>
      </c>
      <c r="D21" s="687" t="s">
        <v>617</v>
      </c>
      <c r="E21" s="463">
        <v>40983.0</v>
      </c>
      <c r="F21" s="235">
        <v>3.0</v>
      </c>
      <c r="G21" s="235" t="s">
        <v>8</v>
      </c>
      <c r="H21" s="235" t="s">
        <v>7</v>
      </c>
      <c r="I21" s="235" t="s">
        <v>354</v>
      </c>
      <c r="J21" s="235" t="s">
        <v>354</v>
      </c>
      <c r="K21" s="184">
        <v>0.0</v>
      </c>
      <c r="L21" s="184" t="s">
        <v>354</v>
      </c>
      <c r="M21" s="265"/>
      <c r="N21" s="265"/>
      <c r="O21" s="184" t="s">
        <v>371</v>
      </c>
      <c r="P21" s="157">
        <v>0.0</v>
      </c>
      <c r="Q21" s="157">
        <v>0.0</v>
      </c>
      <c r="R21" s="551" t="s">
        <v>354</v>
      </c>
      <c r="S21" s="551" t="s">
        <v>354</v>
      </c>
      <c r="T21" s="551" t="s">
        <v>354</v>
      </c>
      <c r="U21" s="157">
        <v>0.0</v>
      </c>
      <c r="V21" s="157">
        <v>0.0</v>
      </c>
      <c r="W21" s="551" t="s">
        <v>354</v>
      </c>
      <c r="X21" s="551" t="s">
        <v>354</v>
      </c>
      <c r="Y21" s="359" t="s">
        <v>356</v>
      </c>
      <c r="Z21" s="359" t="s">
        <v>354</v>
      </c>
      <c r="AA21" s="368" t="s">
        <v>356</v>
      </c>
      <c r="AB21" s="368" t="s">
        <v>354</v>
      </c>
      <c r="AC21" s="139" t="s">
        <v>356</v>
      </c>
      <c r="AD21" s="139" t="s">
        <v>354</v>
      </c>
      <c r="AE21" s="46">
        <f t="shared" si="1"/>
        <v>0</v>
      </c>
      <c r="AF21" s="265"/>
      <c r="AG21" s="265"/>
      <c r="AH21" s="265"/>
      <c r="AI21" s="182"/>
      <c r="AJ21" s="80">
        <v>0.0</v>
      </c>
      <c r="AK21" s="80">
        <v>0.0</v>
      </c>
      <c r="AL21" s="80">
        <v>0.0</v>
      </c>
      <c r="AM21" s="80">
        <v>0.0</v>
      </c>
      <c r="AN21" s="80">
        <v>0.0</v>
      </c>
      <c r="AO21" s="224">
        <v>0.0</v>
      </c>
      <c r="AP21" s="80">
        <v>0.0</v>
      </c>
      <c r="AQ21" s="80">
        <v>0.0</v>
      </c>
      <c r="AR21" s="182">
        <f t="shared" si="2"/>
        <v>0</v>
      </c>
      <c r="AS21" s="182">
        <f t="shared" si="3"/>
        <v>0</v>
      </c>
    </row>
    <row r="22">
      <c r="A22" s="235">
        <v>21.0</v>
      </c>
      <c r="B22" s="690" t="s">
        <v>739</v>
      </c>
      <c r="C22" s="715" t="s">
        <v>1780</v>
      </c>
      <c r="D22" s="687" t="s">
        <v>735</v>
      </c>
      <c r="E22" s="463">
        <v>40983.0</v>
      </c>
      <c r="F22" s="772">
        <v>42471.0</v>
      </c>
      <c r="G22" s="235" t="s">
        <v>8</v>
      </c>
      <c r="H22" s="235" t="s">
        <v>433</v>
      </c>
      <c r="I22" s="235" t="s">
        <v>204</v>
      </c>
      <c r="J22" s="235" t="s">
        <v>354</v>
      </c>
      <c r="K22" s="184">
        <v>0.0</v>
      </c>
      <c r="L22" s="184" t="s">
        <v>354</v>
      </c>
      <c r="M22" s="265"/>
      <c r="N22" s="265"/>
      <c r="O22" s="184" t="s">
        <v>371</v>
      </c>
      <c r="P22" s="207">
        <v>41.3683340368442</v>
      </c>
      <c r="Q22" s="157">
        <v>0.0</v>
      </c>
      <c r="R22" s="551" t="s">
        <v>354</v>
      </c>
      <c r="S22" s="551" t="s">
        <v>354</v>
      </c>
      <c r="T22" s="551" t="s">
        <v>354</v>
      </c>
      <c r="U22" s="157">
        <v>0.0</v>
      </c>
      <c r="V22" s="157">
        <v>0.0</v>
      </c>
      <c r="W22" s="551" t="s">
        <v>354</v>
      </c>
      <c r="X22" s="551" t="s">
        <v>354</v>
      </c>
      <c r="Y22" s="355" t="s">
        <v>365</v>
      </c>
      <c r="Z22" s="315" t="s">
        <v>420</v>
      </c>
      <c r="AA22" s="368" t="s">
        <v>356</v>
      </c>
      <c r="AB22" s="368" t="s">
        <v>354</v>
      </c>
      <c r="AC22" s="144" t="s">
        <v>365</v>
      </c>
      <c r="AD22" s="315" t="s">
        <v>420</v>
      </c>
      <c r="AE22" s="357">
        <f t="shared" si="1"/>
        <v>3</v>
      </c>
      <c r="AF22" s="265"/>
      <c r="AG22" s="265"/>
      <c r="AH22" s="265"/>
      <c r="AI22" s="182"/>
      <c r="AJ22" s="80">
        <v>0.0</v>
      </c>
      <c r="AK22" s="224">
        <v>2.0</v>
      </c>
      <c r="AL22" s="80">
        <v>0.0</v>
      </c>
      <c r="AM22" s="80">
        <v>0.0</v>
      </c>
      <c r="AN22" s="80">
        <v>0.0</v>
      </c>
      <c r="AO22" s="224">
        <v>0.0</v>
      </c>
      <c r="AP22" s="80">
        <v>0.0</v>
      </c>
      <c r="AQ22" s="80">
        <v>0.0</v>
      </c>
      <c r="AR22" s="358">
        <f t="shared" si="2"/>
        <v>2</v>
      </c>
      <c r="AS22" s="358">
        <f t="shared" si="3"/>
        <v>1</v>
      </c>
    </row>
    <row r="23">
      <c r="A23" s="235">
        <v>22.0</v>
      </c>
      <c r="B23" s="235" t="s">
        <v>773</v>
      </c>
      <c r="C23" s="49" t="s">
        <v>768</v>
      </c>
      <c r="D23" s="98" t="s">
        <v>769</v>
      </c>
      <c r="E23" s="463">
        <v>40983.0</v>
      </c>
      <c r="F23" s="772">
        <v>42471.0</v>
      </c>
      <c r="G23" s="235" t="s">
        <v>67</v>
      </c>
      <c r="H23" s="235" t="s">
        <v>433</v>
      </c>
      <c r="I23" s="235" t="s">
        <v>354</v>
      </c>
      <c r="J23" s="235" t="s">
        <v>770</v>
      </c>
      <c r="K23" s="235">
        <v>0.0</v>
      </c>
      <c r="L23" s="235"/>
      <c r="M23" s="235" t="s">
        <v>354</v>
      </c>
      <c r="N23" s="235" t="s">
        <v>354</v>
      </c>
      <c r="O23" s="182"/>
      <c r="P23" s="157">
        <v>0.0</v>
      </c>
      <c r="Q23" s="157">
        <v>0.0</v>
      </c>
      <c r="R23" s="551" t="s">
        <v>354</v>
      </c>
      <c r="S23" s="551" t="s">
        <v>354</v>
      </c>
      <c r="T23" s="551" t="s">
        <v>354</v>
      </c>
      <c r="U23" s="157">
        <v>0.0</v>
      </c>
      <c r="V23" s="157">
        <v>0.0</v>
      </c>
      <c r="W23" s="551" t="s">
        <v>354</v>
      </c>
      <c r="X23" s="551" t="s">
        <v>354</v>
      </c>
      <c r="Y23" s="359" t="s">
        <v>356</v>
      </c>
      <c r="Z23" s="359" t="s">
        <v>354</v>
      </c>
      <c r="AA23" s="368" t="s">
        <v>356</v>
      </c>
      <c r="AB23" s="368" t="s">
        <v>354</v>
      </c>
      <c r="AC23" s="139" t="s">
        <v>356</v>
      </c>
      <c r="AD23" s="139" t="s">
        <v>354</v>
      </c>
      <c r="AE23" s="46">
        <f t="shared" si="1"/>
        <v>0</v>
      </c>
      <c r="AF23" s="265"/>
      <c r="AG23" s="265"/>
      <c r="AH23" s="265"/>
      <c r="AI23" s="182"/>
      <c r="AJ23" s="80">
        <v>0.0</v>
      </c>
      <c r="AK23" s="80">
        <v>0.0</v>
      </c>
      <c r="AL23" s="80">
        <v>0.0</v>
      </c>
      <c r="AM23" s="80">
        <v>0.0</v>
      </c>
      <c r="AN23" s="80">
        <v>0.0</v>
      </c>
      <c r="AO23" s="224">
        <v>0.0</v>
      </c>
      <c r="AP23" s="80">
        <v>0.0</v>
      </c>
      <c r="AQ23" s="80">
        <v>0.0</v>
      </c>
      <c r="AR23" s="182">
        <f t="shared" si="2"/>
        <v>0</v>
      </c>
      <c r="AS23" s="182">
        <f t="shared" si="3"/>
        <v>0</v>
      </c>
    </row>
    <row r="24">
      <c r="A24" s="235">
        <v>23.0</v>
      </c>
      <c r="B24" s="235" t="s">
        <v>210</v>
      </c>
      <c r="C24" s="235" t="s">
        <v>210</v>
      </c>
      <c r="D24" s="754" t="s">
        <v>748</v>
      </c>
      <c r="E24" s="463">
        <v>40983.0</v>
      </c>
      <c r="F24" s="235">
        <v>3.0</v>
      </c>
      <c r="G24" s="235" t="s">
        <v>67</v>
      </c>
      <c r="H24" s="235" t="s">
        <v>7</v>
      </c>
      <c r="I24" s="235" t="s">
        <v>354</v>
      </c>
      <c r="J24" s="235" t="s">
        <v>1611</v>
      </c>
      <c r="K24" s="235">
        <v>0.0</v>
      </c>
      <c r="L24" s="235"/>
      <c r="M24" s="235" t="s">
        <v>354</v>
      </c>
      <c r="N24" s="235" t="s">
        <v>354</v>
      </c>
      <c r="O24" s="182"/>
      <c r="P24" s="157">
        <v>0.0</v>
      </c>
      <c r="Q24" s="157">
        <v>0.0</v>
      </c>
      <c r="R24" s="551" t="s">
        <v>354</v>
      </c>
      <c r="S24" s="551" t="s">
        <v>354</v>
      </c>
      <c r="T24" s="551" t="s">
        <v>354</v>
      </c>
      <c r="U24" s="157">
        <v>0.0</v>
      </c>
      <c r="V24" s="157">
        <v>0.0</v>
      </c>
      <c r="W24" s="551" t="s">
        <v>354</v>
      </c>
      <c r="X24" s="551" t="s">
        <v>354</v>
      </c>
      <c r="Y24" s="359" t="s">
        <v>356</v>
      </c>
      <c r="Z24" s="359" t="s">
        <v>354</v>
      </c>
      <c r="AA24" s="368" t="s">
        <v>356</v>
      </c>
      <c r="AB24" s="368" t="s">
        <v>354</v>
      </c>
      <c r="AC24" s="139" t="s">
        <v>356</v>
      </c>
      <c r="AD24" s="139" t="s">
        <v>354</v>
      </c>
      <c r="AE24" s="46">
        <f t="shared" si="1"/>
        <v>0</v>
      </c>
      <c r="AF24" s="265"/>
      <c r="AG24" s="265"/>
      <c r="AH24" s="265"/>
      <c r="AI24" s="182"/>
      <c r="AJ24" s="80">
        <v>0.0</v>
      </c>
      <c r="AK24" s="80">
        <v>0.0</v>
      </c>
      <c r="AL24" s="80">
        <v>0.0</v>
      </c>
      <c r="AM24" s="80">
        <v>0.0</v>
      </c>
      <c r="AN24" s="80">
        <v>0.0</v>
      </c>
      <c r="AO24" s="224">
        <v>0.0</v>
      </c>
      <c r="AP24" s="80">
        <v>0.0</v>
      </c>
      <c r="AQ24" s="80">
        <v>0.0</v>
      </c>
      <c r="AR24" s="182">
        <f t="shared" si="2"/>
        <v>0</v>
      </c>
      <c r="AS24" s="182">
        <f t="shared" si="3"/>
        <v>0</v>
      </c>
    </row>
    <row r="25">
      <c r="A25" s="235">
        <v>24.0</v>
      </c>
      <c r="B25" s="690" t="s">
        <v>958</v>
      </c>
      <c r="C25" s="690" t="s">
        <v>955</v>
      </c>
      <c r="D25" s="711" t="s">
        <v>956</v>
      </c>
      <c r="E25" s="463">
        <v>40983.0</v>
      </c>
      <c r="F25" s="773">
        <v>41010.0</v>
      </c>
      <c r="G25" s="235" t="s">
        <v>8</v>
      </c>
      <c r="H25" s="235" t="s">
        <v>7</v>
      </c>
      <c r="I25" s="235" t="s">
        <v>354</v>
      </c>
      <c r="J25" s="235" t="s">
        <v>354</v>
      </c>
      <c r="K25" s="184">
        <v>0.0</v>
      </c>
      <c r="L25" s="184" t="s">
        <v>354</v>
      </c>
      <c r="M25" s="265"/>
      <c r="N25" s="265"/>
      <c r="O25" s="184" t="s">
        <v>371</v>
      </c>
      <c r="P25" s="154">
        <v>33.4474249775915</v>
      </c>
      <c r="Q25" s="157">
        <v>0.0</v>
      </c>
      <c r="R25" s="551" t="s">
        <v>354</v>
      </c>
      <c r="S25" s="551" t="s">
        <v>354</v>
      </c>
      <c r="T25" s="551" t="s">
        <v>354</v>
      </c>
      <c r="U25" s="157">
        <v>0.0</v>
      </c>
      <c r="V25" s="157">
        <v>0.0</v>
      </c>
      <c r="W25" s="551" t="s">
        <v>354</v>
      </c>
      <c r="X25" s="551" t="s">
        <v>354</v>
      </c>
      <c r="Y25" s="355" t="s">
        <v>365</v>
      </c>
      <c r="Z25" s="315" t="s">
        <v>420</v>
      </c>
      <c r="AA25" s="356" t="s">
        <v>365</v>
      </c>
      <c r="AB25" s="315" t="s">
        <v>420</v>
      </c>
      <c r="AC25" s="144" t="s">
        <v>365</v>
      </c>
      <c r="AD25" s="315" t="s">
        <v>420</v>
      </c>
      <c r="AE25" s="357">
        <f t="shared" si="1"/>
        <v>4</v>
      </c>
      <c r="AF25" s="265"/>
      <c r="AG25" s="265"/>
      <c r="AH25" s="265"/>
      <c r="AI25" s="182"/>
      <c r="AJ25" s="80">
        <v>0.0</v>
      </c>
      <c r="AK25" s="224">
        <v>3.0</v>
      </c>
      <c r="AL25" s="80">
        <v>0.0</v>
      </c>
      <c r="AM25" s="80">
        <v>0.0</v>
      </c>
      <c r="AN25" s="80">
        <v>0.0</v>
      </c>
      <c r="AO25" s="224">
        <v>0.0</v>
      </c>
      <c r="AP25" s="80">
        <v>0.0</v>
      </c>
      <c r="AQ25" s="80">
        <v>0.0</v>
      </c>
      <c r="AR25" s="358">
        <f t="shared" si="2"/>
        <v>3</v>
      </c>
      <c r="AS25" s="358">
        <f t="shared" si="3"/>
        <v>1</v>
      </c>
    </row>
    <row r="26">
      <c r="A26" s="235">
        <v>25.0</v>
      </c>
      <c r="B26" s="717" t="s">
        <v>250</v>
      </c>
      <c r="C26" s="684" t="s">
        <v>250</v>
      </c>
      <c r="D26" s="692" t="s">
        <v>874</v>
      </c>
      <c r="E26" s="463">
        <v>40983.0</v>
      </c>
      <c r="F26" s="235">
        <v>3.0</v>
      </c>
      <c r="G26" s="235" t="s">
        <v>67</v>
      </c>
      <c r="H26" s="235" t="s">
        <v>7</v>
      </c>
      <c r="I26" s="235" t="s">
        <v>354</v>
      </c>
      <c r="J26" s="235" t="s">
        <v>1057</v>
      </c>
      <c r="K26" s="158">
        <v>1.0</v>
      </c>
      <c r="L26" s="158" t="s">
        <v>878</v>
      </c>
      <c r="M26" s="265"/>
      <c r="N26" s="265"/>
      <c r="O26" s="158" t="s">
        <v>455</v>
      </c>
      <c r="P26" s="157">
        <v>0.0</v>
      </c>
      <c r="Q26" s="157">
        <v>0.0</v>
      </c>
      <c r="R26" s="551" t="s">
        <v>354</v>
      </c>
      <c r="S26" s="551" t="s">
        <v>354</v>
      </c>
      <c r="T26" s="551" t="s">
        <v>354</v>
      </c>
      <c r="U26" s="157">
        <v>0.0</v>
      </c>
      <c r="V26" s="157">
        <v>0.0</v>
      </c>
      <c r="W26" s="551" t="s">
        <v>354</v>
      </c>
      <c r="X26" s="551" t="s">
        <v>354</v>
      </c>
      <c r="Y26" s="359" t="s">
        <v>356</v>
      </c>
      <c r="Z26" s="359" t="s">
        <v>354</v>
      </c>
      <c r="AA26" s="368" t="s">
        <v>356</v>
      </c>
      <c r="AB26" s="368" t="s">
        <v>354</v>
      </c>
      <c r="AC26" s="144" t="s">
        <v>365</v>
      </c>
      <c r="AD26" s="102" t="s">
        <v>357</v>
      </c>
      <c r="AE26" s="367">
        <f t="shared" si="1"/>
        <v>1</v>
      </c>
      <c r="AF26" s="265"/>
      <c r="AG26" s="265"/>
      <c r="AH26" s="265"/>
      <c r="AI26" s="182"/>
      <c r="AJ26" s="80">
        <v>0.0</v>
      </c>
      <c r="AK26" s="80">
        <v>0.0</v>
      </c>
      <c r="AL26" s="80">
        <v>0.0</v>
      </c>
      <c r="AM26" s="80">
        <v>0.0</v>
      </c>
      <c r="AN26" s="80">
        <v>0.0</v>
      </c>
      <c r="AO26" s="224">
        <v>1.0</v>
      </c>
      <c r="AP26" s="80">
        <v>0.0</v>
      </c>
      <c r="AQ26" s="80">
        <v>0.0</v>
      </c>
      <c r="AR26" s="363">
        <f t="shared" si="2"/>
        <v>1</v>
      </c>
      <c r="AS26" s="363">
        <f t="shared" si="3"/>
        <v>1</v>
      </c>
    </row>
    <row r="27">
      <c r="A27" s="235">
        <v>26.0</v>
      </c>
      <c r="B27" s="690" t="s">
        <v>168</v>
      </c>
      <c r="C27" s="690" t="s">
        <v>168</v>
      </c>
      <c r="D27" s="711" t="s">
        <v>656</v>
      </c>
      <c r="E27" s="463">
        <v>40983.0</v>
      </c>
      <c r="F27" s="235">
        <v>3.0</v>
      </c>
      <c r="G27" s="235" t="s">
        <v>8</v>
      </c>
      <c r="H27" s="235" t="s">
        <v>7</v>
      </c>
      <c r="I27" s="235" t="s">
        <v>354</v>
      </c>
      <c r="J27" s="235" t="s">
        <v>354</v>
      </c>
      <c r="K27" s="184">
        <v>0.0</v>
      </c>
      <c r="L27" s="184" t="s">
        <v>354</v>
      </c>
      <c r="M27" s="265"/>
      <c r="N27" s="265"/>
      <c r="O27" s="184" t="s">
        <v>371</v>
      </c>
      <c r="P27" s="157">
        <v>0.0</v>
      </c>
      <c r="Q27" s="157">
        <v>0.0</v>
      </c>
      <c r="R27" s="551" t="s">
        <v>354</v>
      </c>
      <c r="S27" s="551" t="s">
        <v>354</v>
      </c>
      <c r="T27" s="551" t="s">
        <v>354</v>
      </c>
      <c r="U27" s="157">
        <v>0.0</v>
      </c>
      <c r="V27" s="157">
        <v>0.0</v>
      </c>
      <c r="W27" s="551" t="s">
        <v>354</v>
      </c>
      <c r="X27" s="551" t="s">
        <v>354</v>
      </c>
      <c r="Y27" s="359" t="s">
        <v>356</v>
      </c>
      <c r="Z27" s="359" t="s">
        <v>354</v>
      </c>
      <c r="AA27" s="368" t="s">
        <v>356</v>
      </c>
      <c r="AB27" s="368" t="s">
        <v>354</v>
      </c>
      <c r="AC27" s="139" t="s">
        <v>356</v>
      </c>
      <c r="AD27" s="139" t="s">
        <v>354</v>
      </c>
      <c r="AE27" s="46">
        <f t="shared" si="1"/>
        <v>0</v>
      </c>
      <c r="AF27" s="265"/>
      <c r="AG27" s="265"/>
      <c r="AH27" s="265"/>
      <c r="AI27" s="182"/>
      <c r="AJ27" s="80">
        <v>0.0</v>
      </c>
      <c r="AK27" s="80">
        <v>0.0</v>
      </c>
      <c r="AL27" s="80">
        <v>0.0</v>
      </c>
      <c r="AM27" s="80">
        <v>0.0</v>
      </c>
      <c r="AN27" s="80">
        <v>0.0</v>
      </c>
      <c r="AO27" s="224">
        <v>0.0</v>
      </c>
      <c r="AP27" s="80">
        <v>0.0</v>
      </c>
      <c r="AQ27" s="80">
        <v>0.0</v>
      </c>
      <c r="AR27" s="182">
        <f t="shared" si="2"/>
        <v>0</v>
      </c>
      <c r="AS27" s="182">
        <f t="shared" si="3"/>
        <v>0</v>
      </c>
    </row>
    <row r="28">
      <c r="A28" s="235">
        <v>27.0</v>
      </c>
      <c r="B28" s="717" t="s">
        <v>225</v>
      </c>
      <c r="C28" s="710" t="s">
        <v>225</v>
      </c>
      <c r="D28" s="692" t="s">
        <v>789</v>
      </c>
      <c r="E28" s="463">
        <v>40983.0</v>
      </c>
      <c r="F28" s="235">
        <v>3.0</v>
      </c>
      <c r="G28" s="235" t="s">
        <v>67</v>
      </c>
      <c r="H28" s="235" t="s">
        <v>7</v>
      </c>
      <c r="I28" s="235" t="s">
        <v>354</v>
      </c>
      <c r="J28" s="235" t="s">
        <v>1057</v>
      </c>
      <c r="K28" s="158">
        <v>3.0</v>
      </c>
      <c r="L28" s="158" t="s">
        <v>794</v>
      </c>
      <c r="M28" s="265"/>
      <c r="N28" s="265"/>
      <c r="O28" s="158" t="s">
        <v>600</v>
      </c>
      <c r="P28" s="157">
        <v>0.0</v>
      </c>
      <c r="Q28" s="157">
        <v>0.0</v>
      </c>
      <c r="R28" s="551" t="s">
        <v>354</v>
      </c>
      <c r="S28" s="551" t="s">
        <v>354</v>
      </c>
      <c r="T28" s="551" t="s">
        <v>354</v>
      </c>
      <c r="U28" s="157">
        <v>0.0</v>
      </c>
      <c r="V28" s="157">
        <v>0.0</v>
      </c>
      <c r="W28" s="551" t="s">
        <v>354</v>
      </c>
      <c r="X28" s="551" t="s">
        <v>354</v>
      </c>
      <c r="Y28" s="359" t="s">
        <v>356</v>
      </c>
      <c r="Z28" s="359" t="s">
        <v>354</v>
      </c>
      <c r="AA28" s="356" t="s">
        <v>365</v>
      </c>
      <c r="AB28" s="391" t="s">
        <v>380</v>
      </c>
      <c r="AC28" s="144" t="s">
        <v>365</v>
      </c>
      <c r="AD28" s="143" t="s">
        <v>358</v>
      </c>
      <c r="AE28" s="357">
        <f t="shared" si="1"/>
        <v>2</v>
      </c>
      <c r="AF28" s="265"/>
      <c r="AG28" s="265"/>
      <c r="AH28" s="265"/>
      <c r="AI28" s="182"/>
      <c r="AJ28" s="224">
        <v>0.0</v>
      </c>
      <c r="AK28" s="80">
        <v>0.0</v>
      </c>
      <c r="AL28" s="224">
        <v>1.0</v>
      </c>
      <c r="AM28" s="80">
        <v>0.0</v>
      </c>
      <c r="AN28" s="80">
        <v>0.0</v>
      </c>
      <c r="AO28" s="224">
        <v>0.0</v>
      </c>
      <c r="AP28" s="224">
        <v>1.0</v>
      </c>
      <c r="AQ28" s="80">
        <v>0.0</v>
      </c>
      <c r="AR28" s="358">
        <f t="shared" si="2"/>
        <v>2</v>
      </c>
      <c r="AS28" s="358">
        <f t="shared" si="3"/>
        <v>2</v>
      </c>
    </row>
    <row r="29">
      <c r="A29" s="235">
        <v>28.0</v>
      </c>
      <c r="B29" s="717" t="s">
        <v>781</v>
      </c>
      <c r="C29" s="710" t="s">
        <v>1422</v>
      </c>
      <c r="D29" s="685" t="s">
        <v>775</v>
      </c>
      <c r="E29" s="463">
        <v>40983.0</v>
      </c>
      <c r="F29" s="235">
        <v>3.0</v>
      </c>
      <c r="G29" s="235" t="s">
        <v>67</v>
      </c>
      <c r="H29" s="235" t="s">
        <v>7</v>
      </c>
      <c r="I29" s="235" t="s">
        <v>354</v>
      </c>
      <c r="J29" s="235" t="s">
        <v>770</v>
      </c>
      <c r="K29" s="158">
        <v>1.0</v>
      </c>
      <c r="L29" s="158" t="s">
        <v>778</v>
      </c>
      <c r="M29" s="265"/>
      <c r="N29" s="265"/>
      <c r="O29" s="158" t="s">
        <v>455</v>
      </c>
      <c r="P29" s="157">
        <v>0.0</v>
      </c>
      <c r="Q29" s="157">
        <v>0.0</v>
      </c>
      <c r="R29" s="551" t="s">
        <v>354</v>
      </c>
      <c r="S29" s="551" t="s">
        <v>354</v>
      </c>
      <c r="T29" s="551" t="s">
        <v>354</v>
      </c>
      <c r="U29" s="157">
        <v>0.0</v>
      </c>
      <c r="V29" s="157">
        <v>0.0</v>
      </c>
      <c r="W29" s="551" t="s">
        <v>354</v>
      </c>
      <c r="X29" s="551" t="s">
        <v>354</v>
      </c>
      <c r="Y29" s="359" t="s">
        <v>356</v>
      </c>
      <c r="Z29" s="359" t="s">
        <v>354</v>
      </c>
      <c r="AA29" s="356" t="s">
        <v>365</v>
      </c>
      <c r="AB29" s="181" t="s">
        <v>389</v>
      </c>
      <c r="AC29" s="144" t="s">
        <v>365</v>
      </c>
      <c r="AD29" s="102" t="s">
        <v>357</v>
      </c>
      <c r="AE29" s="367">
        <f t="shared" si="1"/>
        <v>2</v>
      </c>
      <c r="AF29" s="265"/>
      <c r="AG29" s="265"/>
      <c r="AH29" s="265"/>
      <c r="AI29" s="182"/>
      <c r="AJ29" s="224">
        <v>1.0</v>
      </c>
      <c r="AK29" s="80">
        <v>0.0</v>
      </c>
      <c r="AL29" s="80">
        <v>0.0</v>
      </c>
      <c r="AM29" s="80">
        <v>0.0</v>
      </c>
      <c r="AN29" s="80">
        <v>0.0</v>
      </c>
      <c r="AO29" s="224">
        <v>1.0</v>
      </c>
      <c r="AP29" s="80">
        <v>0.0</v>
      </c>
      <c r="AQ29" s="80">
        <v>0.0</v>
      </c>
      <c r="AR29" s="363">
        <f t="shared" si="2"/>
        <v>2</v>
      </c>
      <c r="AS29" s="363">
        <f t="shared" si="3"/>
        <v>2</v>
      </c>
    </row>
    <row r="30">
      <c r="A30" s="235">
        <v>29.0</v>
      </c>
      <c r="B30" s="717" t="s">
        <v>935</v>
      </c>
      <c r="C30" s="78" t="s">
        <v>931</v>
      </c>
      <c r="D30" s="741" t="s">
        <v>932</v>
      </c>
      <c r="E30" s="463">
        <v>40983.0</v>
      </c>
      <c r="F30" s="235">
        <v>3.0</v>
      </c>
      <c r="G30" s="235" t="s">
        <v>67</v>
      </c>
      <c r="H30" s="235" t="s">
        <v>7</v>
      </c>
      <c r="I30" s="235" t="s">
        <v>354</v>
      </c>
      <c r="J30" s="235" t="s">
        <v>770</v>
      </c>
      <c r="K30" s="158">
        <v>2.0</v>
      </c>
      <c r="L30" s="158" t="s">
        <v>934</v>
      </c>
      <c r="M30" s="265"/>
      <c r="N30" s="265"/>
      <c r="O30" s="158" t="s">
        <v>398</v>
      </c>
      <c r="P30" s="154">
        <v>31.3340032465535</v>
      </c>
      <c r="Q30" s="157">
        <v>0.0</v>
      </c>
      <c r="R30" s="551" t="s">
        <v>354</v>
      </c>
      <c r="S30" s="551" t="s">
        <v>354</v>
      </c>
      <c r="T30" s="551" t="s">
        <v>354</v>
      </c>
      <c r="U30" s="157">
        <v>0.0</v>
      </c>
      <c r="V30" s="157">
        <v>0.0</v>
      </c>
      <c r="W30" s="551" t="s">
        <v>354</v>
      </c>
      <c r="X30" s="551" t="s">
        <v>354</v>
      </c>
      <c r="Y30" s="355" t="s">
        <v>365</v>
      </c>
      <c r="Z30" s="90" t="s">
        <v>413</v>
      </c>
      <c r="AA30" s="356" t="s">
        <v>365</v>
      </c>
      <c r="AB30" s="90" t="s">
        <v>413</v>
      </c>
      <c r="AC30" s="144" t="s">
        <v>365</v>
      </c>
      <c r="AD30" s="143" t="s">
        <v>358</v>
      </c>
      <c r="AE30" s="357">
        <f t="shared" si="1"/>
        <v>4</v>
      </c>
      <c r="AF30" s="265"/>
      <c r="AG30" s="265"/>
      <c r="AH30" s="265"/>
      <c r="AI30" s="182"/>
      <c r="AJ30" s="80">
        <v>0.0</v>
      </c>
      <c r="AK30" s="80">
        <v>0.0</v>
      </c>
      <c r="AL30" s="224">
        <v>1.0</v>
      </c>
      <c r="AM30" s="80">
        <v>0.0</v>
      </c>
      <c r="AN30" s="224">
        <v>2.0</v>
      </c>
      <c r="AO30" s="224">
        <v>0.0</v>
      </c>
      <c r="AP30" s="80">
        <v>0.0</v>
      </c>
      <c r="AQ30" s="80">
        <v>0.0</v>
      </c>
      <c r="AR30" s="358">
        <f t="shared" si="2"/>
        <v>3</v>
      </c>
      <c r="AS30" s="358">
        <f t="shared" si="3"/>
        <v>2</v>
      </c>
    </row>
    <row r="31">
      <c r="A31" s="235">
        <v>30.0</v>
      </c>
      <c r="B31" s="235" t="s">
        <v>1809</v>
      </c>
      <c r="C31" s="235" t="s">
        <v>354</v>
      </c>
      <c r="D31" s="235" t="s">
        <v>354</v>
      </c>
      <c r="E31" s="463">
        <v>40983.0</v>
      </c>
      <c r="F31" s="235"/>
      <c r="G31" s="235" t="s">
        <v>354</v>
      </c>
      <c r="H31" s="235" t="s">
        <v>354</v>
      </c>
      <c r="I31" s="235" t="s">
        <v>354</v>
      </c>
      <c r="J31" s="235" t="s">
        <v>354</v>
      </c>
      <c r="K31" s="235" t="s">
        <v>354</v>
      </c>
      <c r="L31" s="235"/>
      <c r="M31" s="235" t="s">
        <v>354</v>
      </c>
      <c r="N31" s="235" t="s">
        <v>354</v>
      </c>
      <c r="O31" s="182"/>
      <c r="P31" s="157">
        <v>0.0</v>
      </c>
      <c r="Q31" s="157">
        <v>0.0</v>
      </c>
      <c r="R31" s="551" t="s">
        <v>354</v>
      </c>
      <c r="S31" s="551" t="s">
        <v>354</v>
      </c>
      <c r="T31" s="551" t="s">
        <v>354</v>
      </c>
      <c r="U31" s="157">
        <v>0.0</v>
      </c>
      <c r="V31" s="157">
        <v>0.0</v>
      </c>
      <c r="W31" s="551" t="s">
        <v>354</v>
      </c>
      <c r="X31" s="551" t="s">
        <v>354</v>
      </c>
      <c r="Y31" s="359" t="s">
        <v>356</v>
      </c>
      <c r="Z31" s="359" t="s">
        <v>354</v>
      </c>
      <c r="AA31" s="368" t="s">
        <v>356</v>
      </c>
      <c r="AB31" s="368" t="s">
        <v>354</v>
      </c>
      <c r="AC31" s="139" t="s">
        <v>356</v>
      </c>
      <c r="AD31" s="139" t="s">
        <v>354</v>
      </c>
      <c r="AE31" s="46">
        <f t="shared" si="1"/>
        <v>0</v>
      </c>
      <c r="AF31" s="265"/>
      <c r="AG31" s="265"/>
      <c r="AH31" s="265"/>
      <c r="AI31" s="182"/>
      <c r="AJ31" s="80">
        <v>0.0</v>
      </c>
      <c r="AK31" s="80">
        <v>0.0</v>
      </c>
      <c r="AL31" s="80">
        <v>0.0</v>
      </c>
      <c r="AM31" s="80">
        <v>0.0</v>
      </c>
      <c r="AN31" s="80">
        <v>0.0</v>
      </c>
      <c r="AO31" s="224">
        <v>0.0</v>
      </c>
      <c r="AP31" s="80">
        <v>0.0</v>
      </c>
      <c r="AQ31" s="80">
        <v>0.0</v>
      </c>
      <c r="AR31" s="182">
        <f t="shared" si="2"/>
        <v>0</v>
      </c>
      <c r="AS31" s="182">
        <f t="shared" si="3"/>
        <v>0</v>
      </c>
    </row>
    <row r="32">
      <c r="A32" s="235">
        <v>31.0</v>
      </c>
      <c r="B32" s="690" t="s">
        <v>1027</v>
      </c>
      <c r="C32" s="690" t="s">
        <v>1027</v>
      </c>
      <c r="D32" s="711" t="s">
        <v>1024</v>
      </c>
      <c r="E32" s="463">
        <v>40983.0</v>
      </c>
      <c r="F32" s="773">
        <v>41010.0</v>
      </c>
      <c r="G32" s="235" t="s">
        <v>67</v>
      </c>
      <c r="H32" s="235" t="s">
        <v>37</v>
      </c>
      <c r="I32" s="235" t="s">
        <v>354</v>
      </c>
      <c r="J32" s="235" t="s">
        <v>770</v>
      </c>
      <c r="K32" s="184">
        <v>0.0</v>
      </c>
      <c r="L32" s="184" t="s">
        <v>354</v>
      </c>
      <c r="M32" s="265"/>
      <c r="N32" s="265"/>
      <c r="O32" s="184" t="s">
        <v>371</v>
      </c>
      <c r="P32" s="154">
        <v>32.0391382951758</v>
      </c>
      <c r="Q32" s="157">
        <v>0.0</v>
      </c>
      <c r="R32" s="551" t="s">
        <v>354</v>
      </c>
      <c r="S32" s="551" t="s">
        <v>354</v>
      </c>
      <c r="T32" s="551" t="s">
        <v>354</v>
      </c>
      <c r="U32" s="157">
        <v>0.0</v>
      </c>
      <c r="V32" s="157">
        <v>0.0</v>
      </c>
      <c r="W32" s="551" t="s">
        <v>354</v>
      </c>
      <c r="X32" s="551" t="s">
        <v>354</v>
      </c>
      <c r="Y32" s="355" t="s">
        <v>365</v>
      </c>
      <c r="Z32" s="90" t="s">
        <v>413</v>
      </c>
      <c r="AA32" s="356" t="s">
        <v>365</v>
      </c>
      <c r="AB32" s="90" t="s">
        <v>413</v>
      </c>
      <c r="AC32" s="144" t="s">
        <v>365</v>
      </c>
      <c r="AD32" s="90" t="s">
        <v>413</v>
      </c>
      <c r="AE32" s="357">
        <f t="shared" si="1"/>
        <v>4</v>
      </c>
      <c r="AF32" s="265"/>
      <c r="AG32" s="265"/>
      <c r="AH32" s="265"/>
      <c r="AI32" s="182"/>
      <c r="AJ32" s="80">
        <v>0.0</v>
      </c>
      <c r="AK32" s="80">
        <v>0.0</v>
      </c>
      <c r="AL32" s="80">
        <v>0.0</v>
      </c>
      <c r="AM32" s="80">
        <v>0.0</v>
      </c>
      <c r="AN32" s="224">
        <v>3.0</v>
      </c>
      <c r="AO32" s="224">
        <v>0.0</v>
      </c>
      <c r="AP32" s="80">
        <v>0.0</v>
      </c>
      <c r="AQ32" s="80">
        <v>0.0</v>
      </c>
      <c r="AR32" s="358">
        <f t="shared" si="2"/>
        <v>3</v>
      </c>
      <c r="AS32" s="358">
        <f t="shared" si="3"/>
        <v>1</v>
      </c>
    </row>
    <row r="33">
      <c r="A33" s="235">
        <v>32.0</v>
      </c>
      <c r="B33" s="717" t="s">
        <v>117</v>
      </c>
      <c r="C33" s="684" t="s">
        <v>117</v>
      </c>
      <c r="D33" s="685" t="s">
        <v>546</v>
      </c>
      <c r="E33" s="463">
        <v>40983.0</v>
      </c>
      <c r="F33" s="235">
        <v>3.0</v>
      </c>
      <c r="G33" s="235" t="s">
        <v>8</v>
      </c>
      <c r="H33" s="235" t="s">
        <v>7</v>
      </c>
      <c r="I33" s="235" t="s">
        <v>354</v>
      </c>
      <c r="J33" s="235" t="s">
        <v>354</v>
      </c>
      <c r="K33" s="158">
        <v>2.0</v>
      </c>
      <c r="L33" s="158" t="s">
        <v>549</v>
      </c>
      <c r="M33" s="265"/>
      <c r="N33" s="265"/>
      <c r="O33" s="158" t="s">
        <v>398</v>
      </c>
      <c r="P33" s="157">
        <v>0.0</v>
      </c>
      <c r="Q33" s="157">
        <v>0.0</v>
      </c>
      <c r="R33" s="551" t="s">
        <v>354</v>
      </c>
      <c r="S33" s="551" t="s">
        <v>354</v>
      </c>
      <c r="T33" s="551" t="s">
        <v>354</v>
      </c>
      <c r="U33" s="157">
        <v>0.0</v>
      </c>
      <c r="V33" s="157">
        <v>0.0</v>
      </c>
      <c r="W33" s="551" t="s">
        <v>354</v>
      </c>
      <c r="X33" s="551" t="s">
        <v>354</v>
      </c>
      <c r="Y33" s="359" t="s">
        <v>356</v>
      </c>
      <c r="Z33" s="359" t="s">
        <v>354</v>
      </c>
      <c r="AA33" s="368" t="s">
        <v>356</v>
      </c>
      <c r="AB33" s="368" t="s">
        <v>354</v>
      </c>
      <c r="AC33" s="139" t="s">
        <v>356</v>
      </c>
      <c r="AD33" s="139" t="s">
        <v>354</v>
      </c>
      <c r="AE33" s="46">
        <f t="shared" si="1"/>
        <v>0</v>
      </c>
      <c r="AF33" s="265"/>
      <c r="AG33" s="265"/>
      <c r="AH33" s="265"/>
      <c r="AI33" s="182"/>
      <c r="AJ33" s="80">
        <v>0.0</v>
      </c>
      <c r="AK33" s="80">
        <v>0.0</v>
      </c>
      <c r="AL33" s="80">
        <v>0.0</v>
      </c>
      <c r="AM33" s="80">
        <v>0.0</v>
      </c>
      <c r="AN33" s="80">
        <v>0.0</v>
      </c>
      <c r="AO33" s="224">
        <v>0.0</v>
      </c>
      <c r="AP33" s="80">
        <v>0.0</v>
      </c>
      <c r="AQ33" s="80">
        <v>0.0</v>
      </c>
      <c r="AR33" s="182">
        <f t="shared" si="2"/>
        <v>0</v>
      </c>
      <c r="AS33" s="182">
        <f t="shared" si="3"/>
        <v>0</v>
      </c>
    </row>
    <row r="34">
      <c r="A34" s="235">
        <v>33.0</v>
      </c>
      <c r="B34" s="717" t="s">
        <v>1036</v>
      </c>
      <c r="C34" s="717" t="s">
        <v>1036</v>
      </c>
      <c r="D34" s="685" t="s">
        <v>1033</v>
      </c>
      <c r="E34" s="463">
        <v>40983.0</v>
      </c>
      <c r="F34" s="773">
        <v>41010.0</v>
      </c>
      <c r="G34" s="235" t="s">
        <v>8</v>
      </c>
      <c r="H34" s="235" t="s">
        <v>433</v>
      </c>
      <c r="I34" s="235" t="s">
        <v>354</v>
      </c>
      <c r="J34" s="235" t="s">
        <v>354</v>
      </c>
      <c r="K34" s="158">
        <v>1.0</v>
      </c>
      <c r="L34" s="158" t="s">
        <v>1035</v>
      </c>
      <c r="M34" s="265"/>
      <c r="N34" s="265"/>
      <c r="O34" s="158" t="s">
        <v>455</v>
      </c>
      <c r="P34" s="157">
        <v>0.0</v>
      </c>
      <c r="Q34" s="157">
        <v>0.0</v>
      </c>
      <c r="R34" s="551" t="s">
        <v>354</v>
      </c>
      <c r="S34" s="551" t="s">
        <v>354</v>
      </c>
      <c r="T34" s="551" t="s">
        <v>354</v>
      </c>
      <c r="U34" s="157">
        <v>0.0</v>
      </c>
      <c r="V34" s="157">
        <v>0.0</v>
      </c>
      <c r="W34" s="551" t="s">
        <v>354</v>
      </c>
      <c r="X34" s="551" t="s">
        <v>354</v>
      </c>
      <c r="Y34" s="359" t="s">
        <v>356</v>
      </c>
      <c r="Z34" s="359" t="s">
        <v>354</v>
      </c>
      <c r="AA34" s="392" t="s">
        <v>361</v>
      </c>
      <c r="AB34" s="392" t="s">
        <v>361</v>
      </c>
      <c r="AC34" s="139" t="s">
        <v>356</v>
      </c>
      <c r="AD34" s="139" t="s">
        <v>354</v>
      </c>
      <c r="AE34" s="46">
        <f t="shared" si="1"/>
        <v>0</v>
      </c>
      <c r="AF34" s="265"/>
      <c r="AG34" s="265"/>
      <c r="AH34" s="265"/>
      <c r="AI34" s="182"/>
      <c r="AJ34" s="80">
        <v>0.0</v>
      </c>
      <c r="AK34" s="80">
        <v>0.0</v>
      </c>
      <c r="AL34" s="80">
        <v>0.0</v>
      </c>
      <c r="AM34" s="80">
        <v>0.0</v>
      </c>
      <c r="AN34" s="80">
        <v>0.0</v>
      </c>
      <c r="AO34" s="224">
        <v>0.0</v>
      </c>
      <c r="AP34" s="80">
        <v>0.0</v>
      </c>
      <c r="AQ34" s="80">
        <v>0.0</v>
      </c>
      <c r="AR34" s="182">
        <f t="shared" si="2"/>
        <v>0</v>
      </c>
      <c r="AS34" s="182">
        <f t="shared" si="3"/>
        <v>0</v>
      </c>
    </row>
    <row r="35">
      <c r="A35" s="235">
        <v>34.0</v>
      </c>
      <c r="B35" s="690" t="s">
        <v>141</v>
      </c>
      <c r="C35" s="714" t="s">
        <v>141</v>
      </c>
      <c r="D35" s="711" t="s">
        <v>609</v>
      </c>
      <c r="E35" s="463">
        <v>40983.0</v>
      </c>
      <c r="F35" s="235">
        <v>3.0</v>
      </c>
      <c r="G35" s="235" t="s">
        <v>8</v>
      </c>
      <c r="H35" s="235" t="s">
        <v>7</v>
      </c>
      <c r="I35" s="235" t="s">
        <v>354</v>
      </c>
      <c r="J35" s="235" t="s">
        <v>354</v>
      </c>
      <c r="K35" s="184">
        <v>0.0</v>
      </c>
      <c r="L35" s="184" t="s">
        <v>354</v>
      </c>
      <c r="M35" s="265"/>
      <c r="N35" s="265"/>
      <c r="O35" s="184" t="s">
        <v>371</v>
      </c>
      <c r="P35" s="157">
        <v>0.0</v>
      </c>
      <c r="Q35" s="157">
        <v>0.0</v>
      </c>
      <c r="R35" s="551" t="s">
        <v>354</v>
      </c>
      <c r="S35" s="551" t="s">
        <v>354</v>
      </c>
      <c r="T35" s="551" t="s">
        <v>354</v>
      </c>
      <c r="U35" s="157">
        <v>0.0</v>
      </c>
      <c r="V35" s="157">
        <v>0.0</v>
      </c>
      <c r="W35" s="551" t="s">
        <v>354</v>
      </c>
      <c r="X35" s="551" t="s">
        <v>354</v>
      </c>
      <c r="Y35" s="359" t="s">
        <v>356</v>
      </c>
      <c r="Z35" s="359" t="s">
        <v>354</v>
      </c>
      <c r="AA35" s="368" t="s">
        <v>356</v>
      </c>
      <c r="AB35" s="368" t="s">
        <v>354</v>
      </c>
      <c r="AC35" s="43" t="s">
        <v>361</v>
      </c>
      <c r="AD35" s="387" t="s">
        <v>1021</v>
      </c>
      <c r="AE35" s="46">
        <f t="shared" si="1"/>
        <v>0</v>
      </c>
      <c r="AF35" s="265"/>
      <c r="AG35" s="265"/>
      <c r="AH35" s="265"/>
      <c r="AI35" s="182"/>
      <c r="AJ35" s="80">
        <v>0.0</v>
      </c>
      <c r="AK35" s="80">
        <v>0.0</v>
      </c>
      <c r="AL35" s="80">
        <v>0.0</v>
      </c>
      <c r="AM35" s="80">
        <v>0.0</v>
      </c>
      <c r="AN35" s="80">
        <v>0.0</v>
      </c>
      <c r="AO35" s="224">
        <v>0.0</v>
      </c>
      <c r="AP35" s="80">
        <v>0.0</v>
      </c>
      <c r="AQ35" s="80">
        <v>0.0</v>
      </c>
      <c r="AR35" s="182">
        <f t="shared" si="2"/>
        <v>0</v>
      </c>
      <c r="AS35" s="182">
        <f t="shared" si="3"/>
        <v>0</v>
      </c>
    </row>
    <row r="36">
      <c r="A36" s="235">
        <v>35.0</v>
      </c>
      <c r="B36" s="690" t="s">
        <v>19</v>
      </c>
      <c r="C36" s="714" t="s">
        <v>19</v>
      </c>
      <c r="D36" s="687" t="s">
        <v>383</v>
      </c>
      <c r="E36" s="463">
        <v>40983.0</v>
      </c>
      <c r="F36" s="235">
        <v>1.0</v>
      </c>
      <c r="G36" s="235" t="s">
        <v>8</v>
      </c>
      <c r="H36" s="235" t="s">
        <v>7</v>
      </c>
      <c r="I36" s="235" t="s">
        <v>354</v>
      </c>
      <c r="J36" s="235" t="s">
        <v>354</v>
      </c>
      <c r="K36" s="184">
        <v>0.0</v>
      </c>
      <c r="L36" s="184" t="s">
        <v>354</v>
      </c>
      <c r="M36" s="265"/>
      <c r="N36" s="265"/>
      <c r="O36" s="184" t="s">
        <v>371</v>
      </c>
      <c r="P36" s="157">
        <v>0.0</v>
      </c>
      <c r="Q36" s="157">
        <v>0.0</v>
      </c>
      <c r="R36" s="551" t="s">
        <v>354</v>
      </c>
      <c r="S36" s="551" t="s">
        <v>354</v>
      </c>
      <c r="T36" s="551" t="s">
        <v>354</v>
      </c>
      <c r="U36" s="157">
        <v>0.0</v>
      </c>
      <c r="V36" s="157">
        <v>0.0</v>
      </c>
      <c r="W36" s="551" t="s">
        <v>354</v>
      </c>
      <c r="X36" s="551" t="s">
        <v>354</v>
      </c>
      <c r="Y36" s="359" t="s">
        <v>356</v>
      </c>
      <c r="Z36" s="359" t="s">
        <v>354</v>
      </c>
      <c r="AA36" s="368" t="s">
        <v>356</v>
      </c>
      <c r="AB36" s="368" t="s">
        <v>354</v>
      </c>
      <c r="AC36" s="139" t="s">
        <v>356</v>
      </c>
      <c r="AD36" s="139" t="s">
        <v>354</v>
      </c>
      <c r="AE36" s="46">
        <f t="shared" si="1"/>
        <v>0</v>
      </c>
      <c r="AF36" s="265"/>
      <c r="AG36" s="265"/>
      <c r="AH36" s="265"/>
      <c r="AI36" s="182"/>
      <c r="AJ36" s="80">
        <v>0.0</v>
      </c>
      <c r="AK36" s="80">
        <v>0.0</v>
      </c>
      <c r="AL36" s="80">
        <v>0.0</v>
      </c>
      <c r="AM36" s="80">
        <v>0.0</v>
      </c>
      <c r="AN36" s="80">
        <v>0.0</v>
      </c>
      <c r="AO36" s="224">
        <v>0.0</v>
      </c>
      <c r="AP36" s="80">
        <v>0.0</v>
      </c>
      <c r="AQ36" s="80">
        <v>0.0</v>
      </c>
      <c r="AR36" s="182">
        <f t="shared" si="2"/>
        <v>0</v>
      </c>
      <c r="AS36" s="182">
        <f t="shared" si="3"/>
        <v>0</v>
      </c>
    </row>
    <row r="37">
      <c r="A37" s="235">
        <v>36.0</v>
      </c>
      <c r="B37" s="690" t="s">
        <v>898</v>
      </c>
      <c r="C37" s="690" t="s">
        <v>898</v>
      </c>
      <c r="D37" s="711" t="s">
        <v>896</v>
      </c>
      <c r="E37" s="463">
        <v>40983.0</v>
      </c>
      <c r="F37" s="773">
        <v>41010.0</v>
      </c>
      <c r="G37" s="235" t="s">
        <v>67</v>
      </c>
      <c r="H37" s="235" t="s">
        <v>433</v>
      </c>
      <c r="I37" s="235" t="s">
        <v>354</v>
      </c>
      <c r="J37" s="235" t="s">
        <v>770</v>
      </c>
      <c r="K37" s="184">
        <v>0.0</v>
      </c>
      <c r="L37" s="184" t="s">
        <v>354</v>
      </c>
      <c r="M37" s="265"/>
      <c r="N37" s="265"/>
      <c r="O37" s="184" t="s">
        <v>371</v>
      </c>
      <c r="P37" s="154">
        <v>30.6608343659729</v>
      </c>
      <c r="Q37" s="157">
        <v>0.0</v>
      </c>
      <c r="R37" s="551" t="s">
        <v>354</v>
      </c>
      <c r="S37" s="551" t="s">
        <v>354</v>
      </c>
      <c r="T37" s="551" t="s">
        <v>354</v>
      </c>
      <c r="U37" s="157">
        <v>0.0</v>
      </c>
      <c r="V37" s="157">
        <v>0.0</v>
      </c>
      <c r="W37" s="551" t="s">
        <v>354</v>
      </c>
      <c r="X37" s="551" t="s">
        <v>354</v>
      </c>
      <c r="Y37" s="355" t="s">
        <v>365</v>
      </c>
      <c r="Z37" s="90" t="s">
        <v>413</v>
      </c>
      <c r="AA37" s="356" t="s">
        <v>365</v>
      </c>
      <c r="AB37" s="90" t="s">
        <v>413</v>
      </c>
      <c r="AC37" s="144" t="s">
        <v>365</v>
      </c>
      <c r="AD37" s="90" t="s">
        <v>413</v>
      </c>
      <c r="AE37" s="357">
        <f t="shared" si="1"/>
        <v>4</v>
      </c>
      <c r="AF37" s="265"/>
      <c r="AG37" s="265"/>
      <c r="AH37" s="265"/>
      <c r="AI37" s="182"/>
      <c r="AJ37" s="80">
        <v>0.0</v>
      </c>
      <c r="AK37" s="80">
        <v>0.0</v>
      </c>
      <c r="AL37" s="80">
        <v>0.0</v>
      </c>
      <c r="AM37" s="80">
        <v>0.0</v>
      </c>
      <c r="AN37" s="224">
        <v>3.0</v>
      </c>
      <c r="AO37" s="224">
        <v>0.0</v>
      </c>
      <c r="AP37" s="80">
        <v>0.0</v>
      </c>
      <c r="AQ37" s="80">
        <v>0.0</v>
      </c>
      <c r="AR37" s="358">
        <f t="shared" si="2"/>
        <v>3</v>
      </c>
      <c r="AS37" s="358">
        <f t="shared" si="3"/>
        <v>1</v>
      </c>
    </row>
    <row r="38">
      <c r="A38" s="235">
        <v>37.0</v>
      </c>
      <c r="B38" s="235" t="s">
        <v>719</v>
      </c>
      <c r="C38" s="63" t="s">
        <v>712</v>
      </c>
      <c r="D38" s="754" t="s">
        <v>1171</v>
      </c>
      <c r="E38" s="463">
        <v>40983.0</v>
      </c>
      <c r="F38" s="235">
        <v>3.0</v>
      </c>
      <c r="G38" s="235" t="s">
        <v>67</v>
      </c>
      <c r="H38" s="235" t="s">
        <v>7</v>
      </c>
      <c r="I38" s="235" t="s">
        <v>354</v>
      </c>
      <c r="J38" s="235" t="s">
        <v>1611</v>
      </c>
      <c r="K38" s="235" t="s">
        <v>354</v>
      </c>
      <c r="L38" s="235"/>
      <c r="M38" s="235" t="s">
        <v>354</v>
      </c>
      <c r="N38" s="235" t="s">
        <v>354</v>
      </c>
      <c r="O38" s="182"/>
      <c r="P38" s="157">
        <v>0.0</v>
      </c>
      <c r="Q38" s="157">
        <v>0.0</v>
      </c>
      <c r="R38" s="551" t="s">
        <v>354</v>
      </c>
      <c r="S38" s="551" t="s">
        <v>354</v>
      </c>
      <c r="T38" s="551" t="s">
        <v>354</v>
      </c>
      <c r="U38" s="157">
        <v>0.0</v>
      </c>
      <c r="V38" s="157">
        <v>0.0</v>
      </c>
      <c r="W38" s="551" t="s">
        <v>354</v>
      </c>
      <c r="X38" s="551" t="s">
        <v>354</v>
      </c>
      <c r="Y38" s="359" t="s">
        <v>356</v>
      </c>
      <c r="Z38" s="359" t="s">
        <v>354</v>
      </c>
      <c r="AA38" s="368" t="s">
        <v>356</v>
      </c>
      <c r="AB38" s="368" t="s">
        <v>354</v>
      </c>
      <c r="AC38" s="139" t="s">
        <v>356</v>
      </c>
      <c r="AD38" s="139" t="s">
        <v>354</v>
      </c>
      <c r="AE38" s="46">
        <f t="shared" si="1"/>
        <v>0</v>
      </c>
      <c r="AF38" s="265"/>
      <c r="AG38" s="265"/>
      <c r="AH38" s="265"/>
      <c r="AI38" s="182"/>
      <c r="AJ38" s="80">
        <v>0.0</v>
      </c>
      <c r="AK38" s="80">
        <v>0.0</v>
      </c>
      <c r="AL38" s="80">
        <v>0.0</v>
      </c>
      <c r="AM38" s="80">
        <v>0.0</v>
      </c>
      <c r="AN38" s="80">
        <v>0.0</v>
      </c>
      <c r="AO38" s="224">
        <v>0.0</v>
      </c>
      <c r="AP38" s="80">
        <v>0.0</v>
      </c>
      <c r="AQ38" s="80">
        <v>0.0</v>
      </c>
      <c r="AR38" s="182">
        <f t="shared" si="2"/>
        <v>0</v>
      </c>
      <c r="AS38" s="182">
        <f t="shared" si="3"/>
        <v>0</v>
      </c>
    </row>
    <row r="39">
      <c r="A39" s="235">
        <v>38.0</v>
      </c>
      <c r="B39" s="717" t="s">
        <v>698</v>
      </c>
      <c r="C39" s="710" t="s">
        <v>694</v>
      </c>
      <c r="D39" s="741" t="s">
        <v>695</v>
      </c>
      <c r="E39" s="463">
        <v>40983.0</v>
      </c>
      <c r="F39" s="235">
        <v>3.0</v>
      </c>
      <c r="G39" s="235" t="s">
        <v>8</v>
      </c>
      <c r="H39" s="235" t="s">
        <v>7</v>
      </c>
      <c r="I39" s="235" t="s">
        <v>354</v>
      </c>
      <c r="J39" s="235" t="s">
        <v>354</v>
      </c>
      <c r="K39" s="158">
        <v>2.0</v>
      </c>
      <c r="L39" s="158" t="s">
        <v>697</v>
      </c>
      <c r="M39" s="265"/>
      <c r="N39" s="265"/>
      <c r="O39" s="158" t="s">
        <v>398</v>
      </c>
      <c r="P39" s="157">
        <v>0.0</v>
      </c>
      <c r="Q39" s="157">
        <v>0.0</v>
      </c>
      <c r="R39" s="551" t="s">
        <v>354</v>
      </c>
      <c r="S39" s="551" t="s">
        <v>354</v>
      </c>
      <c r="T39" s="551" t="s">
        <v>354</v>
      </c>
      <c r="U39" s="157">
        <v>0.0</v>
      </c>
      <c r="V39" s="157">
        <v>0.0</v>
      </c>
      <c r="W39" s="551" t="s">
        <v>354</v>
      </c>
      <c r="X39" s="551" t="s">
        <v>354</v>
      </c>
      <c r="Y39" s="359" t="s">
        <v>356</v>
      </c>
      <c r="Z39" s="359" t="s">
        <v>354</v>
      </c>
      <c r="AA39" s="368" t="s">
        <v>356</v>
      </c>
      <c r="AB39" s="368" t="s">
        <v>354</v>
      </c>
      <c r="AC39" s="139" t="s">
        <v>356</v>
      </c>
      <c r="AD39" s="139" t="s">
        <v>354</v>
      </c>
      <c r="AE39" s="46">
        <f t="shared" si="1"/>
        <v>0</v>
      </c>
      <c r="AF39" s="265"/>
      <c r="AG39" s="265"/>
      <c r="AH39" s="265"/>
      <c r="AI39" s="182"/>
      <c r="AJ39" s="80">
        <v>0.0</v>
      </c>
      <c r="AK39" s="80">
        <v>0.0</v>
      </c>
      <c r="AL39" s="80">
        <v>0.0</v>
      </c>
      <c r="AM39" s="80">
        <v>0.0</v>
      </c>
      <c r="AN39" s="80">
        <v>0.0</v>
      </c>
      <c r="AO39" s="224">
        <v>0.0</v>
      </c>
      <c r="AP39" s="80">
        <v>0.0</v>
      </c>
      <c r="AQ39" s="80">
        <v>0.0</v>
      </c>
      <c r="AR39" s="182">
        <f t="shared" si="2"/>
        <v>0</v>
      </c>
      <c r="AS39" s="182">
        <f t="shared" si="3"/>
        <v>0</v>
      </c>
    </row>
    <row r="40">
      <c r="A40" s="235">
        <v>39.0</v>
      </c>
      <c r="B40" s="690" t="s">
        <v>961</v>
      </c>
      <c r="C40" s="715" t="s">
        <v>959</v>
      </c>
      <c r="D40" s="687" t="s">
        <v>960</v>
      </c>
      <c r="E40" s="463">
        <v>40983.0</v>
      </c>
      <c r="F40" s="772">
        <v>42471.0</v>
      </c>
      <c r="G40" s="235" t="s">
        <v>67</v>
      </c>
      <c r="H40" s="235" t="s">
        <v>433</v>
      </c>
      <c r="I40" s="235" t="s">
        <v>354</v>
      </c>
      <c r="J40" s="235" t="s">
        <v>770</v>
      </c>
      <c r="K40" s="184">
        <v>0.0</v>
      </c>
      <c r="L40" s="184" t="s">
        <v>354</v>
      </c>
      <c r="M40" s="265"/>
      <c r="N40" s="265"/>
      <c r="O40" s="184" t="s">
        <v>371</v>
      </c>
      <c r="P40" s="154">
        <v>31.3805180334373</v>
      </c>
      <c r="Q40" s="157">
        <v>0.0</v>
      </c>
      <c r="R40" s="551" t="s">
        <v>354</v>
      </c>
      <c r="S40" s="551" t="s">
        <v>354</v>
      </c>
      <c r="T40" s="551" t="s">
        <v>354</v>
      </c>
      <c r="U40" s="157">
        <v>0.0</v>
      </c>
      <c r="V40" s="157">
        <v>0.0</v>
      </c>
      <c r="W40" s="551" t="s">
        <v>354</v>
      </c>
      <c r="X40" s="551" t="s">
        <v>354</v>
      </c>
      <c r="Y40" s="355" t="s">
        <v>365</v>
      </c>
      <c r="Z40" s="315" t="s">
        <v>420</v>
      </c>
      <c r="AA40" s="356" t="s">
        <v>365</v>
      </c>
      <c r="AB40" s="181" t="s">
        <v>389</v>
      </c>
      <c r="AC40" s="144" t="s">
        <v>365</v>
      </c>
      <c r="AD40" s="143" t="s">
        <v>358</v>
      </c>
      <c r="AE40" s="357">
        <f t="shared" si="1"/>
        <v>4</v>
      </c>
      <c r="AF40" s="265"/>
      <c r="AG40" s="265"/>
      <c r="AH40" s="265"/>
      <c r="AI40" s="182"/>
      <c r="AJ40" s="224">
        <v>1.0</v>
      </c>
      <c r="AK40" s="224">
        <v>1.0</v>
      </c>
      <c r="AL40" s="224">
        <v>1.0</v>
      </c>
      <c r="AM40" s="80">
        <v>0.0</v>
      </c>
      <c r="AN40" s="80">
        <v>0.0</v>
      </c>
      <c r="AO40" s="224">
        <v>0.0</v>
      </c>
      <c r="AP40" s="80">
        <v>0.0</v>
      </c>
      <c r="AQ40" s="80">
        <v>0.0</v>
      </c>
      <c r="AR40" s="358">
        <f t="shared" si="2"/>
        <v>3</v>
      </c>
      <c r="AS40" s="358">
        <f t="shared" si="3"/>
        <v>3</v>
      </c>
    </row>
    <row r="41">
      <c r="A41" s="235">
        <v>40.0</v>
      </c>
      <c r="B41" s="717" t="s">
        <v>238</v>
      </c>
      <c r="C41" s="684" t="s">
        <v>238</v>
      </c>
      <c r="D41" s="685" t="s">
        <v>844</v>
      </c>
      <c r="E41" s="463">
        <v>40983.0</v>
      </c>
      <c r="F41" s="235">
        <v>3.0</v>
      </c>
      <c r="G41" s="235" t="s">
        <v>67</v>
      </c>
      <c r="H41" s="235" t="s">
        <v>7</v>
      </c>
      <c r="I41" s="235" t="s">
        <v>354</v>
      </c>
      <c r="J41" s="235" t="s">
        <v>1611</v>
      </c>
      <c r="K41" s="158">
        <v>3.0</v>
      </c>
      <c r="L41" s="158" t="s">
        <v>850</v>
      </c>
      <c r="M41" s="265"/>
      <c r="N41" s="265"/>
      <c r="O41" s="158" t="s">
        <v>600</v>
      </c>
      <c r="P41" s="157">
        <v>0.0</v>
      </c>
      <c r="Q41" s="157">
        <v>0.0</v>
      </c>
      <c r="R41" s="551" t="s">
        <v>354</v>
      </c>
      <c r="S41" s="551" t="s">
        <v>354</v>
      </c>
      <c r="T41" s="551" t="s">
        <v>354</v>
      </c>
      <c r="U41" s="157">
        <v>0.0</v>
      </c>
      <c r="V41" s="157">
        <v>0.0</v>
      </c>
      <c r="W41" s="551" t="s">
        <v>354</v>
      </c>
      <c r="X41" s="551" t="s">
        <v>354</v>
      </c>
      <c r="Y41" s="359" t="s">
        <v>356</v>
      </c>
      <c r="Z41" s="359" t="s">
        <v>354</v>
      </c>
      <c r="AA41" s="368" t="s">
        <v>356</v>
      </c>
      <c r="AB41" s="368" t="s">
        <v>354</v>
      </c>
      <c r="AC41" s="139" t="s">
        <v>356</v>
      </c>
      <c r="AD41" s="139" t="s">
        <v>354</v>
      </c>
      <c r="AE41" s="46">
        <f t="shared" si="1"/>
        <v>0</v>
      </c>
      <c r="AF41" s="265"/>
      <c r="AG41" s="265"/>
      <c r="AH41" s="265"/>
      <c r="AI41" s="182"/>
      <c r="AJ41" s="80">
        <v>0.0</v>
      </c>
      <c r="AK41" s="80">
        <v>0.0</v>
      </c>
      <c r="AL41" s="80">
        <v>0.0</v>
      </c>
      <c r="AM41" s="80">
        <v>0.0</v>
      </c>
      <c r="AN41" s="80">
        <v>0.0</v>
      </c>
      <c r="AO41" s="224">
        <v>0.0</v>
      </c>
      <c r="AP41" s="80">
        <v>0.0</v>
      </c>
      <c r="AQ41" s="80">
        <v>0.0</v>
      </c>
      <c r="AR41" s="182">
        <f t="shared" si="2"/>
        <v>0</v>
      </c>
      <c r="AS41" s="182">
        <f t="shared" si="3"/>
        <v>0</v>
      </c>
    </row>
    <row r="42">
      <c r="A42" s="235">
        <v>41.0</v>
      </c>
      <c r="B42" s="717" t="s">
        <v>109</v>
      </c>
      <c r="C42" s="684" t="s">
        <v>109</v>
      </c>
      <c r="D42" s="685" t="s">
        <v>536</v>
      </c>
      <c r="E42" s="463">
        <v>40983.0</v>
      </c>
      <c r="F42" s="235">
        <v>3.0</v>
      </c>
      <c r="G42" s="235" t="s">
        <v>8</v>
      </c>
      <c r="H42" s="235" t="s">
        <v>7</v>
      </c>
      <c r="I42" s="235" t="s">
        <v>354</v>
      </c>
      <c r="J42" s="235" t="s">
        <v>354</v>
      </c>
      <c r="K42" s="158">
        <v>1.0</v>
      </c>
      <c r="L42" s="158" t="s">
        <v>538</v>
      </c>
      <c r="M42" s="265"/>
      <c r="N42" s="265"/>
      <c r="O42" s="158" t="s">
        <v>455</v>
      </c>
      <c r="P42" s="154">
        <v>31.5222333383243</v>
      </c>
      <c r="Q42" s="157">
        <v>0.0</v>
      </c>
      <c r="R42" s="551" t="s">
        <v>354</v>
      </c>
      <c r="S42" s="551" t="s">
        <v>354</v>
      </c>
      <c r="T42" s="551" t="s">
        <v>354</v>
      </c>
      <c r="U42" s="157">
        <v>0.0</v>
      </c>
      <c r="V42" s="157">
        <v>0.0</v>
      </c>
      <c r="W42" s="551" t="s">
        <v>354</v>
      </c>
      <c r="X42" s="551" t="s">
        <v>354</v>
      </c>
      <c r="Y42" s="355" t="s">
        <v>365</v>
      </c>
      <c r="Z42" s="102" t="s">
        <v>357</v>
      </c>
      <c r="AA42" s="356" t="s">
        <v>365</v>
      </c>
      <c r="AB42" s="40" t="s">
        <v>357</v>
      </c>
      <c r="AC42" s="144" t="s">
        <v>365</v>
      </c>
      <c r="AD42" s="102" t="s">
        <v>357</v>
      </c>
      <c r="AE42" s="357">
        <f t="shared" si="1"/>
        <v>4</v>
      </c>
      <c r="AF42" s="265"/>
      <c r="AG42" s="265"/>
      <c r="AH42" s="265"/>
      <c r="AI42" s="182"/>
      <c r="AJ42" s="80">
        <v>0.0</v>
      </c>
      <c r="AK42" s="80">
        <v>0.0</v>
      </c>
      <c r="AL42" s="80">
        <v>0.0</v>
      </c>
      <c r="AM42" s="80">
        <v>0.0</v>
      </c>
      <c r="AN42" s="80">
        <v>0.0</v>
      </c>
      <c r="AO42" s="224">
        <v>3.0</v>
      </c>
      <c r="AP42" s="80">
        <v>0.0</v>
      </c>
      <c r="AQ42" s="80">
        <v>0.0</v>
      </c>
      <c r="AR42" s="358">
        <f t="shared" si="2"/>
        <v>3</v>
      </c>
      <c r="AS42" s="358">
        <f t="shared" si="3"/>
        <v>1</v>
      </c>
    </row>
    <row r="43">
      <c r="A43" s="235">
        <v>42.0</v>
      </c>
      <c r="B43" s="235">
        <v>4146.0</v>
      </c>
      <c r="C43" s="235" t="s">
        <v>1924</v>
      </c>
      <c r="D43" s="234" t="s">
        <v>1924</v>
      </c>
      <c r="E43" s="463">
        <v>40983.0</v>
      </c>
      <c r="F43" s="773">
        <v>41010.0</v>
      </c>
      <c r="G43" s="235" t="s">
        <v>67</v>
      </c>
      <c r="H43" s="235" t="s">
        <v>433</v>
      </c>
      <c r="I43" s="235" t="s">
        <v>354</v>
      </c>
      <c r="J43" s="235" t="s">
        <v>770</v>
      </c>
      <c r="K43" s="235">
        <v>0.0</v>
      </c>
      <c r="L43" s="235"/>
      <c r="M43" s="235" t="s">
        <v>354</v>
      </c>
      <c r="N43" s="235" t="s">
        <v>354</v>
      </c>
      <c r="O43" s="182"/>
      <c r="P43" s="154">
        <v>31.8132476670146</v>
      </c>
      <c r="Q43" s="157">
        <v>0.0</v>
      </c>
      <c r="R43" s="551" t="s">
        <v>354</v>
      </c>
      <c r="S43" s="551" t="s">
        <v>354</v>
      </c>
      <c r="T43" s="551" t="s">
        <v>354</v>
      </c>
      <c r="U43" s="157">
        <v>0.0</v>
      </c>
      <c r="V43" s="157">
        <v>0.0</v>
      </c>
      <c r="W43" s="551" t="s">
        <v>354</v>
      </c>
      <c r="X43" s="551" t="s">
        <v>354</v>
      </c>
      <c r="Y43" s="355" t="s">
        <v>365</v>
      </c>
      <c r="Z43" s="143" t="s">
        <v>358</v>
      </c>
      <c r="AA43" s="356" t="s">
        <v>365</v>
      </c>
      <c r="AB43" s="143" t="s">
        <v>358</v>
      </c>
      <c r="AC43" s="144" t="s">
        <v>365</v>
      </c>
      <c r="AD43" s="731" t="s">
        <v>358</v>
      </c>
      <c r="AE43" s="357">
        <f t="shared" si="1"/>
        <v>4</v>
      </c>
      <c r="AF43" s="265"/>
      <c r="AG43" s="265"/>
      <c r="AH43" s="265"/>
      <c r="AI43" s="182"/>
      <c r="AJ43" s="80">
        <v>0.0</v>
      </c>
      <c r="AK43" s="80">
        <v>0.0</v>
      </c>
      <c r="AL43" s="224">
        <v>3.0</v>
      </c>
      <c r="AM43" s="80">
        <v>0.0</v>
      </c>
      <c r="AN43" s="80">
        <v>0.0</v>
      </c>
      <c r="AO43" s="224">
        <v>0.0</v>
      </c>
      <c r="AP43" s="80">
        <v>0.0</v>
      </c>
      <c r="AQ43" s="80">
        <v>0.0</v>
      </c>
      <c r="AR43" s="358">
        <f t="shared" si="2"/>
        <v>3</v>
      </c>
      <c r="AS43" s="358">
        <f t="shared" si="3"/>
        <v>1</v>
      </c>
    </row>
    <row r="44">
      <c r="A44" s="235">
        <v>43.0</v>
      </c>
      <c r="B44" s="717" t="s">
        <v>1055</v>
      </c>
      <c r="C44" s="158" t="s">
        <v>1050</v>
      </c>
      <c r="D44" s="688" t="s">
        <v>1051</v>
      </c>
      <c r="E44" s="463">
        <v>40983.0</v>
      </c>
      <c r="F44" s="772">
        <v>42471.0</v>
      </c>
      <c r="G44" s="235" t="s">
        <v>67</v>
      </c>
      <c r="H44" s="235" t="s">
        <v>433</v>
      </c>
      <c r="I44" s="235" t="s">
        <v>354</v>
      </c>
      <c r="J44" s="235" t="s">
        <v>770</v>
      </c>
      <c r="K44" s="158">
        <v>1.0</v>
      </c>
      <c r="L44" s="158" t="s">
        <v>1053</v>
      </c>
      <c r="M44" s="265"/>
      <c r="N44" s="265"/>
      <c r="O44" s="158" t="s">
        <v>455</v>
      </c>
      <c r="P44" s="157">
        <v>0.0</v>
      </c>
      <c r="Q44" s="157">
        <v>0.0</v>
      </c>
      <c r="R44" s="551" t="s">
        <v>354</v>
      </c>
      <c r="S44" s="551" t="s">
        <v>354</v>
      </c>
      <c r="T44" s="551" t="s">
        <v>354</v>
      </c>
      <c r="U44" s="157">
        <v>0.0</v>
      </c>
      <c r="V44" s="157">
        <v>0.0</v>
      </c>
      <c r="W44" s="551" t="s">
        <v>354</v>
      </c>
      <c r="X44" s="551" t="s">
        <v>354</v>
      </c>
      <c r="Y44" s="359" t="s">
        <v>356</v>
      </c>
      <c r="Z44" s="359" t="s">
        <v>354</v>
      </c>
      <c r="AA44" s="368" t="s">
        <v>356</v>
      </c>
      <c r="AB44" s="368" t="s">
        <v>354</v>
      </c>
      <c r="AC44" s="139" t="s">
        <v>356</v>
      </c>
      <c r="AD44" s="139" t="s">
        <v>354</v>
      </c>
      <c r="AE44" s="46">
        <f t="shared" si="1"/>
        <v>0</v>
      </c>
      <c r="AF44" s="265"/>
      <c r="AG44" s="265"/>
      <c r="AH44" s="265"/>
      <c r="AI44" s="182"/>
      <c r="AJ44" s="80">
        <v>0.0</v>
      </c>
      <c r="AK44" s="80">
        <v>0.0</v>
      </c>
      <c r="AL44" s="80">
        <v>0.0</v>
      </c>
      <c r="AM44" s="80">
        <v>0.0</v>
      </c>
      <c r="AN44" s="80">
        <v>0.0</v>
      </c>
      <c r="AO44" s="224">
        <v>0.0</v>
      </c>
      <c r="AP44" s="80">
        <v>0.0</v>
      </c>
      <c r="AQ44" s="80">
        <v>0.0</v>
      </c>
      <c r="AR44" s="182">
        <f t="shared" si="2"/>
        <v>0</v>
      </c>
      <c r="AS44" s="182">
        <f t="shared" si="3"/>
        <v>0</v>
      </c>
    </row>
    <row r="45">
      <c r="A45" s="235">
        <v>44.0</v>
      </c>
      <c r="B45" s="690" t="s">
        <v>872</v>
      </c>
      <c r="C45" s="601" t="s">
        <v>869</v>
      </c>
      <c r="D45" s="604" t="s">
        <v>870</v>
      </c>
      <c r="E45" s="463">
        <v>40983.0</v>
      </c>
      <c r="F45" s="235">
        <v>3.0</v>
      </c>
      <c r="G45" s="235" t="s">
        <v>67</v>
      </c>
      <c r="H45" s="235" t="s">
        <v>7</v>
      </c>
      <c r="I45" s="235" t="s">
        <v>354</v>
      </c>
      <c r="J45" s="235" t="s">
        <v>1611</v>
      </c>
      <c r="K45" s="184">
        <v>0.0</v>
      </c>
      <c r="L45" s="184" t="s">
        <v>354</v>
      </c>
      <c r="M45" s="265"/>
      <c r="N45" s="265"/>
      <c r="O45" s="184" t="s">
        <v>371</v>
      </c>
      <c r="P45" s="157">
        <v>0.0</v>
      </c>
      <c r="Q45" s="157">
        <v>0.0</v>
      </c>
      <c r="R45" s="551" t="s">
        <v>354</v>
      </c>
      <c r="S45" s="551" t="s">
        <v>354</v>
      </c>
      <c r="T45" s="551" t="s">
        <v>354</v>
      </c>
      <c r="U45" s="157">
        <v>0.0</v>
      </c>
      <c r="V45" s="140">
        <v>39.78</v>
      </c>
      <c r="W45" s="551" t="s">
        <v>356</v>
      </c>
      <c r="X45" s="551" t="s">
        <v>354</v>
      </c>
      <c r="Y45" s="359" t="s">
        <v>356</v>
      </c>
      <c r="Z45" s="359" t="s">
        <v>354</v>
      </c>
      <c r="AA45" s="368" t="s">
        <v>356</v>
      </c>
      <c r="AB45" s="368" t="s">
        <v>354</v>
      </c>
      <c r="AC45" s="139" t="s">
        <v>356</v>
      </c>
      <c r="AD45" s="139" t="s">
        <v>354</v>
      </c>
      <c r="AE45" s="46">
        <f t="shared" si="1"/>
        <v>0</v>
      </c>
      <c r="AF45" s="265"/>
      <c r="AG45" s="265"/>
      <c r="AH45" s="265"/>
      <c r="AI45" s="182"/>
      <c r="AJ45" s="80">
        <v>0.0</v>
      </c>
      <c r="AK45" s="80">
        <v>0.0</v>
      </c>
      <c r="AL45" s="80">
        <v>0.0</v>
      </c>
      <c r="AM45" s="80">
        <v>0.0</v>
      </c>
      <c r="AN45" s="80">
        <v>0.0</v>
      </c>
      <c r="AO45" s="224">
        <v>0.0</v>
      </c>
      <c r="AP45" s="80">
        <v>0.0</v>
      </c>
      <c r="AQ45" s="80">
        <v>0.0</v>
      </c>
      <c r="AR45" s="182">
        <f t="shared" si="2"/>
        <v>0</v>
      </c>
      <c r="AS45" s="182">
        <f t="shared" si="3"/>
        <v>0</v>
      </c>
    </row>
    <row r="46">
      <c r="A46" s="235">
        <v>45.0</v>
      </c>
      <c r="B46" s="717" t="s">
        <v>268</v>
      </c>
      <c r="C46" s="684" t="s">
        <v>268</v>
      </c>
      <c r="D46" s="685" t="s">
        <v>1626</v>
      </c>
      <c r="E46" s="463">
        <v>40983.0</v>
      </c>
      <c r="F46" s="235">
        <v>3.0</v>
      </c>
      <c r="G46" s="235" t="s">
        <v>67</v>
      </c>
      <c r="H46" s="235" t="s">
        <v>7</v>
      </c>
      <c r="I46" s="235" t="s">
        <v>354</v>
      </c>
      <c r="J46" s="235" t="s">
        <v>1611</v>
      </c>
      <c r="K46" s="739">
        <v>2.0</v>
      </c>
      <c r="L46" s="739" t="s">
        <v>922</v>
      </c>
      <c r="M46" s="738"/>
      <c r="N46" s="738"/>
      <c r="O46" s="236" t="s">
        <v>398</v>
      </c>
      <c r="P46" s="157">
        <v>0.0</v>
      </c>
      <c r="Q46" s="157">
        <v>0.0</v>
      </c>
      <c r="R46" s="551" t="s">
        <v>354</v>
      </c>
      <c r="S46" s="551" t="s">
        <v>354</v>
      </c>
      <c r="T46" s="551" t="s">
        <v>354</v>
      </c>
      <c r="U46" s="157">
        <v>0.0</v>
      </c>
      <c r="V46" s="157">
        <v>0.0</v>
      </c>
      <c r="W46" s="551" t="s">
        <v>354</v>
      </c>
      <c r="X46" s="551" t="s">
        <v>354</v>
      </c>
      <c r="Y46" s="359" t="s">
        <v>356</v>
      </c>
      <c r="Z46" s="359" t="s">
        <v>354</v>
      </c>
      <c r="AA46" s="368" t="s">
        <v>356</v>
      </c>
      <c r="AB46" s="368" t="s">
        <v>354</v>
      </c>
      <c r="AC46" s="139" t="s">
        <v>356</v>
      </c>
      <c r="AD46" s="139" t="s">
        <v>354</v>
      </c>
      <c r="AE46" s="46">
        <f t="shared" si="1"/>
        <v>0</v>
      </c>
      <c r="AF46" s="265"/>
      <c r="AG46" s="265"/>
      <c r="AH46" s="265"/>
      <c r="AI46" s="182"/>
      <c r="AJ46" s="80">
        <v>0.0</v>
      </c>
      <c r="AK46" s="80">
        <v>0.0</v>
      </c>
      <c r="AL46" s="80">
        <v>0.0</v>
      </c>
      <c r="AM46" s="80">
        <v>0.0</v>
      </c>
      <c r="AN46" s="80">
        <v>0.0</v>
      </c>
      <c r="AO46" s="224">
        <v>0.0</v>
      </c>
      <c r="AP46" s="80">
        <v>0.0</v>
      </c>
      <c r="AQ46" s="80">
        <v>0.0</v>
      </c>
      <c r="AR46" s="182">
        <f t="shared" si="2"/>
        <v>0</v>
      </c>
      <c r="AS46" s="182">
        <f t="shared" si="3"/>
        <v>0</v>
      </c>
    </row>
    <row r="47">
      <c r="A47" s="235">
        <v>46.0</v>
      </c>
      <c r="B47" s="690" t="s">
        <v>80</v>
      </c>
      <c r="C47" s="714" t="s">
        <v>80</v>
      </c>
      <c r="D47" s="711" t="s">
        <v>467</v>
      </c>
      <c r="E47" s="463">
        <v>40983.0</v>
      </c>
      <c r="F47" s="235">
        <v>2.0</v>
      </c>
      <c r="G47" s="235" t="s">
        <v>8</v>
      </c>
      <c r="H47" s="235" t="s">
        <v>7</v>
      </c>
      <c r="I47" s="235" t="s">
        <v>354</v>
      </c>
      <c r="J47" s="235" t="s">
        <v>354</v>
      </c>
      <c r="K47" s="184">
        <v>0.0</v>
      </c>
      <c r="L47" s="184" t="s">
        <v>354</v>
      </c>
      <c r="M47" s="265"/>
      <c r="N47" s="265"/>
      <c r="O47" s="184" t="s">
        <v>371</v>
      </c>
      <c r="P47" s="157">
        <v>0.0</v>
      </c>
      <c r="Q47" s="157">
        <v>0.0</v>
      </c>
      <c r="R47" s="551" t="s">
        <v>354</v>
      </c>
      <c r="S47" s="551" t="s">
        <v>354</v>
      </c>
      <c r="T47" s="551" t="s">
        <v>354</v>
      </c>
      <c r="U47" s="157">
        <v>0.0</v>
      </c>
      <c r="V47" s="157">
        <v>0.0</v>
      </c>
      <c r="W47" s="551" t="s">
        <v>354</v>
      </c>
      <c r="X47" s="551" t="s">
        <v>354</v>
      </c>
      <c r="Y47" s="359" t="s">
        <v>356</v>
      </c>
      <c r="Z47" s="359" t="s">
        <v>354</v>
      </c>
      <c r="AA47" s="368" t="s">
        <v>356</v>
      </c>
      <c r="AB47" s="368" t="s">
        <v>354</v>
      </c>
      <c r="AC47" s="139" t="s">
        <v>356</v>
      </c>
      <c r="AD47" s="139" t="s">
        <v>354</v>
      </c>
      <c r="AE47" s="46">
        <f t="shared" si="1"/>
        <v>0</v>
      </c>
      <c r="AF47" s="265"/>
      <c r="AG47" s="265"/>
      <c r="AH47" s="265"/>
      <c r="AI47" s="182"/>
      <c r="AJ47" s="80">
        <v>0.0</v>
      </c>
      <c r="AK47" s="80">
        <v>0.0</v>
      </c>
      <c r="AL47" s="80">
        <v>0.0</v>
      </c>
      <c r="AM47" s="80">
        <v>0.0</v>
      </c>
      <c r="AN47" s="80">
        <v>0.0</v>
      </c>
      <c r="AO47" s="224">
        <v>0.0</v>
      </c>
      <c r="AP47" s="80">
        <v>0.0</v>
      </c>
      <c r="AQ47" s="80">
        <v>0.0</v>
      </c>
      <c r="AR47" s="182">
        <f t="shared" si="2"/>
        <v>0</v>
      </c>
      <c r="AS47" s="182">
        <f t="shared" si="3"/>
        <v>0</v>
      </c>
    </row>
    <row r="48">
      <c r="A48" s="235">
        <v>47.0</v>
      </c>
      <c r="B48" s="717" t="s">
        <v>66</v>
      </c>
      <c r="C48" s="684" t="s">
        <v>66</v>
      </c>
      <c r="D48" s="692" t="s">
        <v>451</v>
      </c>
      <c r="E48" s="463">
        <v>40983.0</v>
      </c>
      <c r="F48" s="235">
        <v>2.0</v>
      </c>
      <c r="G48" s="235" t="s">
        <v>67</v>
      </c>
      <c r="H48" s="235" t="s">
        <v>7</v>
      </c>
      <c r="I48" s="235" t="s">
        <v>354</v>
      </c>
      <c r="J48" s="235" t="s">
        <v>1611</v>
      </c>
      <c r="K48" s="158">
        <v>1.0</v>
      </c>
      <c r="L48" s="158" t="s">
        <v>456</v>
      </c>
      <c r="M48" s="265"/>
      <c r="N48" s="265"/>
      <c r="O48" s="158" t="s">
        <v>455</v>
      </c>
      <c r="P48" s="157">
        <v>0.0</v>
      </c>
      <c r="Q48" s="157">
        <v>0.0</v>
      </c>
      <c r="R48" s="551" t="s">
        <v>354</v>
      </c>
      <c r="S48" s="551" t="s">
        <v>354</v>
      </c>
      <c r="T48" s="551" t="s">
        <v>354</v>
      </c>
      <c r="U48" s="157">
        <v>0.0</v>
      </c>
      <c r="V48" s="157">
        <v>0.0</v>
      </c>
      <c r="W48" s="551" t="s">
        <v>354</v>
      </c>
      <c r="X48" s="551" t="s">
        <v>354</v>
      </c>
      <c r="Y48" s="359" t="s">
        <v>356</v>
      </c>
      <c r="Z48" s="359" t="s">
        <v>354</v>
      </c>
      <c r="AA48" s="392" t="s">
        <v>361</v>
      </c>
      <c r="AB48" s="392" t="s">
        <v>361</v>
      </c>
      <c r="AC48" s="139" t="s">
        <v>356</v>
      </c>
      <c r="AD48" s="139" t="s">
        <v>354</v>
      </c>
      <c r="AE48" s="46">
        <f t="shared" si="1"/>
        <v>0</v>
      </c>
      <c r="AF48" s="265"/>
      <c r="AG48" s="265"/>
      <c r="AH48" s="265"/>
      <c r="AI48" s="182"/>
      <c r="AJ48" s="80">
        <v>0.0</v>
      </c>
      <c r="AK48" s="80">
        <v>0.0</v>
      </c>
      <c r="AL48" s="80">
        <v>0.0</v>
      </c>
      <c r="AM48" s="80">
        <v>0.0</v>
      </c>
      <c r="AN48" s="80">
        <v>0.0</v>
      </c>
      <c r="AO48" s="224">
        <v>0.0</v>
      </c>
      <c r="AP48" s="80">
        <v>0.0</v>
      </c>
      <c r="AQ48" s="80">
        <v>0.0</v>
      </c>
      <c r="AR48" s="182">
        <f t="shared" si="2"/>
        <v>0</v>
      </c>
      <c r="AS48" s="182">
        <f t="shared" si="3"/>
        <v>0</v>
      </c>
    </row>
    <row r="49">
      <c r="A49" s="235">
        <v>48.0</v>
      </c>
      <c r="B49" s="690" t="s">
        <v>904</v>
      </c>
      <c r="C49" s="715" t="s">
        <v>899</v>
      </c>
      <c r="D49" s="687" t="s">
        <v>900</v>
      </c>
      <c r="E49" s="463">
        <v>40983.0</v>
      </c>
      <c r="F49" s="235">
        <v>3.0</v>
      </c>
      <c r="G49" s="235" t="s">
        <v>67</v>
      </c>
      <c r="H49" s="235" t="s">
        <v>7</v>
      </c>
      <c r="I49" s="235" t="s">
        <v>354</v>
      </c>
      <c r="J49" s="235" t="s">
        <v>1057</v>
      </c>
      <c r="K49" s="184">
        <v>0.0</v>
      </c>
      <c r="L49" s="184" t="s">
        <v>354</v>
      </c>
      <c r="M49" s="265"/>
      <c r="N49" s="265"/>
      <c r="O49" s="184" t="s">
        <v>371</v>
      </c>
      <c r="P49" s="157">
        <v>0.0</v>
      </c>
      <c r="Q49" s="157">
        <v>0.0</v>
      </c>
      <c r="R49" s="551" t="s">
        <v>354</v>
      </c>
      <c r="S49" s="551" t="s">
        <v>354</v>
      </c>
      <c r="T49" s="551" t="s">
        <v>354</v>
      </c>
      <c r="U49" s="157">
        <v>0.0</v>
      </c>
      <c r="V49" s="157">
        <v>0.0</v>
      </c>
      <c r="W49" s="551" t="s">
        <v>354</v>
      </c>
      <c r="X49" s="551" t="s">
        <v>354</v>
      </c>
      <c r="Y49" s="359" t="s">
        <v>356</v>
      </c>
      <c r="Z49" s="359" t="s">
        <v>354</v>
      </c>
      <c r="AA49" s="368" t="s">
        <v>356</v>
      </c>
      <c r="AB49" s="368" t="s">
        <v>354</v>
      </c>
      <c r="AC49" s="139" t="s">
        <v>356</v>
      </c>
      <c r="AD49" s="139" t="s">
        <v>354</v>
      </c>
      <c r="AE49" s="46">
        <f t="shared" si="1"/>
        <v>0</v>
      </c>
      <c r="AF49" s="265"/>
      <c r="AG49" s="265"/>
      <c r="AH49" s="265"/>
      <c r="AI49" s="182"/>
      <c r="AJ49" s="80">
        <v>0.0</v>
      </c>
      <c r="AK49" s="80">
        <v>0.0</v>
      </c>
      <c r="AL49" s="80">
        <v>0.0</v>
      </c>
      <c r="AM49" s="80">
        <v>0.0</v>
      </c>
      <c r="AN49" s="80">
        <v>0.0</v>
      </c>
      <c r="AO49" s="224">
        <v>0.0</v>
      </c>
      <c r="AP49" s="80">
        <v>0.0</v>
      </c>
      <c r="AQ49" s="80">
        <v>0.0</v>
      </c>
      <c r="AR49" s="182">
        <f t="shared" si="2"/>
        <v>0</v>
      </c>
      <c r="AS49" s="182">
        <f t="shared" si="3"/>
        <v>0</v>
      </c>
    </row>
    <row r="50">
      <c r="A50" s="235">
        <v>49.0</v>
      </c>
      <c r="B50" s="717" t="s">
        <v>171</v>
      </c>
      <c r="C50" s="684" t="s">
        <v>171</v>
      </c>
      <c r="D50" s="685" t="s">
        <v>658</v>
      </c>
      <c r="E50" s="463">
        <v>40983.0</v>
      </c>
      <c r="F50" s="235">
        <v>3.0</v>
      </c>
      <c r="G50" s="235" t="s">
        <v>67</v>
      </c>
      <c r="H50" s="235" t="s">
        <v>7</v>
      </c>
      <c r="I50" s="235" t="s">
        <v>354</v>
      </c>
      <c r="J50" s="235" t="s">
        <v>1611</v>
      </c>
      <c r="K50" s="158">
        <v>4.0</v>
      </c>
      <c r="L50" s="158" t="s">
        <v>663</v>
      </c>
      <c r="M50" s="47" t="s">
        <v>354</v>
      </c>
      <c r="O50" s="158" t="s">
        <v>664</v>
      </c>
      <c r="P50" s="157">
        <v>0.0</v>
      </c>
      <c r="Q50" s="157">
        <v>0.0</v>
      </c>
      <c r="R50" s="551" t="s">
        <v>354</v>
      </c>
      <c r="S50" s="551" t="s">
        <v>354</v>
      </c>
      <c r="T50" s="551" t="s">
        <v>354</v>
      </c>
      <c r="U50" s="157">
        <v>0.0</v>
      </c>
      <c r="V50" s="157">
        <v>0.0</v>
      </c>
      <c r="W50" s="551" t="s">
        <v>354</v>
      </c>
      <c r="X50" s="551" t="s">
        <v>354</v>
      </c>
      <c r="Y50" s="359" t="s">
        <v>356</v>
      </c>
      <c r="Z50" s="359" t="s">
        <v>354</v>
      </c>
      <c r="AA50" s="368" t="s">
        <v>356</v>
      </c>
      <c r="AB50" s="368" t="s">
        <v>354</v>
      </c>
      <c r="AC50" s="144" t="s">
        <v>365</v>
      </c>
      <c r="AD50" s="102" t="s">
        <v>357</v>
      </c>
      <c r="AE50" s="367">
        <f t="shared" si="1"/>
        <v>1</v>
      </c>
      <c r="AF50" s="265"/>
      <c r="AG50" s="265"/>
      <c r="AH50" s="265"/>
      <c r="AI50" s="182"/>
      <c r="AJ50" s="80">
        <v>0.0</v>
      </c>
      <c r="AK50" s="80">
        <v>0.0</v>
      </c>
      <c r="AL50" s="80">
        <v>0.0</v>
      </c>
      <c r="AM50" s="80">
        <v>0.0</v>
      </c>
      <c r="AN50" s="80">
        <v>0.0</v>
      </c>
      <c r="AO50" s="224">
        <v>1.0</v>
      </c>
      <c r="AP50" s="80">
        <v>0.0</v>
      </c>
      <c r="AQ50" s="80">
        <v>0.0</v>
      </c>
      <c r="AR50" s="363">
        <f t="shared" si="2"/>
        <v>1</v>
      </c>
      <c r="AS50" s="363">
        <f t="shared" si="3"/>
        <v>1</v>
      </c>
    </row>
    <row r="51">
      <c r="A51" s="235">
        <v>50.0</v>
      </c>
      <c r="B51" s="690" t="s">
        <v>228</v>
      </c>
      <c r="C51" s="714" t="s">
        <v>228</v>
      </c>
      <c r="D51" s="687" t="s">
        <v>1623</v>
      </c>
      <c r="E51" s="463">
        <v>40983.0</v>
      </c>
      <c r="F51" s="235">
        <v>3.0</v>
      </c>
      <c r="G51" s="235" t="s">
        <v>67</v>
      </c>
      <c r="H51" s="235" t="s">
        <v>7</v>
      </c>
      <c r="I51" s="235" t="s">
        <v>354</v>
      </c>
      <c r="J51" s="235" t="s">
        <v>1057</v>
      </c>
      <c r="K51" s="184">
        <v>0.0</v>
      </c>
      <c r="L51" s="184" t="s">
        <v>354</v>
      </c>
      <c r="M51" s="265"/>
      <c r="N51" s="265"/>
      <c r="O51" s="184" t="s">
        <v>371</v>
      </c>
      <c r="P51" s="157">
        <v>0.0</v>
      </c>
      <c r="Q51" s="154">
        <v>24.7682189106259</v>
      </c>
      <c r="R51" s="551" t="s">
        <v>356</v>
      </c>
      <c r="S51" s="551" t="s">
        <v>356</v>
      </c>
      <c r="T51" s="551" t="s">
        <v>356</v>
      </c>
      <c r="U51" s="157">
        <v>0.0</v>
      </c>
      <c r="V51" s="157">
        <v>0.0</v>
      </c>
      <c r="W51" s="551" t="s">
        <v>354</v>
      </c>
      <c r="X51" s="551" t="s">
        <v>354</v>
      </c>
      <c r="Y51" s="355" t="s">
        <v>365</v>
      </c>
      <c r="Z51" s="315" t="s">
        <v>420</v>
      </c>
      <c r="AA51" s="392" t="s">
        <v>361</v>
      </c>
      <c r="AB51" s="392" t="s">
        <v>361</v>
      </c>
      <c r="AC51" s="144" t="s">
        <v>365</v>
      </c>
      <c r="AD51" s="44" t="s">
        <v>420</v>
      </c>
      <c r="AE51" s="357">
        <f t="shared" si="1"/>
        <v>2</v>
      </c>
      <c r="AF51" s="265"/>
      <c r="AG51" s="265"/>
      <c r="AH51" s="265"/>
      <c r="AI51" s="182"/>
      <c r="AJ51" s="80">
        <v>0.0</v>
      </c>
      <c r="AK51" s="224">
        <v>2.0</v>
      </c>
      <c r="AL51" s="80">
        <v>0.0</v>
      </c>
      <c r="AM51" s="80">
        <v>0.0</v>
      </c>
      <c r="AN51" s="80">
        <v>0.0</v>
      </c>
      <c r="AO51" s="224">
        <v>0.0</v>
      </c>
      <c r="AP51" s="80">
        <v>0.0</v>
      </c>
      <c r="AQ51" s="80">
        <v>0.0</v>
      </c>
      <c r="AR51" s="358">
        <f t="shared" si="2"/>
        <v>2</v>
      </c>
      <c r="AS51" s="358">
        <f t="shared" si="3"/>
        <v>1</v>
      </c>
    </row>
    <row r="52">
      <c r="A52" s="235">
        <v>51.0</v>
      </c>
      <c r="B52" s="717" t="s">
        <v>213</v>
      </c>
      <c r="C52" s="684" t="s">
        <v>213</v>
      </c>
      <c r="D52" s="685" t="s">
        <v>753</v>
      </c>
      <c r="E52" s="463">
        <v>40983.0</v>
      </c>
      <c r="F52" s="235">
        <v>3.0</v>
      </c>
      <c r="G52" s="235" t="s">
        <v>67</v>
      </c>
      <c r="H52" s="235" t="s">
        <v>7</v>
      </c>
      <c r="I52" s="235" t="s">
        <v>354</v>
      </c>
      <c r="J52" s="235" t="s">
        <v>1611</v>
      </c>
      <c r="K52" s="158">
        <v>2.0</v>
      </c>
      <c r="L52" s="158" t="s">
        <v>759</v>
      </c>
      <c r="M52" s="265"/>
      <c r="N52" s="265"/>
      <c r="O52" s="158" t="s">
        <v>398</v>
      </c>
      <c r="P52" s="157">
        <v>0.0</v>
      </c>
      <c r="Q52" s="154">
        <v>19.1381640960808</v>
      </c>
      <c r="R52" s="551" t="s">
        <v>356</v>
      </c>
      <c r="S52" s="551" t="s">
        <v>356</v>
      </c>
      <c r="T52" s="551" t="s">
        <v>356</v>
      </c>
      <c r="U52" s="157">
        <v>0.0</v>
      </c>
      <c r="V52" s="157">
        <v>0.0</v>
      </c>
      <c r="W52" s="551" t="s">
        <v>354</v>
      </c>
      <c r="X52" s="551" t="s">
        <v>354</v>
      </c>
      <c r="Y52" s="359" t="s">
        <v>356</v>
      </c>
      <c r="Z52" s="359" t="s">
        <v>354</v>
      </c>
      <c r="AA52" s="392" t="s">
        <v>361</v>
      </c>
      <c r="AB52" s="392" t="s">
        <v>361</v>
      </c>
      <c r="AC52" s="139" t="s">
        <v>356</v>
      </c>
      <c r="AD52" s="139" t="s">
        <v>354</v>
      </c>
      <c r="AE52" s="46">
        <f t="shared" si="1"/>
        <v>0</v>
      </c>
      <c r="AF52" s="265"/>
      <c r="AG52" s="265"/>
      <c r="AH52" s="265"/>
      <c r="AI52" s="182"/>
      <c r="AJ52" s="80">
        <v>0.0</v>
      </c>
      <c r="AK52" s="80">
        <v>0.0</v>
      </c>
      <c r="AL52" s="80">
        <v>0.0</v>
      </c>
      <c r="AM52" s="80">
        <v>0.0</v>
      </c>
      <c r="AN52" s="80">
        <v>0.0</v>
      </c>
      <c r="AO52" s="224">
        <v>0.0</v>
      </c>
      <c r="AP52" s="80">
        <v>0.0</v>
      </c>
      <c r="AQ52" s="80">
        <v>0.0</v>
      </c>
      <c r="AR52" s="182">
        <f t="shared" si="2"/>
        <v>0</v>
      </c>
      <c r="AS52" s="182">
        <f t="shared" si="3"/>
        <v>0</v>
      </c>
    </row>
    <row r="53">
      <c r="A53" s="235">
        <v>52.0</v>
      </c>
      <c r="B53" s="717" t="s">
        <v>265</v>
      </c>
      <c r="C53" s="78" t="s">
        <v>906</v>
      </c>
      <c r="D53" s="692" t="s">
        <v>907</v>
      </c>
      <c r="E53" s="463">
        <v>40983.0</v>
      </c>
      <c r="F53" s="235">
        <v>3.0</v>
      </c>
      <c r="G53" s="235" t="s">
        <v>67</v>
      </c>
      <c r="H53" s="235" t="s">
        <v>7</v>
      </c>
      <c r="I53" s="235" t="s">
        <v>354</v>
      </c>
      <c r="J53" s="235" t="s">
        <v>1057</v>
      </c>
      <c r="K53" s="158">
        <v>1.0</v>
      </c>
      <c r="L53" s="158" t="s">
        <v>912</v>
      </c>
      <c r="M53" s="265"/>
      <c r="N53" s="265"/>
      <c r="O53" s="158" t="s">
        <v>455</v>
      </c>
      <c r="P53" s="157">
        <v>0.0</v>
      </c>
      <c r="Q53" s="157">
        <v>0.0</v>
      </c>
      <c r="R53" s="551" t="s">
        <v>354</v>
      </c>
      <c r="S53" s="551" t="s">
        <v>354</v>
      </c>
      <c r="T53" s="551" t="s">
        <v>354</v>
      </c>
      <c r="U53" s="157">
        <v>0.0</v>
      </c>
      <c r="V53" s="157">
        <v>0.0</v>
      </c>
      <c r="W53" s="551" t="s">
        <v>354</v>
      </c>
      <c r="X53" s="551" t="s">
        <v>354</v>
      </c>
      <c r="Y53" s="359" t="s">
        <v>356</v>
      </c>
      <c r="Z53" s="359" t="s">
        <v>354</v>
      </c>
      <c r="AA53" s="368" t="s">
        <v>356</v>
      </c>
      <c r="AB53" s="368" t="s">
        <v>354</v>
      </c>
      <c r="AC53" s="139" t="s">
        <v>356</v>
      </c>
      <c r="AD53" s="139" t="s">
        <v>354</v>
      </c>
      <c r="AE53" s="46">
        <f t="shared" si="1"/>
        <v>0</v>
      </c>
      <c r="AF53" s="265"/>
      <c r="AG53" s="265"/>
      <c r="AH53" s="265"/>
      <c r="AI53" s="182"/>
      <c r="AJ53" s="80">
        <v>0.0</v>
      </c>
      <c r="AK53" s="80">
        <v>0.0</v>
      </c>
      <c r="AL53" s="80">
        <v>0.0</v>
      </c>
      <c r="AM53" s="80">
        <v>0.0</v>
      </c>
      <c r="AN53" s="80">
        <v>0.0</v>
      </c>
      <c r="AO53" s="224">
        <v>0.0</v>
      </c>
      <c r="AP53" s="80">
        <v>0.0</v>
      </c>
      <c r="AQ53" s="80">
        <v>0.0</v>
      </c>
      <c r="AR53" s="182">
        <f t="shared" si="2"/>
        <v>0</v>
      </c>
      <c r="AS53" s="182">
        <f t="shared" si="3"/>
        <v>0</v>
      </c>
    </row>
    <row r="54">
      <c r="A54" s="235">
        <v>53.0</v>
      </c>
      <c r="B54" s="717" t="s">
        <v>968</v>
      </c>
      <c r="C54" s="717" t="s">
        <v>968</v>
      </c>
      <c r="D54" s="692" t="s">
        <v>965</v>
      </c>
      <c r="E54" s="463">
        <v>40983.0</v>
      </c>
      <c r="F54" s="773">
        <v>41010.0</v>
      </c>
      <c r="G54" s="235" t="s">
        <v>67</v>
      </c>
      <c r="H54" s="235" t="s">
        <v>433</v>
      </c>
      <c r="I54" s="235" t="s">
        <v>354</v>
      </c>
      <c r="J54" s="235" t="s">
        <v>770</v>
      </c>
      <c r="K54" s="158">
        <v>1.0</v>
      </c>
      <c r="L54" s="158" t="s">
        <v>967</v>
      </c>
      <c r="M54" s="265"/>
      <c r="N54" s="265"/>
      <c r="O54" s="158" t="s">
        <v>455</v>
      </c>
      <c r="P54" s="154">
        <v>30.8354050987718</v>
      </c>
      <c r="Q54" s="157">
        <v>0.0</v>
      </c>
      <c r="R54" s="551" t="s">
        <v>354</v>
      </c>
      <c r="S54" s="551" t="s">
        <v>354</v>
      </c>
      <c r="T54" s="551" t="s">
        <v>354</v>
      </c>
      <c r="U54" s="157">
        <v>0.0</v>
      </c>
      <c r="V54" s="157">
        <v>0.0</v>
      </c>
      <c r="W54" s="551" t="s">
        <v>354</v>
      </c>
      <c r="X54" s="551" t="s">
        <v>354</v>
      </c>
      <c r="Y54" s="355" t="s">
        <v>365</v>
      </c>
      <c r="Z54" s="90" t="s">
        <v>413</v>
      </c>
      <c r="AA54" s="356" t="s">
        <v>365</v>
      </c>
      <c r="AB54" s="90" t="s">
        <v>413</v>
      </c>
      <c r="AC54" s="144" t="s">
        <v>365</v>
      </c>
      <c r="AD54" s="90" t="s">
        <v>413</v>
      </c>
      <c r="AE54" s="357">
        <f t="shared" si="1"/>
        <v>4</v>
      </c>
      <c r="AF54" s="265"/>
      <c r="AG54" s="265"/>
      <c r="AH54" s="265"/>
      <c r="AI54" s="182"/>
      <c r="AJ54" s="80">
        <v>0.0</v>
      </c>
      <c r="AK54" s="80">
        <v>0.0</v>
      </c>
      <c r="AL54" s="80">
        <v>0.0</v>
      </c>
      <c r="AM54" s="80">
        <v>0.0</v>
      </c>
      <c r="AN54" s="224">
        <v>3.0</v>
      </c>
      <c r="AO54" s="224">
        <v>0.0</v>
      </c>
      <c r="AP54" s="80">
        <v>0.0</v>
      </c>
      <c r="AQ54" s="80">
        <v>0.0</v>
      </c>
      <c r="AR54" s="358">
        <f t="shared" si="2"/>
        <v>3</v>
      </c>
      <c r="AS54" s="358">
        <f t="shared" si="3"/>
        <v>1</v>
      </c>
    </row>
    <row r="55">
      <c r="A55" s="235">
        <v>54.0</v>
      </c>
      <c r="B55" s="690">
        <v>6544.0</v>
      </c>
      <c r="C55" s="690" t="s">
        <v>1009</v>
      </c>
      <c r="D55" s="716" t="s">
        <v>1009</v>
      </c>
      <c r="E55" s="463">
        <v>40983.0</v>
      </c>
      <c r="F55" s="772">
        <v>42471.0</v>
      </c>
      <c r="G55" s="235" t="s">
        <v>8</v>
      </c>
      <c r="H55" s="235" t="s">
        <v>37</v>
      </c>
      <c r="I55" s="235" t="s">
        <v>354</v>
      </c>
      <c r="J55" s="235" t="s">
        <v>354</v>
      </c>
      <c r="K55" s="184">
        <v>0.0</v>
      </c>
      <c r="L55" s="184" t="s">
        <v>354</v>
      </c>
      <c r="M55" s="265"/>
      <c r="N55" s="265"/>
      <c r="O55" s="184" t="s">
        <v>371</v>
      </c>
      <c r="P55" s="157">
        <v>0.0</v>
      </c>
      <c r="Q55" s="157">
        <v>0.0</v>
      </c>
      <c r="R55" s="551" t="s">
        <v>354</v>
      </c>
      <c r="S55" s="551" t="s">
        <v>354</v>
      </c>
      <c r="T55" s="551" t="s">
        <v>354</v>
      </c>
      <c r="U55" s="157">
        <v>0.0</v>
      </c>
      <c r="V55" s="157">
        <v>0.0</v>
      </c>
      <c r="W55" s="551" t="s">
        <v>354</v>
      </c>
      <c r="X55" s="551" t="s">
        <v>354</v>
      </c>
      <c r="Y55" s="359" t="s">
        <v>356</v>
      </c>
      <c r="Z55" s="359" t="s">
        <v>354</v>
      </c>
      <c r="AA55" s="392" t="s">
        <v>361</v>
      </c>
      <c r="AB55" s="392" t="s">
        <v>361</v>
      </c>
      <c r="AC55" s="139" t="s">
        <v>356</v>
      </c>
      <c r="AD55" s="139" t="s">
        <v>354</v>
      </c>
      <c r="AE55" s="46">
        <f t="shared" si="1"/>
        <v>0</v>
      </c>
      <c r="AF55" s="265"/>
      <c r="AG55" s="265"/>
      <c r="AH55" s="265"/>
      <c r="AI55" s="182"/>
      <c r="AJ55" s="80">
        <v>0.0</v>
      </c>
      <c r="AK55" s="80">
        <v>0.0</v>
      </c>
      <c r="AL55" s="80">
        <v>0.0</v>
      </c>
      <c r="AM55" s="80">
        <v>0.0</v>
      </c>
      <c r="AN55" s="80">
        <v>0.0</v>
      </c>
      <c r="AO55" s="224">
        <v>0.0</v>
      </c>
      <c r="AP55" s="80">
        <v>0.0</v>
      </c>
      <c r="AQ55" s="80">
        <v>0.0</v>
      </c>
      <c r="AR55" s="182">
        <f t="shared" si="2"/>
        <v>0</v>
      </c>
      <c r="AS55" s="182">
        <f t="shared" si="3"/>
        <v>0</v>
      </c>
    </row>
    <row r="56">
      <c r="A56" s="235">
        <v>55.0</v>
      </c>
      <c r="B56" s="717" t="s">
        <v>152</v>
      </c>
      <c r="C56" s="684" t="s">
        <v>152</v>
      </c>
      <c r="D56" s="685" t="s">
        <v>629</v>
      </c>
      <c r="E56" s="463">
        <v>40983.0</v>
      </c>
      <c r="F56" s="235">
        <v>3.0</v>
      </c>
      <c r="G56" s="235" t="s">
        <v>8</v>
      </c>
      <c r="H56" s="235" t="s">
        <v>7</v>
      </c>
      <c r="I56" s="235" t="s">
        <v>354</v>
      </c>
      <c r="J56" s="235" t="s">
        <v>354</v>
      </c>
      <c r="K56" s="158">
        <v>3.0</v>
      </c>
      <c r="L56" s="158" t="s">
        <v>635</v>
      </c>
      <c r="M56" s="265"/>
      <c r="N56" s="265"/>
      <c r="O56" s="158" t="s">
        <v>600</v>
      </c>
      <c r="P56" s="157">
        <v>0.0</v>
      </c>
      <c r="Q56" s="157">
        <v>0.0</v>
      </c>
      <c r="R56" s="551" t="s">
        <v>354</v>
      </c>
      <c r="S56" s="551" t="s">
        <v>354</v>
      </c>
      <c r="T56" s="551" t="s">
        <v>354</v>
      </c>
      <c r="U56" s="157">
        <v>0.0</v>
      </c>
      <c r="V56" s="157">
        <v>0.0</v>
      </c>
      <c r="W56" s="551" t="s">
        <v>354</v>
      </c>
      <c r="X56" s="551" t="s">
        <v>354</v>
      </c>
      <c r="Y56" s="359" t="s">
        <v>356</v>
      </c>
      <c r="Z56" s="359" t="s">
        <v>354</v>
      </c>
      <c r="AA56" s="392" t="s">
        <v>361</v>
      </c>
      <c r="AB56" s="392" t="s">
        <v>361</v>
      </c>
      <c r="AC56" s="139" t="s">
        <v>356</v>
      </c>
      <c r="AD56" s="139" t="s">
        <v>354</v>
      </c>
      <c r="AE56" s="46">
        <f t="shared" si="1"/>
        <v>0</v>
      </c>
      <c r="AF56" s="265"/>
      <c r="AG56" s="265"/>
      <c r="AH56" s="265"/>
      <c r="AI56" s="182"/>
      <c r="AJ56" s="80">
        <v>0.0</v>
      </c>
      <c r="AK56" s="80">
        <v>0.0</v>
      </c>
      <c r="AL56" s="80">
        <v>0.0</v>
      </c>
      <c r="AM56" s="80">
        <v>0.0</v>
      </c>
      <c r="AN56" s="80">
        <v>0.0</v>
      </c>
      <c r="AO56" s="224">
        <v>0.0</v>
      </c>
      <c r="AP56" s="80">
        <v>0.0</v>
      </c>
      <c r="AQ56" s="80">
        <v>0.0</v>
      </c>
      <c r="AR56" s="182">
        <f t="shared" si="2"/>
        <v>0</v>
      </c>
      <c r="AS56" s="182">
        <f t="shared" si="3"/>
        <v>0</v>
      </c>
    </row>
    <row r="57">
      <c r="A57" s="235">
        <v>56.0</v>
      </c>
      <c r="B57" s="717">
        <v>1037.0</v>
      </c>
      <c r="C57" s="684" t="s">
        <v>161</v>
      </c>
      <c r="D57" s="692" t="s">
        <v>645</v>
      </c>
      <c r="E57" s="463">
        <v>40983.0</v>
      </c>
      <c r="F57" s="235">
        <v>3.0</v>
      </c>
      <c r="G57" s="235" t="s">
        <v>67</v>
      </c>
      <c r="H57" s="235" t="s">
        <v>7</v>
      </c>
      <c r="I57" s="235" t="s">
        <v>354</v>
      </c>
      <c r="J57" s="235" t="s">
        <v>1057</v>
      </c>
      <c r="K57" s="158">
        <v>3.0</v>
      </c>
      <c r="L57" s="158" t="s">
        <v>647</v>
      </c>
      <c r="M57" s="265"/>
      <c r="N57" s="265"/>
      <c r="O57" s="158" t="s">
        <v>600</v>
      </c>
      <c r="P57" s="154">
        <v>34.0315308112237</v>
      </c>
      <c r="Q57" s="157">
        <v>0.0</v>
      </c>
      <c r="R57" s="551" t="s">
        <v>354</v>
      </c>
      <c r="S57" s="551" t="s">
        <v>354</v>
      </c>
      <c r="T57" s="551" t="s">
        <v>354</v>
      </c>
      <c r="U57" s="157">
        <v>0.0</v>
      </c>
      <c r="V57" s="157">
        <v>0.0</v>
      </c>
      <c r="W57" s="551" t="s">
        <v>354</v>
      </c>
      <c r="X57" s="551" t="s">
        <v>354</v>
      </c>
      <c r="Y57" s="355" t="s">
        <v>365</v>
      </c>
      <c r="Z57" s="143" t="s">
        <v>358</v>
      </c>
      <c r="AA57" s="392" t="s">
        <v>361</v>
      </c>
      <c r="AB57" s="392" t="s">
        <v>361</v>
      </c>
      <c r="AC57" s="144" t="s">
        <v>365</v>
      </c>
      <c r="AD57" s="143" t="s">
        <v>358</v>
      </c>
      <c r="AE57" s="357">
        <f t="shared" si="1"/>
        <v>3</v>
      </c>
      <c r="AF57" s="265"/>
      <c r="AG57" s="265"/>
      <c r="AH57" s="265"/>
      <c r="AI57" s="182"/>
      <c r="AJ57" s="80">
        <v>0.0</v>
      </c>
      <c r="AK57" s="80">
        <v>0.0</v>
      </c>
      <c r="AL57" s="224">
        <v>2.0</v>
      </c>
      <c r="AM57" s="80">
        <v>0.0</v>
      </c>
      <c r="AN57" s="80">
        <v>0.0</v>
      </c>
      <c r="AO57" s="224">
        <v>0.0</v>
      </c>
      <c r="AP57" s="80">
        <v>0.0</v>
      </c>
      <c r="AQ57" s="80">
        <v>0.0</v>
      </c>
      <c r="AR57" s="358">
        <f t="shared" si="2"/>
        <v>2</v>
      </c>
      <c r="AS57" s="358">
        <f t="shared" si="3"/>
        <v>1</v>
      </c>
    </row>
    <row r="58">
      <c r="A58" s="235">
        <v>57.0</v>
      </c>
      <c r="B58" s="717" t="s">
        <v>942</v>
      </c>
      <c r="C58" s="710" t="s">
        <v>939</v>
      </c>
      <c r="D58" s="685" t="s">
        <v>940</v>
      </c>
      <c r="E58" s="463">
        <v>40983.0</v>
      </c>
      <c r="F58" s="235">
        <v>3.0</v>
      </c>
      <c r="G58" s="235" t="s">
        <v>67</v>
      </c>
      <c r="H58" s="235" t="s">
        <v>7</v>
      </c>
      <c r="I58" s="235" t="s">
        <v>354</v>
      </c>
      <c r="J58" s="235" t="s">
        <v>1611</v>
      </c>
      <c r="K58" s="158">
        <v>1.0</v>
      </c>
      <c r="L58" s="158" t="s">
        <v>944</v>
      </c>
      <c r="M58" s="265"/>
      <c r="N58" s="265"/>
      <c r="O58" s="158" t="s">
        <v>455</v>
      </c>
      <c r="P58" s="157">
        <v>0.0</v>
      </c>
      <c r="Q58" s="157">
        <v>0.0</v>
      </c>
      <c r="R58" s="551" t="s">
        <v>354</v>
      </c>
      <c r="S58" s="551" t="s">
        <v>354</v>
      </c>
      <c r="T58" s="551" t="s">
        <v>354</v>
      </c>
      <c r="U58" s="157">
        <v>0.0</v>
      </c>
      <c r="V58" s="157">
        <v>0.0</v>
      </c>
      <c r="W58" s="551" t="s">
        <v>354</v>
      </c>
      <c r="X58" s="551" t="s">
        <v>354</v>
      </c>
      <c r="Y58" s="359" t="s">
        <v>356</v>
      </c>
      <c r="Z58" s="359" t="s">
        <v>354</v>
      </c>
      <c r="AA58" s="368" t="s">
        <v>356</v>
      </c>
      <c r="AB58" s="368" t="s">
        <v>354</v>
      </c>
      <c r="AC58" s="139" t="s">
        <v>356</v>
      </c>
      <c r="AD58" s="139" t="s">
        <v>354</v>
      </c>
      <c r="AE58" s="46">
        <f t="shared" si="1"/>
        <v>0</v>
      </c>
      <c r="AF58" s="265"/>
      <c r="AG58" s="265"/>
      <c r="AH58" s="265"/>
      <c r="AI58" s="182"/>
      <c r="AJ58" s="80">
        <v>0.0</v>
      </c>
      <c r="AK58" s="80">
        <v>0.0</v>
      </c>
      <c r="AL58" s="80">
        <v>0.0</v>
      </c>
      <c r="AM58" s="80">
        <v>0.0</v>
      </c>
      <c r="AN58" s="80">
        <v>0.0</v>
      </c>
      <c r="AO58" s="224">
        <v>0.0</v>
      </c>
      <c r="AP58" s="80">
        <v>0.0</v>
      </c>
      <c r="AQ58" s="80">
        <v>0.0</v>
      </c>
      <c r="AR58" s="182">
        <f t="shared" si="2"/>
        <v>0</v>
      </c>
      <c r="AS58" s="182">
        <f t="shared" si="3"/>
        <v>0</v>
      </c>
    </row>
    <row r="59">
      <c r="A59" s="235">
        <v>58.0</v>
      </c>
      <c r="B59" s="201" t="s">
        <v>195</v>
      </c>
      <c r="C59" s="712" t="s">
        <v>195</v>
      </c>
      <c r="D59" s="713" t="s">
        <v>707</v>
      </c>
      <c r="E59" s="463">
        <v>40983.0</v>
      </c>
      <c r="F59" s="235">
        <v>3.0</v>
      </c>
      <c r="G59" s="235" t="s">
        <v>67</v>
      </c>
      <c r="H59" s="235" t="s">
        <v>7</v>
      </c>
      <c r="I59" s="235" t="s">
        <v>354</v>
      </c>
      <c r="J59" s="235" t="s">
        <v>1611</v>
      </c>
      <c r="K59" s="179">
        <v>0.0</v>
      </c>
      <c r="L59" s="179" t="s">
        <v>354</v>
      </c>
      <c r="M59" s="265"/>
      <c r="N59" s="265"/>
      <c r="O59" s="179" t="s">
        <v>446</v>
      </c>
      <c r="P59" s="154">
        <v>8.64516151917672</v>
      </c>
      <c r="Q59" s="154">
        <v>13.1745814844301</v>
      </c>
      <c r="R59" s="551" t="s">
        <v>356</v>
      </c>
      <c r="S59" s="551" t="s">
        <v>356</v>
      </c>
      <c r="T59" s="551" t="s">
        <v>356</v>
      </c>
      <c r="U59" s="157">
        <v>0.0</v>
      </c>
      <c r="V59" s="157">
        <v>0.0</v>
      </c>
      <c r="W59" s="551" t="s">
        <v>354</v>
      </c>
      <c r="X59" s="551" t="s">
        <v>354</v>
      </c>
      <c r="Y59" s="359" t="s">
        <v>356</v>
      </c>
      <c r="Z59" s="359" t="s">
        <v>354</v>
      </c>
      <c r="AA59" s="368" t="s">
        <v>356</v>
      </c>
      <c r="AB59" s="368" t="s">
        <v>354</v>
      </c>
      <c r="AC59" s="144" t="s">
        <v>365</v>
      </c>
      <c r="AD59" s="102" t="s">
        <v>357</v>
      </c>
      <c r="AE59" s="357">
        <f t="shared" si="1"/>
        <v>2</v>
      </c>
      <c r="AF59" s="265"/>
      <c r="AG59" s="265"/>
      <c r="AH59" s="265"/>
      <c r="AI59" s="182"/>
      <c r="AJ59" s="80">
        <v>0.0</v>
      </c>
      <c r="AK59" s="80">
        <v>0.0</v>
      </c>
      <c r="AL59" s="80">
        <v>0.0</v>
      </c>
      <c r="AM59" s="80">
        <v>0.0</v>
      </c>
      <c r="AN59" s="80">
        <v>0.0</v>
      </c>
      <c r="AO59" s="224">
        <v>1.0</v>
      </c>
      <c r="AP59" s="80">
        <v>0.0</v>
      </c>
      <c r="AQ59" s="80">
        <v>0.0</v>
      </c>
      <c r="AR59" s="358">
        <f t="shared" si="2"/>
        <v>1</v>
      </c>
      <c r="AS59" s="358">
        <f t="shared" si="3"/>
        <v>1</v>
      </c>
    </row>
    <row r="60">
      <c r="A60" s="235">
        <v>59.0</v>
      </c>
      <c r="B60" s="717" t="s">
        <v>231</v>
      </c>
      <c r="C60" s="684" t="s">
        <v>231</v>
      </c>
      <c r="D60" s="692" t="s">
        <v>808</v>
      </c>
      <c r="E60" s="463">
        <v>40983.0</v>
      </c>
      <c r="F60" s="235">
        <v>3.0</v>
      </c>
      <c r="G60" s="235" t="s">
        <v>67</v>
      </c>
      <c r="H60" s="235" t="s">
        <v>7</v>
      </c>
      <c r="I60" s="235" t="s">
        <v>354</v>
      </c>
      <c r="J60" s="235" t="s">
        <v>1057</v>
      </c>
      <c r="K60" s="158">
        <v>2.0</v>
      </c>
      <c r="L60" s="158" t="s">
        <v>815</v>
      </c>
      <c r="M60" s="265"/>
      <c r="N60" s="265"/>
      <c r="O60" s="158" t="s">
        <v>398</v>
      </c>
      <c r="P60" s="157">
        <v>0.0</v>
      </c>
      <c r="Q60" s="157">
        <v>0.0</v>
      </c>
      <c r="R60" s="551" t="s">
        <v>354</v>
      </c>
      <c r="S60" s="551" t="s">
        <v>354</v>
      </c>
      <c r="T60" s="551" t="s">
        <v>354</v>
      </c>
      <c r="U60" s="157">
        <v>0.0</v>
      </c>
      <c r="V60" s="157">
        <v>0.0</v>
      </c>
      <c r="W60" s="551" t="s">
        <v>354</v>
      </c>
      <c r="X60" s="551" t="s">
        <v>354</v>
      </c>
      <c r="Y60" s="359" t="s">
        <v>356</v>
      </c>
      <c r="Z60" s="359" t="s">
        <v>354</v>
      </c>
      <c r="AA60" s="368" t="s">
        <v>356</v>
      </c>
      <c r="AB60" s="368" t="s">
        <v>354</v>
      </c>
      <c r="AC60" s="139" t="s">
        <v>356</v>
      </c>
      <c r="AD60" s="139" t="s">
        <v>354</v>
      </c>
      <c r="AE60" s="46">
        <f t="shared" si="1"/>
        <v>0</v>
      </c>
      <c r="AF60" s="265"/>
      <c r="AG60" s="265"/>
      <c r="AH60" s="265"/>
      <c r="AI60" s="182"/>
      <c r="AJ60" s="80">
        <v>0.0</v>
      </c>
      <c r="AK60" s="80">
        <v>0.0</v>
      </c>
      <c r="AL60" s="80">
        <v>0.0</v>
      </c>
      <c r="AM60" s="80">
        <v>0.0</v>
      </c>
      <c r="AN60" s="80">
        <v>0.0</v>
      </c>
      <c r="AO60" s="224">
        <v>0.0</v>
      </c>
      <c r="AP60" s="80">
        <v>0.0</v>
      </c>
      <c r="AQ60" s="80">
        <v>0.0</v>
      </c>
      <c r="AR60" s="182">
        <f t="shared" si="2"/>
        <v>0</v>
      </c>
      <c r="AS60" s="182">
        <f t="shared" si="3"/>
        <v>0</v>
      </c>
    </row>
    <row r="61">
      <c r="A61" s="235">
        <v>60.0</v>
      </c>
      <c r="B61" s="235" t="s">
        <v>1845</v>
      </c>
      <c r="C61" s="235" t="s">
        <v>354</v>
      </c>
      <c r="D61" s="235" t="s">
        <v>354</v>
      </c>
      <c r="E61" s="463">
        <v>40983.0</v>
      </c>
      <c r="F61" s="497" t="s">
        <v>354</v>
      </c>
      <c r="G61" s="235" t="s">
        <v>354</v>
      </c>
      <c r="H61" s="235" t="s">
        <v>354</v>
      </c>
      <c r="I61" s="235" t="s">
        <v>354</v>
      </c>
      <c r="J61" s="235" t="s">
        <v>354</v>
      </c>
      <c r="K61" s="235" t="s">
        <v>354</v>
      </c>
      <c r="L61" s="235"/>
      <c r="M61" s="235" t="s">
        <v>354</v>
      </c>
      <c r="N61" s="235" t="s">
        <v>354</v>
      </c>
      <c r="O61" s="235" t="s">
        <v>354</v>
      </c>
      <c r="P61" s="157">
        <v>0.0</v>
      </c>
      <c r="Q61" s="157">
        <v>0.0</v>
      </c>
      <c r="R61" s="551" t="s">
        <v>354</v>
      </c>
      <c r="S61" s="551" t="s">
        <v>354</v>
      </c>
      <c r="T61" s="551" t="s">
        <v>354</v>
      </c>
      <c r="U61" s="157">
        <v>0.0</v>
      </c>
      <c r="V61" s="157">
        <v>0.0</v>
      </c>
      <c r="W61" s="551" t="s">
        <v>354</v>
      </c>
      <c r="X61" s="551" t="s">
        <v>354</v>
      </c>
      <c r="Y61" s="359" t="s">
        <v>356</v>
      </c>
      <c r="Z61" s="359" t="s">
        <v>354</v>
      </c>
      <c r="AA61" s="368" t="s">
        <v>356</v>
      </c>
      <c r="AB61" s="368" t="s">
        <v>354</v>
      </c>
      <c r="AC61" s="139" t="s">
        <v>356</v>
      </c>
      <c r="AD61" s="139" t="s">
        <v>354</v>
      </c>
      <c r="AE61" s="46">
        <f t="shared" si="1"/>
        <v>0</v>
      </c>
      <c r="AF61" s="265"/>
      <c r="AG61" s="265"/>
      <c r="AH61" s="265"/>
      <c r="AI61" s="182"/>
      <c r="AJ61" s="80">
        <v>0.0</v>
      </c>
      <c r="AK61" s="80">
        <v>0.0</v>
      </c>
      <c r="AL61" s="80">
        <v>0.0</v>
      </c>
      <c r="AM61" s="80">
        <v>0.0</v>
      </c>
      <c r="AN61" s="80">
        <v>0.0</v>
      </c>
      <c r="AO61" s="224">
        <v>0.0</v>
      </c>
      <c r="AP61" s="80">
        <v>0.0</v>
      </c>
      <c r="AQ61" s="80">
        <v>0.0</v>
      </c>
      <c r="AR61" s="182">
        <f t="shared" si="2"/>
        <v>0</v>
      </c>
      <c r="AS61" s="182">
        <f t="shared" si="3"/>
        <v>0</v>
      </c>
    </row>
    <row r="62">
      <c r="A62" s="235">
        <v>61.0</v>
      </c>
      <c r="B62" s="717" t="s">
        <v>75</v>
      </c>
      <c r="C62" s="684" t="s">
        <v>71</v>
      </c>
      <c r="D62" s="685" t="s">
        <v>459</v>
      </c>
      <c r="E62" s="463">
        <v>40983.0</v>
      </c>
      <c r="F62" s="235">
        <v>2.0</v>
      </c>
      <c r="G62" s="235" t="s">
        <v>8</v>
      </c>
      <c r="H62" s="235" t="s">
        <v>7</v>
      </c>
      <c r="I62" s="235" t="s">
        <v>354</v>
      </c>
      <c r="J62" s="235" t="s">
        <v>354</v>
      </c>
      <c r="K62" s="158">
        <v>1.0</v>
      </c>
      <c r="L62" s="158" t="s">
        <v>354</v>
      </c>
      <c r="M62" s="265"/>
      <c r="N62" s="265"/>
      <c r="O62" s="78" t="s">
        <v>465</v>
      </c>
      <c r="P62" s="157">
        <v>0.0</v>
      </c>
      <c r="Q62" s="157">
        <v>0.0</v>
      </c>
      <c r="R62" s="551" t="s">
        <v>354</v>
      </c>
      <c r="S62" s="551" t="s">
        <v>354</v>
      </c>
      <c r="T62" s="551" t="s">
        <v>354</v>
      </c>
      <c r="U62" s="157">
        <v>0.0</v>
      </c>
      <c r="V62" s="157">
        <v>0.0</v>
      </c>
      <c r="W62" s="551" t="s">
        <v>354</v>
      </c>
      <c r="X62" s="551" t="s">
        <v>354</v>
      </c>
      <c r="Y62" s="359" t="s">
        <v>356</v>
      </c>
      <c r="Z62" s="359" t="s">
        <v>354</v>
      </c>
      <c r="AA62" s="368" t="s">
        <v>356</v>
      </c>
      <c r="AB62" s="368" t="s">
        <v>354</v>
      </c>
      <c r="AC62" s="139" t="s">
        <v>356</v>
      </c>
      <c r="AD62" s="139" t="s">
        <v>354</v>
      </c>
      <c r="AE62" s="46">
        <f t="shared" si="1"/>
        <v>0</v>
      </c>
      <c r="AF62" s="265"/>
      <c r="AG62" s="265"/>
      <c r="AH62" s="265"/>
      <c r="AI62" s="182"/>
      <c r="AJ62" s="80">
        <v>0.0</v>
      </c>
      <c r="AK62" s="80">
        <v>0.0</v>
      </c>
      <c r="AL62" s="80">
        <v>0.0</v>
      </c>
      <c r="AM62" s="80">
        <v>0.0</v>
      </c>
      <c r="AN62" s="80">
        <v>0.0</v>
      </c>
      <c r="AO62" s="224">
        <v>0.0</v>
      </c>
      <c r="AP62" s="80">
        <v>0.0</v>
      </c>
      <c r="AQ62" s="80">
        <v>0.0</v>
      </c>
      <c r="AR62" s="182">
        <f t="shared" si="2"/>
        <v>0</v>
      </c>
      <c r="AS62" s="182">
        <f t="shared" si="3"/>
        <v>0</v>
      </c>
    </row>
    <row r="63">
      <c r="A63" s="235">
        <v>62.0</v>
      </c>
      <c r="B63" s="201" t="s">
        <v>799</v>
      </c>
      <c r="C63" s="747" t="s">
        <v>799</v>
      </c>
      <c r="D63" s="697" t="s">
        <v>797</v>
      </c>
      <c r="E63" s="463">
        <v>40983.0</v>
      </c>
      <c r="F63" s="773">
        <v>41010.0</v>
      </c>
      <c r="G63" s="235" t="s">
        <v>67</v>
      </c>
      <c r="H63" s="235" t="s">
        <v>37</v>
      </c>
      <c r="I63" s="235" t="s">
        <v>354</v>
      </c>
      <c r="J63" s="235" t="s">
        <v>770</v>
      </c>
      <c r="K63" s="201">
        <v>1.0</v>
      </c>
      <c r="L63" s="201" t="s">
        <v>354</v>
      </c>
      <c r="M63" s="235"/>
      <c r="N63" s="235"/>
      <c r="O63" s="179" t="s">
        <v>485</v>
      </c>
      <c r="P63" s="157">
        <v>0.0</v>
      </c>
      <c r="Q63" s="157">
        <v>0.0</v>
      </c>
      <c r="R63" s="551" t="s">
        <v>354</v>
      </c>
      <c r="S63" s="551" t="s">
        <v>354</v>
      </c>
      <c r="T63" s="551" t="s">
        <v>354</v>
      </c>
      <c r="U63" s="157">
        <v>0.0</v>
      </c>
      <c r="V63" s="157">
        <v>0.0</v>
      </c>
      <c r="W63" s="551" t="s">
        <v>354</v>
      </c>
      <c r="X63" s="551" t="s">
        <v>354</v>
      </c>
      <c r="Y63" s="359" t="s">
        <v>356</v>
      </c>
      <c r="Z63" s="359" t="s">
        <v>354</v>
      </c>
      <c r="AA63" s="368" t="s">
        <v>356</v>
      </c>
      <c r="AB63" s="368" t="s">
        <v>354</v>
      </c>
      <c r="AC63" s="139" t="s">
        <v>356</v>
      </c>
      <c r="AD63" s="139" t="s">
        <v>354</v>
      </c>
      <c r="AE63" s="46">
        <f t="shared" si="1"/>
        <v>0</v>
      </c>
      <c r="AF63" s="265"/>
      <c r="AG63" s="265"/>
      <c r="AH63" s="265"/>
      <c r="AI63" s="182"/>
      <c r="AJ63" s="80">
        <v>0.0</v>
      </c>
      <c r="AK63" s="80">
        <v>0.0</v>
      </c>
      <c r="AL63" s="80">
        <v>0.0</v>
      </c>
      <c r="AM63" s="80">
        <v>0.0</v>
      </c>
      <c r="AN63" s="80">
        <v>0.0</v>
      </c>
      <c r="AO63" s="224">
        <v>0.0</v>
      </c>
      <c r="AP63" s="80">
        <v>0.0</v>
      </c>
      <c r="AQ63" s="80">
        <v>0.0</v>
      </c>
      <c r="AR63" s="182">
        <f t="shared" si="2"/>
        <v>0</v>
      </c>
      <c r="AS63" s="182">
        <f t="shared" si="3"/>
        <v>0</v>
      </c>
    </row>
    <row r="64">
      <c r="A64" s="235">
        <v>63.0</v>
      </c>
      <c r="B64" s="717" t="s">
        <v>105</v>
      </c>
      <c r="C64" s="684" t="s">
        <v>105</v>
      </c>
      <c r="D64" s="685" t="s">
        <v>522</v>
      </c>
      <c r="E64" s="463">
        <v>40983.0</v>
      </c>
      <c r="F64" s="235">
        <v>2.0</v>
      </c>
      <c r="G64" s="235" t="s">
        <v>67</v>
      </c>
      <c r="H64" s="235" t="s">
        <v>7</v>
      </c>
      <c r="I64" s="235" t="s">
        <v>354</v>
      </c>
      <c r="J64" s="235" t="s">
        <v>1611</v>
      </c>
      <c r="K64" s="158">
        <v>1.0</v>
      </c>
      <c r="L64" s="158" t="s">
        <v>530</v>
      </c>
      <c r="M64" s="265"/>
      <c r="N64" s="265"/>
      <c r="O64" s="158" t="s">
        <v>529</v>
      </c>
      <c r="P64" s="154">
        <v>32.9530173158212</v>
      </c>
      <c r="Q64" s="157">
        <v>0.0</v>
      </c>
      <c r="R64" s="551" t="s">
        <v>354</v>
      </c>
      <c r="S64" s="551" t="s">
        <v>354</v>
      </c>
      <c r="T64" s="551" t="s">
        <v>354</v>
      </c>
      <c r="U64" s="157">
        <v>0.0</v>
      </c>
      <c r="V64" s="157">
        <v>0.0</v>
      </c>
      <c r="W64" s="551" t="s">
        <v>354</v>
      </c>
      <c r="X64" s="551" t="s">
        <v>354</v>
      </c>
      <c r="Y64" s="355" t="s">
        <v>365</v>
      </c>
      <c r="Z64" s="143" t="s">
        <v>358</v>
      </c>
      <c r="AA64" s="356" t="s">
        <v>365</v>
      </c>
      <c r="AB64" s="143" t="s">
        <v>358</v>
      </c>
      <c r="AC64" s="144" t="s">
        <v>365</v>
      </c>
      <c r="AD64" s="143" t="s">
        <v>358</v>
      </c>
      <c r="AE64" s="357">
        <f t="shared" si="1"/>
        <v>4</v>
      </c>
      <c r="AF64" s="265"/>
      <c r="AG64" s="265"/>
      <c r="AH64" s="265"/>
      <c r="AI64" s="182"/>
      <c r="AJ64" s="80">
        <v>0.0</v>
      </c>
      <c r="AK64" s="80">
        <v>0.0</v>
      </c>
      <c r="AL64" s="224">
        <v>3.0</v>
      </c>
      <c r="AM64" s="80">
        <v>0.0</v>
      </c>
      <c r="AN64" s="80">
        <v>0.0</v>
      </c>
      <c r="AO64" s="224">
        <v>0.0</v>
      </c>
      <c r="AP64" s="80">
        <v>0.0</v>
      </c>
      <c r="AQ64" s="80">
        <v>0.0</v>
      </c>
      <c r="AR64" s="358">
        <f t="shared" si="2"/>
        <v>3</v>
      </c>
      <c r="AS64" s="358">
        <f t="shared" si="3"/>
        <v>1</v>
      </c>
    </row>
    <row r="65">
      <c r="A65" s="235">
        <v>64.0</v>
      </c>
      <c r="B65" s="717" t="s">
        <v>236</v>
      </c>
      <c r="C65" s="684" t="s">
        <v>234</v>
      </c>
      <c r="D65" s="685" t="s">
        <v>1625</v>
      </c>
      <c r="E65" s="463">
        <v>40983.0</v>
      </c>
      <c r="F65" s="235">
        <v>3.0</v>
      </c>
      <c r="G65" s="235" t="s">
        <v>67</v>
      </c>
      <c r="H65" s="235" t="s">
        <v>7</v>
      </c>
      <c r="I65" s="235" t="s">
        <v>354</v>
      </c>
      <c r="J65" s="235" t="s">
        <v>1611</v>
      </c>
      <c r="K65" s="158">
        <v>0.0</v>
      </c>
      <c r="L65" s="158" t="s">
        <v>832</v>
      </c>
      <c r="M65" s="265"/>
      <c r="N65" s="265"/>
      <c r="O65" s="158" t="s">
        <v>556</v>
      </c>
      <c r="P65" s="157">
        <v>0.0</v>
      </c>
      <c r="Q65" s="157">
        <v>0.0</v>
      </c>
      <c r="R65" s="551" t="s">
        <v>354</v>
      </c>
      <c r="S65" s="551" t="s">
        <v>354</v>
      </c>
      <c r="T65" s="551" t="s">
        <v>354</v>
      </c>
      <c r="U65" s="157">
        <v>0.0</v>
      </c>
      <c r="V65" s="157">
        <v>0.0</v>
      </c>
      <c r="W65" s="551" t="s">
        <v>354</v>
      </c>
      <c r="X65" s="551" t="s">
        <v>354</v>
      </c>
      <c r="Y65" s="359" t="s">
        <v>356</v>
      </c>
      <c r="Z65" s="359" t="s">
        <v>354</v>
      </c>
      <c r="AA65" s="368" t="s">
        <v>356</v>
      </c>
      <c r="AB65" s="368" t="s">
        <v>354</v>
      </c>
      <c r="AC65" s="139" t="s">
        <v>356</v>
      </c>
      <c r="AD65" s="139" t="s">
        <v>354</v>
      </c>
      <c r="AE65" s="46">
        <f t="shared" si="1"/>
        <v>0</v>
      </c>
      <c r="AF65" s="265"/>
      <c r="AG65" s="265"/>
      <c r="AH65" s="265"/>
      <c r="AI65" s="182"/>
      <c r="AJ65" s="80">
        <v>0.0</v>
      </c>
      <c r="AK65" s="80">
        <v>0.0</v>
      </c>
      <c r="AL65" s="80">
        <v>0.0</v>
      </c>
      <c r="AM65" s="80">
        <v>0.0</v>
      </c>
      <c r="AN65" s="80">
        <v>0.0</v>
      </c>
      <c r="AO65" s="224">
        <v>0.0</v>
      </c>
      <c r="AP65" s="80">
        <v>0.0</v>
      </c>
      <c r="AQ65" s="80">
        <v>0.0</v>
      </c>
      <c r="AR65" s="182">
        <f t="shared" si="2"/>
        <v>0</v>
      </c>
      <c r="AS65" s="182">
        <f t="shared" si="3"/>
        <v>0</v>
      </c>
    </row>
    <row r="66">
      <c r="A66" s="235">
        <v>65.0</v>
      </c>
      <c r="B66" s="690" t="s">
        <v>253</v>
      </c>
      <c r="C66" s="715" t="s">
        <v>881</v>
      </c>
      <c r="D66" s="711" t="s">
        <v>882</v>
      </c>
      <c r="E66" s="463">
        <v>40983.0</v>
      </c>
      <c r="F66" s="235">
        <v>3.0</v>
      </c>
      <c r="G66" s="235" t="s">
        <v>67</v>
      </c>
      <c r="H66" s="235" t="s">
        <v>7</v>
      </c>
      <c r="I66" s="235" t="s">
        <v>354</v>
      </c>
      <c r="J66" s="235" t="s">
        <v>1057</v>
      </c>
      <c r="K66" s="184">
        <v>0.0</v>
      </c>
      <c r="L66" s="184" t="s">
        <v>354</v>
      </c>
      <c r="M66" s="265"/>
      <c r="N66" s="265"/>
      <c r="O66" s="184" t="s">
        <v>371</v>
      </c>
      <c r="P66" s="157">
        <v>0.0</v>
      </c>
      <c r="Q66" s="157">
        <v>0.0</v>
      </c>
      <c r="R66" s="551" t="s">
        <v>354</v>
      </c>
      <c r="S66" s="551" t="s">
        <v>354</v>
      </c>
      <c r="T66" s="551" t="s">
        <v>354</v>
      </c>
      <c r="U66" s="157">
        <v>0.0</v>
      </c>
      <c r="V66" s="157">
        <v>0.0</v>
      </c>
      <c r="W66" s="551" t="s">
        <v>354</v>
      </c>
      <c r="X66" s="551" t="s">
        <v>354</v>
      </c>
      <c r="Y66" s="359" t="s">
        <v>356</v>
      </c>
      <c r="Z66" s="359" t="s">
        <v>354</v>
      </c>
      <c r="AA66" s="392" t="s">
        <v>361</v>
      </c>
      <c r="AB66" s="392" t="s">
        <v>361</v>
      </c>
      <c r="AC66" s="43" t="s">
        <v>361</v>
      </c>
      <c r="AD66" s="43" t="s">
        <v>361</v>
      </c>
      <c r="AE66" s="46">
        <f t="shared" si="1"/>
        <v>0</v>
      </c>
      <c r="AF66" s="265"/>
      <c r="AG66" s="265"/>
      <c r="AH66" s="265"/>
      <c r="AI66" s="182"/>
      <c r="AJ66" s="80">
        <v>0.0</v>
      </c>
      <c r="AK66" s="80">
        <v>0.0</v>
      </c>
      <c r="AL66" s="80">
        <v>0.0</v>
      </c>
      <c r="AM66" s="80">
        <v>0.0</v>
      </c>
      <c r="AN66" s="80">
        <v>0.0</v>
      </c>
      <c r="AO66" s="224">
        <v>0.0</v>
      </c>
      <c r="AP66" s="80">
        <v>0.0</v>
      </c>
      <c r="AQ66" s="80">
        <v>0.0</v>
      </c>
      <c r="AR66" s="182">
        <f t="shared" si="2"/>
        <v>0</v>
      </c>
      <c r="AS66" s="182">
        <f t="shared" si="3"/>
        <v>0</v>
      </c>
    </row>
    <row r="67">
      <c r="A67" s="235">
        <v>66.0</v>
      </c>
      <c r="B67" s="690" t="s">
        <v>951</v>
      </c>
      <c r="C67" s="715" t="s">
        <v>947</v>
      </c>
      <c r="D67" s="687" t="s">
        <v>1665</v>
      </c>
      <c r="E67" s="463">
        <v>40983.0</v>
      </c>
      <c r="F67" s="772">
        <v>42470.0</v>
      </c>
      <c r="G67" s="235" t="s">
        <v>67</v>
      </c>
      <c r="H67" s="235" t="s">
        <v>7</v>
      </c>
      <c r="I67" s="235" t="s">
        <v>354</v>
      </c>
      <c r="J67" s="235" t="s">
        <v>1057</v>
      </c>
      <c r="K67" s="184">
        <v>0.0</v>
      </c>
      <c r="L67" s="184" t="s">
        <v>354</v>
      </c>
      <c r="M67" s="265"/>
      <c r="N67" s="265"/>
      <c r="O67" s="184" t="s">
        <v>371</v>
      </c>
      <c r="P67" s="154">
        <v>29.9522924793096</v>
      </c>
      <c r="Q67" s="157">
        <v>0.0</v>
      </c>
      <c r="R67" s="551" t="s">
        <v>354</v>
      </c>
      <c r="S67" s="551" t="s">
        <v>354</v>
      </c>
      <c r="T67" s="551" t="s">
        <v>354</v>
      </c>
      <c r="U67" s="157">
        <v>0.0</v>
      </c>
      <c r="V67" s="157">
        <v>0.0</v>
      </c>
      <c r="W67" s="551" t="s">
        <v>354</v>
      </c>
      <c r="X67" s="551" t="s">
        <v>354</v>
      </c>
      <c r="Y67" s="355" t="s">
        <v>365</v>
      </c>
      <c r="Z67" s="615" t="s">
        <v>1945</v>
      </c>
      <c r="AA67" s="356" t="s">
        <v>365</v>
      </c>
      <c r="AB67" s="40" t="s">
        <v>357</v>
      </c>
      <c r="AC67" s="144" t="s">
        <v>365</v>
      </c>
      <c r="AD67" s="143" t="s">
        <v>358</v>
      </c>
      <c r="AE67" s="357">
        <f t="shared" si="1"/>
        <v>4</v>
      </c>
      <c r="AF67" s="265"/>
      <c r="AG67" s="265"/>
      <c r="AH67" s="265"/>
      <c r="AI67" s="182"/>
      <c r="AJ67" s="80">
        <v>0.0</v>
      </c>
      <c r="AK67" s="80">
        <v>0.0</v>
      </c>
      <c r="AL67" s="224">
        <v>2.0</v>
      </c>
      <c r="AM67" s="80">
        <v>0.0</v>
      </c>
      <c r="AN67" s="80">
        <v>0.0</v>
      </c>
      <c r="AO67" s="224">
        <v>2.0</v>
      </c>
      <c r="AP67" s="80">
        <v>0.0</v>
      </c>
      <c r="AQ67" s="80">
        <v>0.0</v>
      </c>
      <c r="AR67" s="358">
        <f t="shared" si="2"/>
        <v>4</v>
      </c>
      <c r="AS67" s="358">
        <f t="shared" si="3"/>
        <v>2</v>
      </c>
    </row>
    <row r="68">
      <c r="A68" s="235">
        <v>67.0</v>
      </c>
      <c r="B68" s="717" t="s">
        <v>671</v>
      </c>
      <c r="C68" s="710" t="s">
        <v>666</v>
      </c>
      <c r="D68" s="692" t="s">
        <v>667</v>
      </c>
      <c r="E68" s="463">
        <v>40983.0</v>
      </c>
      <c r="F68" s="772">
        <v>42470.0</v>
      </c>
      <c r="G68" s="235" t="s">
        <v>8</v>
      </c>
      <c r="H68" s="235" t="s">
        <v>433</v>
      </c>
      <c r="I68" s="235" t="s">
        <v>171</v>
      </c>
      <c r="J68" s="235" t="s">
        <v>354</v>
      </c>
      <c r="K68" s="158">
        <v>3.0</v>
      </c>
      <c r="L68" s="158" t="s">
        <v>670</v>
      </c>
      <c r="M68" s="265"/>
      <c r="N68" s="265"/>
      <c r="O68" s="158" t="s">
        <v>600</v>
      </c>
      <c r="P68" s="154">
        <v>33.4653525377292</v>
      </c>
      <c r="Q68" s="157">
        <v>0.0</v>
      </c>
      <c r="R68" s="551" t="s">
        <v>354</v>
      </c>
      <c r="S68" s="551" t="s">
        <v>354</v>
      </c>
      <c r="T68" s="551" t="s">
        <v>354</v>
      </c>
      <c r="U68" s="157">
        <v>0.0</v>
      </c>
      <c r="V68" s="157">
        <v>0.0</v>
      </c>
      <c r="W68" s="551" t="s">
        <v>354</v>
      </c>
      <c r="X68" s="551" t="s">
        <v>354</v>
      </c>
      <c r="Y68" s="355" t="s">
        <v>365</v>
      </c>
      <c r="Z68" s="143" t="s">
        <v>358</v>
      </c>
      <c r="AA68" s="392" t="s">
        <v>361</v>
      </c>
      <c r="AB68" s="392" t="s">
        <v>361</v>
      </c>
      <c r="AC68" s="144" t="s">
        <v>365</v>
      </c>
      <c r="AD68" s="731" t="s">
        <v>358</v>
      </c>
      <c r="AE68" s="357">
        <f t="shared" si="1"/>
        <v>3</v>
      </c>
      <c r="AF68" s="265"/>
      <c r="AG68" s="265"/>
      <c r="AH68" s="265"/>
      <c r="AI68" s="182"/>
      <c r="AJ68" s="80">
        <v>0.0</v>
      </c>
      <c r="AK68" s="80">
        <v>0.0</v>
      </c>
      <c r="AL68" s="224">
        <v>2.0</v>
      </c>
      <c r="AM68" s="80">
        <v>0.0</v>
      </c>
      <c r="AN68" s="80">
        <v>0.0</v>
      </c>
      <c r="AO68" s="224">
        <v>0.0</v>
      </c>
      <c r="AP68" s="80">
        <v>0.0</v>
      </c>
      <c r="AQ68" s="80">
        <v>0.0</v>
      </c>
      <c r="AR68" s="358">
        <f t="shared" si="2"/>
        <v>2</v>
      </c>
      <c r="AS68" s="358">
        <f t="shared" si="3"/>
        <v>1</v>
      </c>
    </row>
    <row r="69">
      <c r="A69" s="235">
        <v>68.0</v>
      </c>
      <c r="B69" s="717" t="s">
        <v>244</v>
      </c>
      <c r="C69" s="684" t="s">
        <v>244</v>
      </c>
      <c r="D69" s="692" t="s">
        <v>856</v>
      </c>
      <c r="E69" s="463">
        <v>40983.0</v>
      </c>
      <c r="F69" s="235">
        <v>3.0</v>
      </c>
      <c r="G69" s="235" t="s">
        <v>67</v>
      </c>
      <c r="H69" s="235" t="s">
        <v>7</v>
      </c>
      <c r="I69" s="235" t="s">
        <v>354</v>
      </c>
      <c r="J69" s="235" t="s">
        <v>1057</v>
      </c>
      <c r="K69" s="158">
        <v>3.0</v>
      </c>
      <c r="L69" s="158" t="s">
        <v>862</v>
      </c>
      <c r="M69" s="265"/>
      <c r="N69" s="265"/>
      <c r="O69" s="158" t="s">
        <v>600</v>
      </c>
      <c r="P69" s="157">
        <v>0.0</v>
      </c>
      <c r="Q69" s="157">
        <v>0.0</v>
      </c>
      <c r="R69" s="551" t="s">
        <v>354</v>
      </c>
      <c r="S69" s="551" t="s">
        <v>354</v>
      </c>
      <c r="T69" s="551" t="s">
        <v>354</v>
      </c>
      <c r="U69" s="157">
        <v>0.0</v>
      </c>
      <c r="V69" s="157">
        <v>0.0</v>
      </c>
      <c r="W69" s="551" t="s">
        <v>354</v>
      </c>
      <c r="X69" s="551" t="s">
        <v>354</v>
      </c>
      <c r="Y69" s="359" t="s">
        <v>356</v>
      </c>
      <c r="Z69" s="359" t="s">
        <v>354</v>
      </c>
      <c r="AA69" s="368" t="s">
        <v>356</v>
      </c>
      <c r="AB69" s="368" t="s">
        <v>354</v>
      </c>
      <c r="AC69" s="139" t="s">
        <v>356</v>
      </c>
      <c r="AD69" s="139" t="s">
        <v>354</v>
      </c>
      <c r="AE69" s="46">
        <f t="shared" si="1"/>
        <v>0</v>
      </c>
      <c r="AF69" s="265"/>
      <c r="AG69" s="265"/>
      <c r="AH69" s="265"/>
      <c r="AI69" s="182"/>
      <c r="AJ69" s="80">
        <v>0.0</v>
      </c>
      <c r="AK69" s="80">
        <v>0.0</v>
      </c>
      <c r="AL69" s="80">
        <v>0.0</v>
      </c>
      <c r="AM69" s="80">
        <v>0.0</v>
      </c>
      <c r="AN69" s="80">
        <v>0.0</v>
      </c>
      <c r="AO69" s="224">
        <v>0.0</v>
      </c>
      <c r="AP69" s="80">
        <v>0.0</v>
      </c>
      <c r="AQ69" s="80">
        <v>0.0</v>
      </c>
      <c r="AR69" s="182">
        <f t="shared" si="2"/>
        <v>0</v>
      </c>
      <c r="AS69" s="182">
        <f t="shared" si="3"/>
        <v>0</v>
      </c>
    </row>
    <row r="70">
      <c r="A70" s="235">
        <v>69.0</v>
      </c>
      <c r="B70" s="235">
        <v>3158.0</v>
      </c>
      <c r="C70" s="63" t="s">
        <v>1918</v>
      </c>
      <c r="D70" s="482" t="s">
        <v>1918</v>
      </c>
      <c r="E70" s="463">
        <v>40983.0</v>
      </c>
      <c r="F70" s="772">
        <v>42472.0</v>
      </c>
      <c r="G70" s="235" t="s">
        <v>8</v>
      </c>
      <c r="H70" s="235" t="s">
        <v>433</v>
      </c>
      <c r="I70" s="235" t="s">
        <v>354</v>
      </c>
      <c r="J70" s="235" t="s">
        <v>354</v>
      </c>
      <c r="K70" s="235">
        <v>0.0</v>
      </c>
      <c r="L70" s="235"/>
      <c r="M70" s="235" t="s">
        <v>354</v>
      </c>
      <c r="N70" s="235" t="s">
        <v>354</v>
      </c>
      <c r="O70" s="235" t="s">
        <v>354</v>
      </c>
      <c r="P70" s="154">
        <v>31.0947843495546</v>
      </c>
      <c r="Q70" s="157">
        <v>0.0</v>
      </c>
      <c r="R70" s="551" t="s">
        <v>354</v>
      </c>
      <c r="S70" s="551" t="s">
        <v>354</v>
      </c>
      <c r="T70" s="551" t="s">
        <v>354</v>
      </c>
      <c r="U70" s="157">
        <v>0.0</v>
      </c>
      <c r="V70" s="157">
        <v>0.0</v>
      </c>
      <c r="W70" s="551" t="s">
        <v>354</v>
      </c>
      <c r="X70" s="551" t="s">
        <v>354</v>
      </c>
      <c r="Y70" s="355" t="s">
        <v>365</v>
      </c>
      <c r="Z70" s="90" t="s">
        <v>413</v>
      </c>
      <c r="AA70" s="356" t="s">
        <v>365</v>
      </c>
      <c r="AB70" s="90" t="s">
        <v>413</v>
      </c>
      <c r="AC70" s="144" t="s">
        <v>365</v>
      </c>
      <c r="AD70" s="731" t="s">
        <v>358</v>
      </c>
      <c r="AE70" s="357">
        <f t="shared" si="1"/>
        <v>4</v>
      </c>
      <c r="AF70" s="265"/>
      <c r="AG70" s="265"/>
      <c r="AH70" s="265"/>
      <c r="AI70" s="182"/>
      <c r="AJ70" s="80">
        <v>0.0</v>
      </c>
      <c r="AK70" s="80">
        <v>0.0</v>
      </c>
      <c r="AL70" s="224">
        <v>1.0</v>
      </c>
      <c r="AM70" s="80">
        <v>0.0</v>
      </c>
      <c r="AN70" s="224">
        <v>2.0</v>
      </c>
      <c r="AO70" s="224">
        <v>0.0</v>
      </c>
      <c r="AP70" s="80">
        <v>0.0</v>
      </c>
      <c r="AQ70" s="80">
        <v>0.0</v>
      </c>
      <c r="AR70" s="358">
        <f t="shared" si="2"/>
        <v>3</v>
      </c>
      <c r="AS70" s="358">
        <f t="shared" si="3"/>
        <v>2</v>
      </c>
    </row>
    <row r="71">
      <c r="A71" s="235">
        <v>70.0</v>
      </c>
      <c r="B71" s="690">
        <v>9089.0</v>
      </c>
      <c r="C71" s="714" t="s">
        <v>101</v>
      </c>
      <c r="D71" s="716" t="s">
        <v>518</v>
      </c>
      <c r="E71" s="463">
        <v>40983.0</v>
      </c>
      <c r="F71" s="235">
        <v>2.0</v>
      </c>
      <c r="G71" s="235" t="s">
        <v>8</v>
      </c>
      <c r="H71" s="235" t="s">
        <v>7</v>
      </c>
      <c r="I71" s="235" t="s">
        <v>354</v>
      </c>
      <c r="J71" s="235" t="s">
        <v>354</v>
      </c>
      <c r="K71" s="184">
        <v>0.0</v>
      </c>
      <c r="L71" s="184" t="s">
        <v>354</v>
      </c>
      <c r="M71" s="265"/>
      <c r="N71" s="265"/>
      <c r="O71" s="184" t="s">
        <v>371</v>
      </c>
      <c r="P71" s="157">
        <v>0.0</v>
      </c>
      <c r="Q71" s="157">
        <v>0.0</v>
      </c>
      <c r="R71" s="551" t="s">
        <v>354</v>
      </c>
      <c r="S71" s="551" t="s">
        <v>354</v>
      </c>
      <c r="T71" s="551" t="s">
        <v>354</v>
      </c>
      <c r="U71" s="157">
        <v>0.0</v>
      </c>
      <c r="V71" s="157">
        <v>0.0</v>
      </c>
      <c r="W71" s="551" t="s">
        <v>354</v>
      </c>
      <c r="X71" s="551" t="s">
        <v>354</v>
      </c>
      <c r="Y71" s="359" t="s">
        <v>356</v>
      </c>
      <c r="Z71" s="359" t="s">
        <v>354</v>
      </c>
      <c r="AA71" s="356" t="s">
        <v>365</v>
      </c>
      <c r="AB71" s="40" t="s">
        <v>357</v>
      </c>
      <c r="AC71" s="144" t="s">
        <v>365</v>
      </c>
      <c r="AD71" s="102" t="s">
        <v>357</v>
      </c>
      <c r="AE71" s="357">
        <f t="shared" si="1"/>
        <v>2</v>
      </c>
      <c r="AF71" s="265"/>
      <c r="AG71" s="265"/>
      <c r="AH71" s="265"/>
      <c r="AI71" s="182"/>
      <c r="AJ71" s="80">
        <v>0.0</v>
      </c>
      <c r="AK71" s="80">
        <v>0.0</v>
      </c>
      <c r="AL71" s="80">
        <v>0.0</v>
      </c>
      <c r="AM71" s="80">
        <v>0.0</v>
      </c>
      <c r="AN71" s="80">
        <v>0.0</v>
      </c>
      <c r="AO71" s="224">
        <v>2.0</v>
      </c>
      <c r="AP71" s="80">
        <v>0.0</v>
      </c>
      <c r="AQ71" s="80">
        <v>0.0</v>
      </c>
      <c r="AR71" s="358">
        <f t="shared" si="2"/>
        <v>2</v>
      </c>
      <c r="AS71" s="358">
        <f t="shared" si="3"/>
        <v>1</v>
      </c>
    </row>
    <row r="72">
      <c r="A72" s="235">
        <v>71.0</v>
      </c>
      <c r="B72" s="717" t="s">
        <v>682</v>
      </c>
      <c r="C72" s="710" t="s">
        <v>675</v>
      </c>
      <c r="D72" s="685" t="s">
        <v>676</v>
      </c>
      <c r="E72" s="463">
        <v>40983.0</v>
      </c>
      <c r="F72" s="235">
        <v>3.0</v>
      </c>
      <c r="G72" s="235" t="s">
        <v>8</v>
      </c>
      <c r="H72" s="235" t="s">
        <v>7</v>
      </c>
      <c r="I72" s="235" t="s">
        <v>354</v>
      </c>
      <c r="J72" s="235" t="s">
        <v>354</v>
      </c>
      <c r="K72" s="158">
        <v>1.0</v>
      </c>
      <c r="L72" s="158" t="s">
        <v>681</v>
      </c>
      <c r="M72" s="265"/>
      <c r="N72" s="265"/>
      <c r="O72" s="158" t="s">
        <v>455</v>
      </c>
      <c r="P72" s="157">
        <v>0.0</v>
      </c>
      <c r="Q72" s="157">
        <v>0.0</v>
      </c>
      <c r="R72" s="551" t="s">
        <v>354</v>
      </c>
      <c r="S72" s="551" t="s">
        <v>354</v>
      </c>
      <c r="T72" s="551" t="s">
        <v>354</v>
      </c>
      <c r="U72" s="157">
        <v>0.0</v>
      </c>
      <c r="V72" s="157">
        <v>0.0</v>
      </c>
      <c r="W72" s="551" t="s">
        <v>354</v>
      </c>
      <c r="X72" s="551" t="s">
        <v>354</v>
      </c>
      <c r="Y72" s="359" t="s">
        <v>356</v>
      </c>
      <c r="Z72" s="359" t="s">
        <v>354</v>
      </c>
      <c r="AA72" s="368" t="s">
        <v>356</v>
      </c>
      <c r="AB72" s="368" t="s">
        <v>354</v>
      </c>
      <c r="AC72" s="139" t="s">
        <v>356</v>
      </c>
      <c r="AD72" s="139" t="s">
        <v>354</v>
      </c>
      <c r="AE72" s="46">
        <f t="shared" si="1"/>
        <v>0</v>
      </c>
      <c r="AF72" s="265"/>
      <c r="AG72" s="265"/>
      <c r="AH72" s="265"/>
      <c r="AI72" s="182"/>
      <c r="AJ72" s="80">
        <v>0.0</v>
      </c>
      <c r="AK72" s="80">
        <v>0.0</v>
      </c>
      <c r="AL72" s="80">
        <v>0.0</v>
      </c>
      <c r="AM72" s="80">
        <v>0.0</v>
      </c>
      <c r="AN72" s="80">
        <v>0.0</v>
      </c>
      <c r="AO72" s="224">
        <v>0.0</v>
      </c>
      <c r="AP72" s="80">
        <v>0.0</v>
      </c>
      <c r="AQ72" s="80">
        <v>0.0</v>
      </c>
      <c r="AR72" s="182">
        <f t="shared" si="2"/>
        <v>0</v>
      </c>
      <c r="AS72" s="182">
        <f t="shared" si="3"/>
        <v>0</v>
      </c>
    </row>
    <row r="73">
      <c r="A73" s="235">
        <v>72.0</v>
      </c>
      <c r="B73" s="717" t="s">
        <v>204</v>
      </c>
      <c r="C73" s="717" t="s">
        <v>204</v>
      </c>
      <c r="D73" s="685" t="s">
        <v>725</v>
      </c>
      <c r="E73" s="463">
        <v>40983.0</v>
      </c>
      <c r="F73" s="235">
        <v>3.0</v>
      </c>
      <c r="G73" s="235" t="s">
        <v>67</v>
      </c>
      <c r="H73" s="235" t="s">
        <v>7</v>
      </c>
      <c r="I73" s="235" t="s">
        <v>354</v>
      </c>
      <c r="J73" s="235" t="s">
        <v>1611</v>
      </c>
      <c r="K73" s="158">
        <v>3.0</v>
      </c>
      <c r="L73" s="158" t="s">
        <v>733</v>
      </c>
      <c r="M73" s="265"/>
      <c r="N73" s="265"/>
      <c r="O73" s="158" t="s">
        <v>600</v>
      </c>
      <c r="P73" s="157">
        <v>0.0</v>
      </c>
      <c r="Q73" s="157">
        <v>0.0</v>
      </c>
      <c r="R73" s="551" t="s">
        <v>354</v>
      </c>
      <c r="S73" s="551" t="s">
        <v>354</v>
      </c>
      <c r="T73" s="551" t="s">
        <v>354</v>
      </c>
      <c r="U73" s="157">
        <v>0.0</v>
      </c>
      <c r="V73" s="157">
        <v>0.0</v>
      </c>
      <c r="W73" s="551" t="s">
        <v>354</v>
      </c>
      <c r="X73" s="551" t="s">
        <v>354</v>
      </c>
      <c r="Y73" s="359" t="s">
        <v>356</v>
      </c>
      <c r="Z73" s="359" t="s">
        <v>354</v>
      </c>
      <c r="AA73" s="368" t="s">
        <v>356</v>
      </c>
      <c r="AB73" s="368" t="s">
        <v>354</v>
      </c>
      <c r="AC73" s="139" t="s">
        <v>356</v>
      </c>
      <c r="AD73" s="139" t="s">
        <v>354</v>
      </c>
      <c r="AE73" s="46">
        <f t="shared" si="1"/>
        <v>0</v>
      </c>
      <c r="AF73" s="265"/>
      <c r="AG73" s="265"/>
      <c r="AH73" s="265"/>
      <c r="AI73" s="182"/>
      <c r="AJ73" s="80">
        <v>0.0</v>
      </c>
      <c r="AK73" s="80">
        <v>0.0</v>
      </c>
      <c r="AL73" s="80">
        <v>0.0</v>
      </c>
      <c r="AM73" s="80">
        <v>0.0</v>
      </c>
      <c r="AN73" s="80">
        <v>0.0</v>
      </c>
      <c r="AO73" s="224">
        <v>0.0</v>
      </c>
      <c r="AP73" s="80">
        <v>0.0</v>
      </c>
      <c r="AQ73" s="80">
        <v>0.0</v>
      </c>
      <c r="AR73" s="182">
        <f t="shared" si="2"/>
        <v>0</v>
      </c>
      <c r="AS73" s="182">
        <f t="shared" si="3"/>
        <v>0</v>
      </c>
    </row>
    <row r="74">
      <c r="A74" s="235">
        <v>73.0</v>
      </c>
      <c r="B74" s="690" t="s">
        <v>29</v>
      </c>
      <c r="C74" s="714" t="s">
        <v>29</v>
      </c>
      <c r="D74" s="687" t="s">
        <v>401</v>
      </c>
      <c r="E74" s="463">
        <v>40983.0</v>
      </c>
      <c r="F74" s="235">
        <v>1.0</v>
      </c>
      <c r="G74" s="235" t="s">
        <v>8</v>
      </c>
      <c r="H74" s="235" t="s">
        <v>7</v>
      </c>
      <c r="I74" s="235" t="s">
        <v>354</v>
      </c>
      <c r="J74" s="235" t="s">
        <v>354</v>
      </c>
      <c r="K74" s="184">
        <v>0.0</v>
      </c>
      <c r="L74" s="184" t="s">
        <v>354</v>
      </c>
      <c r="M74" s="265"/>
      <c r="N74" s="265"/>
      <c r="O74" s="184" t="s">
        <v>371</v>
      </c>
      <c r="P74" s="157">
        <v>0.0</v>
      </c>
      <c r="Q74" s="157">
        <v>0.0</v>
      </c>
      <c r="R74" s="551" t="s">
        <v>354</v>
      </c>
      <c r="S74" s="551" t="s">
        <v>354</v>
      </c>
      <c r="T74" s="551" t="s">
        <v>354</v>
      </c>
      <c r="U74" s="157">
        <v>0.0</v>
      </c>
      <c r="V74" s="157">
        <v>0.0</v>
      </c>
      <c r="W74" s="551" t="s">
        <v>354</v>
      </c>
      <c r="X74" s="551" t="s">
        <v>354</v>
      </c>
      <c r="Y74" s="359" t="s">
        <v>356</v>
      </c>
      <c r="Z74" s="359" t="s">
        <v>354</v>
      </c>
      <c r="AA74" s="368" t="s">
        <v>356</v>
      </c>
      <c r="AB74" s="368" t="s">
        <v>354</v>
      </c>
      <c r="AC74" s="43" t="s">
        <v>361</v>
      </c>
      <c r="AD74" s="387" t="s">
        <v>1021</v>
      </c>
      <c r="AE74" s="46">
        <f t="shared" si="1"/>
        <v>0</v>
      </c>
      <c r="AF74" s="265"/>
      <c r="AG74" s="265"/>
      <c r="AH74" s="265"/>
      <c r="AI74" s="182"/>
      <c r="AJ74" s="80">
        <v>0.0</v>
      </c>
      <c r="AK74" s="80">
        <v>0.0</v>
      </c>
      <c r="AL74" s="80">
        <v>0.0</v>
      </c>
      <c r="AM74" s="80">
        <v>0.0</v>
      </c>
      <c r="AN74" s="80">
        <v>0.0</v>
      </c>
      <c r="AO74" s="224">
        <v>0.0</v>
      </c>
      <c r="AP74" s="80">
        <v>0.0</v>
      </c>
      <c r="AQ74" s="80">
        <v>0.0</v>
      </c>
      <c r="AR74" s="182">
        <f t="shared" si="2"/>
        <v>0</v>
      </c>
      <c r="AS74" s="182">
        <f t="shared" si="3"/>
        <v>0</v>
      </c>
    </row>
    <row r="75">
      <c r="A75" s="235">
        <v>74.0</v>
      </c>
      <c r="B75" s="717" t="s">
        <v>787</v>
      </c>
      <c r="C75" s="710" t="s">
        <v>1782</v>
      </c>
      <c r="D75" s="685" t="s">
        <v>783</v>
      </c>
      <c r="E75" s="463">
        <v>40983.0</v>
      </c>
      <c r="F75" s="772">
        <v>42470.0</v>
      </c>
      <c r="G75" s="235" t="s">
        <v>67</v>
      </c>
      <c r="H75" s="235" t="s">
        <v>7</v>
      </c>
      <c r="I75" s="235" t="s">
        <v>222</v>
      </c>
      <c r="J75" s="235" t="s">
        <v>1611</v>
      </c>
      <c r="K75" s="158">
        <v>0.0</v>
      </c>
      <c r="L75" s="158" t="s">
        <v>785</v>
      </c>
      <c r="M75" s="265"/>
      <c r="N75" s="265"/>
      <c r="O75" s="158" t="s">
        <v>556</v>
      </c>
      <c r="P75" s="154">
        <v>32.2574991711465</v>
      </c>
      <c r="Q75" s="157">
        <v>0.0</v>
      </c>
      <c r="R75" s="551" t="s">
        <v>354</v>
      </c>
      <c r="S75" s="551" t="s">
        <v>354</v>
      </c>
      <c r="T75" s="551" t="s">
        <v>354</v>
      </c>
      <c r="U75" s="157">
        <v>0.0</v>
      </c>
      <c r="V75" s="157">
        <v>0.0</v>
      </c>
      <c r="W75" s="551" t="s">
        <v>354</v>
      </c>
      <c r="X75" s="551" t="s">
        <v>354</v>
      </c>
      <c r="Y75" s="355" t="s">
        <v>365</v>
      </c>
      <c r="Z75" s="143" t="s">
        <v>358</v>
      </c>
      <c r="AA75" s="356" t="s">
        <v>365</v>
      </c>
      <c r="AB75" s="90" t="s">
        <v>413</v>
      </c>
      <c r="AC75" s="144" t="s">
        <v>365</v>
      </c>
      <c r="AD75" s="731" t="s">
        <v>358</v>
      </c>
      <c r="AE75" s="357">
        <f t="shared" si="1"/>
        <v>4</v>
      </c>
      <c r="AF75" s="265"/>
      <c r="AG75" s="265"/>
      <c r="AH75" s="265"/>
      <c r="AI75" s="182"/>
      <c r="AJ75" s="80">
        <v>0.0</v>
      </c>
      <c r="AK75" s="80">
        <v>0.0</v>
      </c>
      <c r="AL75" s="224">
        <v>2.0</v>
      </c>
      <c r="AM75" s="80">
        <v>0.0</v>
      </c>
      <c r="AN75" s="224">
        <v>1.0</v>
      </c>
      <c r="AO75" s="224">
        <v>0.0</v>
      </c>
      <c r="AP75" s="80">
        <v>0.0</v>
      </c>
      <c r="AQ75" s="80">
        <v>0.0</v>
      </c>
      <c r="AR75" s="358">
        <f t="shared" si="2"/>
        <v>3</v>
      </c>
      <c r="AS75" s="358">
        <f t="shared" si="3"/>
        <v>2</v>
      </c>
    </row>
    <row r="76">
      <c r="A76" s="235">
        <v>75.0</v>
      </c>
      <c r="B76" s="201" t="s">
        <v>180</v>
      </c>
      <c r="C76" s="712" t="s">
        <v>180</v>
      </c>
      <c r="D76" s="713" t="s">
        <v>685</v>
      </c>
      <c r="E76" s="463">
        <v>40983.0</v>
      </c>
      <c r="F76" s="235">
        <v>3.0</v>
      </c>
      <c r="G76" s="235" t="s">
        <v>8</v>
      </c>
      <c r="H76" s="235" t="s">
        <v>7</v>
      </c>
      <c r="I76" s="235" t="s">
        <v>354</v>
      </c>
      <c r="J76" s="235" t="s">
        <v>354</v>
      </c>
      <c r="K76" s="179">
        <v>0.0</v>
      </c>
      <c r="L76" s="179" t="s">
        <v>1290</v>
      </c>
      <c r="M76" s="265"/>
      <c r="N76" s="265"/>
      <c r="O76" s="179" t="s">
        <v>690</v>
      </c>
      <c r="P76" s="154">
        <v>31.0</v>
      </c>
      <c r="Q76" s="157">
        <v>0.0</v>
      </c>
      <c r="R76" s="551" t="s">
        <v>354</v>
      </c>
      <c r="S76" s="551" t="s">
        <v>354</v>
      </c>
      <c r="T76" s="551" t="s">
        <v>354</v>
      </c>
      <c r="U76" s="157">
        <v>0.0</v>
      </c>
      <c r="V76" s="157">
        <v>0.0</v>
      </c>
      <c r="W76" s="551" t="s">
        <v>354</v>
      </c>
      <c r="X76" s="551" t="s">
        <v>354</v>
      </c>
      <c r="Y76" s="355" t="s">
        <v>365</v>
      </c>
      <c r="Z76" s="102" t="s">
        <v>357</v>
      </c>
      <c r="AA76" s="368" t="s">
        <v>356</v>
      </c>
      <c r="AB76" s="368" t="s">
        <v>354</v>
      </c>
      <c r="AC76" s="144" t="s">
        <v>365</v>
      </c>
      <c r="AD76" s="731" t="s">
        <v>358</v>
      </c>
      <c r="AE76" s="357">
        <f t="shared" si="1"/>
        <v>3</v>
      </c>
      <c r="AF76" s="265"/>
      <c r="AG76" s="265"/>
      <c r="AH76" s="265"/>
      <c r="AI76" s="182"/>
      <c r="AJ76" s="80">
        <v>0.0</v>
      </c>
      <c r="AK76" s="80">
        <v>0.0</v>
      </c>
      <c r="AL76" s="224">
        <v>1.0</v>
      </c>
      <c r="AM76" s="80">
        <v>0.0</v>
      </c>
      <c r="AN76" s="80">
        <v>0.0</v>
      </c>
      <c r="AO76" s="224">
        <v>1.0</v>
      </c>
      <c r="AP76" s="80">
        <v>0.0</v>
      </c>
      <c r="AQ76" s="80">
        <v>0.0</v>
      </c>
      <c r="AR76" s="358">
        <f t="shared" si="2"/>
        <v>2</v>
      </c>
      <c r="AS76" s="358">
        <f t="shared" si="3"/>
        <v>2</v>
      </c>
    </row>
    <row r="77">
      <c r="A77" s="235">
        <v>76.0</v>
      </c>
      <c r="B77" s="690" t="s">
        <v>42</v>
      </c>
      <c r="C77" s="184" t="s">
        <v>1672</v>
      </c>
      <c r="D77" s="687" t="s">
        <v>421</v>
      </c>
      <c r="E77" s="463">
        <v>40983.0</v>
      </c>
      <c r="F77" s="235">
        <v>1.0</v>
      </c>
      <c r="G77" s="235" t="s">
        <v>8</v>
      </c>
      <c r="H77" s="235" t="s">
        <v>7</v>
      </c>
      <c r="I77" s="235" t="s">
        <v>354</v>
      </c>
      <c r="J77" s="235" t="s">
        <v>354</v>
      </c>
      <c r="K77" s="184">
        <v>0.0</v>
      </c>
      <c r="L77" s="184" t="s">
        <v>354</v>
      </c>
      <c r="M77" s="265"/>
      <c r="N77" s="265"/>
      <c r="O77" s="184" t="s">
        <v>371</v>
      </c>
      <c r="P77" s="157">
        <v>0.0</v>
      </c>
      <c r="Q77" s="157">
        <v>0.0</v>
      </c>
      <c r="R77" s="551" t="s">
        <v>354</v>
      </c>
      <c r="S77" s="551" t="s">
        <v>354</v>
      </c>
      <c r="T77" s="551" t="s">
        <v>354</v>
      </c>
      <c r="U77" s="157">
        <v>0.0</v>
      </c>
      <c r="V77" s="157">
        <v>0.0</v>
      </c>
      <c r="W77" s="551" t="s">
        <v>354</v>
      </c>
      <c r="X77" s="551" t="s">
        <v>354</v>
      </c>
      <c r="Y77" s="359" t="s">
        <v>356</v>
      </c>
      <c r="Z77" s="359" t="s">
        <v>354</v>
      </c>
      <c r="AA77" s="368" t="s">
        <v>356</v>
      </c>
      <c r="AB77" s="368" t="s">
        <v>354</v>
      </c>
      <c r="AC77" s="43" t="s">
        <v>361</v>
      </c>
      <c r="AD77" s="387" t="s">
        <v>1021</v>
      </c>
      <c r="AE77" s="46">
        <f t="shared" si="1"/>
        <v>0</v>
      </c>
      <c r="AF77" s="265"/>
      <c r="AG77" s="265"/>
      <c r="AH77" s="265"/>
      <c r="AI77" s="182"/>
      <c r="AJ77" s="80">
        <v>0.0</v>
      </c>
      <c r="AK77" s="80">
        <v>0.0</v>
      </c>
      <c r="AL77" s="80">
        <v>0.0</v>
      </c>
      <c r="AM77" s="80">
        <v>0.0</v>
      </c>
      <c r="AN77" s="80">
        <v>0.0</v>
      </c>
      <c r="AO77" s="224">
        <v>0.0</v>
      </c>
      <c r="AP77" s="80">
        <v>0.0</v>
      </c>
      <c r="AQ77" s="80">
        <v>0.0</v>
      </c>
      <c r="AR77" s="182">
        <f t="shared" si="2"/>
        <v>0</v>
      </c>
      <c r="AS77" s="182">
        <f t="shared" si="3"/>
        <v>0</v>
      </c>
    </row>
    <row r="78">
      <c r="A78" s="235">
        <v>77.0</v>
      </c>
      <c r="B78" s="717" t="s">
        <v>583</v>
      </c>
      <c r="C78" s="710" t="s">
        <v>1425</v>
      </c>
      <c r="D78" s="692" t="s">
        <v>573</v>
      </c>
      <c r="E78" s="463">
        <v>40983.0</v>
      </c>
      <c r="F78" s="235">
        <v>3.0</v>
      </c>
      <c r="G78" s="235" t="s">
        <v>67</v>
      </c>
      <c r="H78" s="235" t="s">
        <v>7</v>
      </c>
      <c r="I78" s="235" t="s">
        <v>354</v>
      </c>
      <c r="J78" s="235" t="s">
        <v>1611</v>
      </c>
      <c r="K78" s="158">
        <v>2.0</v>
      </c>
      <c r="L78" s="158" t="s">
        <v>581</v>
      </c>
      <c r="M78" s="265"/>
      <c r="N78" s="265"/>
      <c r="O78" s="158" t="s">
        <v>580</v>
      </c>
      <c r="P78" s="157">
        <v>0.0</v>
      </c>
      <c r="Q78" s="157">
        <v>0.0</v>
      </c>
      <c r="R78" s="551" t="s">
        <v>354</v>
      </c>
      <c r="S78" s="551" t="s">
        <v>354</v>
      </c>
      <c r="T78" s="551" t="s">
        <v>354</v>
      </c>
      <c r="U78" s="157">
        <v>0.0</v>
      </c>
      <c r="V78" s="157">
        <v>0.0</v>
      </c>
      <c r="W78" s="551" t="s">
        <v>354</v>
      </c>
      <c r="X78" s="551" t="s">
        <v>354</v>
      </c>
      <c r="Y78" s="359" t="s">
        <v>356</v>
      </c>
      <c r="Z78" s="359" t="s">
        <v>354</v>
      </c>
      <c r="AA78" s="368" t="s">
        <v>356</v>
      </c>
      <c r="AB78" s="368" t="s">
        <v>354</v>
      </c>
      <c r="AC78" s="139" t="s">
        <v>356</v>
      </c>
      <c r="AD78" s="139" t="s">
        <v>354</v>
      </c>
      <c r="AE78" s="46">
        <f t="shared" si="1"/>
        <v>0</v>
      </c>
      <c r="AF78" s="265"/>
      <c r="AG78" s="265"/>
      <c r="AH78" s="265"/>
      <c r="AI78" s="182"/>
      <c r="AJ78" s="80">
        <v>0.0</v>
      </c>
      <c r="AK78" s="80">
        <v>0.0</v>
      </c>
      <c r="AL78" s="80">
        <v>0.0</v>
      </c>
      <c r="AM78" s="80">
        <v>0.0</v>
      </c>
      <c r="AN78" s="80">
        <v>0.0</v>
      </c>
      <c r="AO78" s="224">
        <v>0.0</v>
      </c>
      <c r="AP78" s="80">
        <v>0.0</v>
      </c>
      <c r="AQ78" s="80">
        <v>0.0</v>
      </c>
      <c r="AR78" s="182">
        <f t="shared" si="2"/>
        <v>0</v>
      </c>
      <c r="AS78" s="182">
        <f t="shared" si="3"/>
        <v>0</v>
      </c>
    </row>
    <row r="79">
      <c r="A79" s="235">
        <v>78.0</v>
      </c>
      <c r="B79" s="717" t="s">
        <v>24</v>
      </c>
      <c r="C79" s="684" t="s">
        <v>24</v>
      </c>
      <c r="D79" s="692" t="s">
        <v>391</v>
      </c>
      <c r="E79" s="463">
        <v>40983.0</v>
      </c>
      <c r="F79" s="235">
        <v>1.0</v>
      </c>
      <c r="G79" s="235" t="s">
        <v>8</v>
      </c>
      <c r="H79" s="235" t="s">
        <v>7</v>
      </c>
      <c r="I79" s="235" t="s">
        <v>354</v>
      </c>
      <c r="J79" s="235" t="s">
        <v>354</v>
      </c>
      <c r="K79" s="158">
        <v>2.0</v>
      </c>
      <c r="L79" s="158" t="s">
        <v>1730</v>
      </c>
      <c r="M79" s="265"/>
      <c r="N79" s="265"/>
      <c r="O79" s="158" t="s">
        <v>398</v>
      </c>
      <c r="P79" s="157">
        <v>0.0</v>
      </c>
      <c r="Q79" s="157">
        <v>0.0</v>
      </c>
      <c r="R79" s="551" t="s">
        <v>354</v>
      </c>
      <c r="S79" s="551" t="s">
        <v>354</v>
      </c>
      <c r="T79" s="551" t="s">
        <v>354</v>
      </c>
      <c r="U79" s="157">
        <v>0.0</v>
      </c>
      <c r="V79" s="157">
        <v>0.0</v>
      </c>
      <c r="W79" s="551" t="s">
        <v>354</v>
      </c>
      <c r="X79" s="551" t="s">
        <v>354</v>
      </c>
      <c r="Y79" s="355" t="s">
        <v>365</v>
      </c>
      <c r="Z79" s="102" t="s">
        <v>357</v>
      </c>
      <c r="AA79" s="356" t="s">
        <v>365</v>
      </c>
      <c r="AB79" s="40" t="s">
        <v>357</v>
      </c>
      <c r="AC79" s="144" t="s">
        <v>365</v>
      </c>
      <c r="AD79" s="102" t="s">
        <v>357</v>
      </c>
      <c r="AE79" s="357">
        <f t="shared" si="1"/>
        <v>3</v>
      </c>
      <c r="AF79" s="265"/>
      <c r="AG79" s="265"/>
      <c r="AH79" s="265"/>
      <c r="AI79" s="46"/>
      <c r="AJ79" s="80">
        <v>0.0</v>
      </c>
      <c r="AK79" s="80">
        <v>0.0</v>
      </c>
      <c r="AL79" s="80">
        <v>0.0</v>
      </c>
      <c r="AM79" s="80">
        <v>0.0</v>
      </c>
      <c r="AN79" s="80">
        <v>0.0</v>
      </c>
      <c r="AO79" s="224">
        <v>3.0</v>
      </c>
      <c r="AP79" s="80">
        <v>0.0</v>
      </c>
      <c r="AQ79" s="80">
        <v>0.0</v>
      </c>
      <c r="AR79" s="358">
        <f t="shared" si="2"/>
        <v>3</v>
      </c>
      <c r="AS79" s="358">
        <f t="shared" si="3"/>
        <v>1</v>
      </c>
    </row>
    <row r="80">
      <c r="A80" s="235">
        <v>79.0</v>
      </c>
      <c r="B80" s="717">
        <v>3072.0</v>
      </c>
      <c r="C80" s="717" t="s">
        <v>120</v>
      </c>
      <c r="D80" s="692" t="s">
        <v>552</v>
      </c>
      <c r="E80" s="463">
        <v>40983.0</v>
      </c>
      <c r="F80" s="235">
        <v>3.0</v>
      </c>
      <c r="G80" s="235" t="s">
        <v>8</v>
      </c>
      <c r="H80" s="235" t="s">
        <v>7</v>
      </c>
      <c r="I80" s="235" t="s">
        <v>354</v>
      </c>
      <c r="J80" s="235" t="s">
        <v>354</v>
      </c>
      <c r="K80" s="158">
        <v>0.0</v>
      </c>
      <c r="L80" s="158" t="s">
        <v>555</v>
      </c>
      <c r="M80" s="265"/>
      <c r="N80" s="265"/>
      <c r="O80" s="158" t="s">
        <v>556</v>
      </c>
      <c r="P80" s="157">
        <v>0.0</v>
      </c>
      <c r="Q80" s="157">
        <v>0.0</v>
      </c>
      <c r="R80" s="551" t="s">
        <v>354</v>
      </c>
      <c r="S80" s="551" t="s">
        <v>354</v>
      </c>
      <c r="T80" s="551" t="s">
        <v>354</v>
      </c>
      <c r="U80" s="157">
        <v>0.0</v>
      </c>
      <c r="V80" s="157">
        <v>0.0</v>
      </c>
      <c r="W80" s="551" t="s">
        <v>354</v>
      </c>
      <c r="X80" s="551" t="s">
        <v>354</v>
      </c>
      <c r="Y80" s="359" t="s">
        <v>356</v>
      </c>
      <c r="Z80" s="359" t="s">
        <v>354</v>
      </c>
      <c r="AA80" s="368" t="s">
        <v>356</v>
      </c>
      <c r="AB80" s="368" t="s">
        <v>354</v>
      </c>
      <c r="AC80" s="139" t="s">
        <v>356</v>
      </c>
      <c r="AD80" s="139" t="s">
        <v>354</v>
      </c>
      <c r="AE80" s="46">
        <f t="shared" si="1"/>
        <v>0</v>
      </c>
      <c r="AF80" s="265"/>
      <c r="AG80" s="265"/>
      <c r="AH80" s="265"/>
      <c r="AI80" s="46"/>
      <c r="AJ80" s="80">
        <v>0.0</v>
      </c>
      <c r="AK80" s="80">
        <v>0.0</v>
      </c>
      <c r="AL80" s="80">
        <v>0.0</v>
      </c>
      <c r="AM80" s="80">
        <v>0.0</v>
      </c>
      <c r="AN80" s="80">
        <v>0.0</v>
      </c>
      <c r="AO80" s="224">
        <v>0.0</v>
      </c>
      <c r="AP80" s="80">
        <v>0.0</v>
      </c>
      <c r="AQ80" s="80">
        <v>0.0</v>
      </c>
      <c r="AR80" s="182">
        <f t="shared" si="2"/>
        <v>0</v>
      </c>
      <c r="AS80" s="182">
        <f t="shared" si="3"/>
        <v>0</v>
      </c>
    </row>
    <row r="81">
      <c r="A81" s="235">
        <v>80.0</v>
      </c>
      <c r="B81" s="201" t="s">
        <v>165</v>
      </c>
      <c r="C81" s="712" t="s">
        <v>165</v>
      </c>
      <c r="D81" s="713" t="s">
        <v>650</v>
      </c>
      <c r="E81" s="463">
        <v>40983.0</v>
      </c>
      <c r="F81" s="235">
        <v>3.0</v>
      </c>
      <c r="G81" s="235" t="s">
        <v>8</v>
      </c>
      <c r="H81" s="235" t="s">
        <v>7</v>
      </c>
      <c r="I81" s="235" t="s">
        <v>354</v>
      </c>
      <c r="J81" s="235" t="s">
        <v>354</v>
      </c>
      <c r="K81" s="179">
        <v>0.0</v>
      </c>
      <c r="L81" s="179" t="s">
        <v>354</v>
      </c>
      <c r="M81" s="265"/>
      <c r="N81" s="265"/>
      <c r="O81" s="179" t="s">
        <v>485</v>
      </c>
      <c r="P81" s="157">
        <v>0.0</v>
      </c>
      <c r="Q81" s="157">
        <v>0.0</v>
      </c>
      <c r="R81" s="551" t="s">
        <v>354</v>
      </c>
      <c r="S81" s="551" t="s">
        <v>354</v>
      </c>
      <c r="T81" s="551" t="s">
        <v>354</v>
      </c>
      <c r="U81" s="157">
        <v>0.0</v>
      </c>
      <c r="V81" s="157">
        <v>0.0</v>
      </c>
      <c r="W81" s="551" t="s">
        <v>354</v>
      </c>
      <c r="X81" s="551" t="s">
        <v>354</v>
      </c>
      <c r="Y81" s="355" t="s">
        <v>365</v>
      </c>
      <c r="Z81" s="315" t="s">
        <v>420</v>
      </c>
      <c r="AA81" s="356" t="s">
        <v>365</v>
      </c>
      <c r="AB81" s="315" t="s">
        <v>420</v>
      </c>
      <c r="AC81" s="144" t="s">
        <v>365</v>
      </c>
      <c r="AD81" s="44" t="s">
        <v>420</v>
      </c>
      <c r="AE81" s="357">
        <f t="shared" si="1"/>
        <v>3</v>
      </c>
      <c r="AF81" s="265"/>
      <c r="AG81" s="265"/>
      <c r="AH81" s="265"/>
      <c r="AI81" s="768"/>
      <c r="AJ81" s="80">
        <v>0.0</v>
      </c>
      <c r="AK81" s="224">
        <v>3.0</v>
      </c>
      <c r="AL81" s="80">
        <v>0.0</v>
      </c>
      <c r="AM81" s="80">
        <v>0.0</v>
      </c>
      <c r="AN81" s="80">
        <v>0.0</v>
      </c>
      <c r="AO81" s="224">
        <v>0.0</v>
      </c>
      <c r="AP81" s="80">
        <v>0.0</v>
      </c>
      <c r="AQ81" s="80">
        <v>0.0</v>
      </c>
      <c r="AR81" s="358">
        <f t="shared" si="2"/>
        <v>3</v>
      </c>
      <c r="AS81" s="358">
        <f t="shared" si="3"/>
        <v>1</v>
      </c>
    </row>
    <row r="82">
      <c r="A82" s="235">
        <v>81.0</v>
      </c>
      <c r="B82" s="690" t="s">
        <v>260</v>
      </c>
      <c r="C82" s="715" t="s">
        <v>888</v>
      </c>
      <c r="D82" s="687" t="s">
        <v>889</v>
      </c>
      <c r="E82" s="463">
        <v>40983.0</v>
      </c>
      <c r="F82" s="235">
        <v>3.0</v>
      </c>
      <c r="G82" s="235" t="s">
        <v>67</v>
      </c>
      <c r="H82" s="235" t="s">
        <v>7</v>
      </c>
      <c r="I82" s="235" t="s">
        <v>354</v>
      </c>
      <c r="J82" s="235" t="s">
        <v>1057</v>
      </c>
      <c r="K82" s="184">
        <v>0.0</v>
      </c>
      <c r="L82" s="184" t="s">
        <v>354</v>
      </c>
      <c r="M82" s="265"/>
      <c r="N82" s="265"/>
      <c r="O82" s="184" t="s">
        <v>371</v>
      </c>
      <c r="P82" s="157">
        <v>0.0</v>
      </c>
      <c r="Q82" s="157">
        <v>0.0</v>
      </c>
      <c r="R82" s="551" t="s">
        <v>354</v>
      </c>
      <c r="S82" s="551" t="s">
        <v>354</v>
      </c>
      <c r="T82" s="551" t="s">
        <v>354</v>
      </c>
      <c r="U82" s="157">
        <v>0.0</v>
      </c>
      <c r="V82" s="157">
        <v>0.0</v>
      </c>
      <c r="W82" s="551" t="s">
        <v>354</v>
      </c>
      <c r="X82" s="551" t="s">
        <v>354</v>
      </c>
      <c r="Y82" s="359" t="s">
        <v>356</v>
      </c>
      <c r="Z82" s="359" t="s">
        <v>354</v>
      </c>
      <c r="AA82" s="368" t="s">
        <v>356</v>
      </c>
      <c r="AB82" s="368" t="s">
        <v>354</v>
      </c>
      <c r="AC82" s="43" t="s">
        <v>361</v>
      </c>
      <c r="AD82" s="387" t="s">
        <v>1021</v>
      </c>
      <c r="AE82" s="46">
        <f t="shared" si="1"/>
        <v>0</v>
      </c>
      <c r="AF82" s="265"/>
      <c r="AG82" s="265"/>
      <c r="AH82" s="265"/>
      <c r="AI82" s="49"/>
      <c r="AJ82" s="80">
        <v>0.0</v>
      </c>
      <c r="AK82" s="80">
        <v>0.0</v>
      </c>
      <c r="AL82" s="80">
        <v>0.0</v>
      </c>
      <c r="AM82" s="80">
        <v>0.0</v>
      </c>
      <c r="AN82" s="80">
        <v>0.0</v>
      </c>
      <c r="AO82" s="224">
        <v>0.0</v>
      </c>
      <c r="AP82" s="80">
        <v>0.0</v>
      </c>
      <c r="AQ82" s="80">
        <v>0.0</v>
      </c>
      <c r="AR82" s="182">
        <f t="shared" si="2"/>
        <v>0</v>
      </c>
      <c r="AS82" s="182">
        <f t="shared" si="3"/>
        <v>0</v>
      </c>
    </row>
    <row r="83">
      <c r="A83" s="235">
        <v>82.0</v>
      </c>
      <c r="B83" s="690" t="s">
        <v>820</v>
      </c>
      <c r="C83" s="715" t="s">
        <v>816</v>
      </c>
      <c r="D83" s="711" t="s">
        <v>817</v>
      </c>
      <c r="E83" s="463">
        <v>40983.0</v>
      </c>
      <c r="F83" s="772">
        <v>42470.0</v>
      </c>
      <c r="G83" s="235" t="s">
        <v>67</v>
      </c>
      <c r="H83" s="235" t="s">
        <v>7</v>
      </c>
      <c r="I83" s="235" t="s">
        <v>231</v>
      </c>
      <c r="J83" s="235" t="s">
        <v>1057</v>
      </c>
      <c r="K83" s="184">
        <v>0.0</v>
      </c>
      <c r="L83" s="184" t="s">
        <v>354</v>
      </c>
      <c r="M83" s="265"/>
      <c r="N83" s="265"/>
      <c r="O83" s="184" t="s">
        <v>371</v>
      </c>
      <c r="P83" s="157">
        <v>0.0</v>
      </c>
      <c r="Q83" s="157">
        <v>0.0</v>
      </c>
      <c r="R83" s="551" t="s">
        <v>354</v>
      </c>
      <c r="S83" s="551" t="s">
        <v>354</v>
      </c>
      <c r="T83" s="551" t="s">
        <v>354</v>
      </c>
      <c r="U83" s="157">
        <v>0.0</v>
      </c>
      <c r="V83" s="157">
        <v>0.0</v>
      </c>
      <c r="W83" s="551" t="s">
        <v>354</v>
      </c>
      <c r="X83" s="551" t="s">
        <v>354</v>
      </c>
      <c r="Y83" s="359" t="s">
        <v>356</v>
      </c>
      <c r="Z83" s="359" t="s">
        <v>354</v>
      </c>
      <c r="AA83" s="368" t="s">
        <v>356</v>
      </c>
      <c r="AB83" s="368" t="s">
        <v>354</v>
      </c>
      <c r="AC83" s="139" t="s">
        <v>356</v>
      </c>
      <c r="AD83" s="139" t="s">
        <v>354</v>
      </c>
      <c r="AE83" s="46">
        <f t="shared" si="1"/>
        <v>0</v>
      </c>
      <c r="AF83" s="265"/>
      <c r="AG83" s="265"/>
      <c r="AH83" s="265"/>
      <c r="AI83" s="182"/>
      <c r="AJ83" s="80">
        <v>0.0</v>
      </c>
      <c r="AK83" s="80">
        <v>0.0</v>
      </c>
      <c r="AL83" s="80">
        <v>0.0</v>
      </c>
      <c r="AM83" s="80">
        <v>0.0</v>
      </c>
      <c r="AN83" s="80">
        <v>0.0</v>
      </c>
      <c r="AO83" s="224">
        <v>0.0</v>
      </c>
      <c r="AP83" s="80">
        <v>0.0</v>
      </c>
      <c r="AQ83" s="80">
        <v>0.0</v>
      </c>
      <c r="AR83" s="182">
        <f t="shared" si="2"/>
        <v>0</v>
      </c>
      <c r="AS83" s="182">
        <f t="shared" si="3"/>
        <v>0</v>
      </c>
    </row>
    <row r="84">
      <c r="A84" s="235">
        <v>83.0</v>
      </c>
      <c r="B84" s="717" t="s">
        <v>994</v>
      </c>
      <c r="C84" s="717" t="s">
        <v>994</v>
      </c>
      <c r="D84" s="684" t="s">
        <v>991</v>
      </c>
      <c r="E84" s="463">
        <v>40983.0</v>
      </c>
      <c r="F84" s="773">
        <v>41010.0</v>
      </c>
      <c r="G84" s="235" t="s">
        <v>8</v>
      </c>
      <c r="H84" s="235" t="s">
        <v>433</v>
      </c>
      <c r="I84" s="235" t="s">
        <v>354</v>
      </c>
      <c r="J84" s="235" t="s">
        <v>354</v>
      </c>
      <c r="K84" s="158">
        <v>2.0</v>
      </c>
      <c r="L84" s="158" t="s">
        <v>993</v>
      </c>
      <c r="M84" s="265"/>
      <c r="N84" s="265"/>
      <c r="O84" s="158" t="s">
        <v>398</v>
      </c>
      <c r="P84" s="157">
        <v>0.0</v>
      </c>
      <c r="Q84" s="157">
        <v>0.0</v>
      </c>
      <c r="R84" s="551" t="s">
        <v>354</v>
      </c>
      <c r="S84" s="551" t="s">
        <v>354</v>
      </c>
      <c r="T84" s="551" t="s">
        <v>354</v>
      </c>
      <c r="U84" s="157">
        <v>0.0</v>
      </c>
      <c r="V84" s="157">
        <v>0.0</v>
      </c>
      <c r="W84" s="551" t="s">
        <v>354</v>
      </c>
      <c r="X84" s="551" t="s">
        <v>354</v>
      </c>
      <c r="Y84" s="355" t="s">
        <v>365</v>
      </c>
      <c r="Z84" s="90" t="s">
        <v>413</v>
      </c>
      <c r="AA84" s="356" t="s">
        <v>365</v>
      </c>
      <c r="AB84" s="90" t="s">
        <v>413</v>
      </c>
      <c r="AC84" s="139" t="s">
        <v>356</v>
      </c>
      <c r="AD84" s="139" t="s">
        <v>354</v>
      </c>
      <c r="AE84" s="357">
        <f t="shared" si="1"/>
        <v>2</v>
      </c>
      <c r="AF84" s="265"/>
      <c r="AG84" s="265"/>
      <c r="AH84" s="265"/>
      <c r="AI84" s="182"/>
      <c r="AJ84" s="80">
        <v>0.0</v>
      </c>
      <c r="AK84" s="80">
        <v>0.0</v>
      </c>
      <c r="AL84" s="80">
        <v>0.0</v>
      </c>
      <c r="AM84" s="80">
        <v>0.0</v>
      </c>
      <c r="AN84" s="224">
        <v>2.0</v>
      </c>
      <c r="AO84" s="224">
        <v>0.0</v>
      </c>
      <c r="AP84" s="80">
        <v>0.0</v>
      </c>
      <c r="AQ84" s="80">
        <v>0.0</v>
      </c>
      <c r="AR84" s="358">
        <f t="shared" si="2"/>
        <v>2</v>
      </c>
      <c r="AS84" s="358">
        <f t="shared" si="3"/>
        <v>1</v>
      </c>
    </row>
    <row r="85">
      <c r="A85" s="235">
        <v>84.0</v>
      </c>
      <c r="B85" s="235" t="s">
        <v>1867</v>
      </c>
      <c r="C85" s="235" t="s">
        <v>354</v>
      </c>
      <c r="D85" s="235" t="s">
        <v>354</v>
      </c>
      <c r="E85" s="463">
        <v>40983.0</v>
      </c>
      <c r="F85" s="235"/>
      <c r="G85" s="235" t="s">
        <v>354</v>
      </c>
      <c r="H85" s="235" t="s">
        <v>354</v>
      </c>
      <c r="I85" s="235" t="s">
        <v>354</v>
      </c>
      <c r="J85" s="235" t="s">
        <v>354</v>
      </c>
      <c r="K85" s="235" t="s">
        <v>354</v>
      </c>
      <c r="L85" s="235"/>
      <c r="M85" s="235" t="s">
        <v>354</v>
      </c>
      <c r="N85" s="235" t="s">
        <v>354</v>
      </c>
      <c r="O85" s="235" t="s">
        <v>354</v>
      </c>
      <c r="P85" s="157">
        <v>0.0</v>
      </c>
      <c r="Q85" s="157">
        <v>0.0</v>
      </c>
      <c r="R85" s="551" t="s">
        <v>354</v>
      </c>
      <c r="S85" s="551" t="s">
        <v>354</v>
      </c>
      <c r="T85" s="551" t="s">
        <v>354</v>
      </c>
      <c r="U85" s="157">
        <v>0.0</v>
      </c>
      <c r="V85" s="157">
        <v>0.0</v>
      </c>
      <c r="W85" s="551" t="s">
        <v>354</v>
      </c>
      <c r="X85" s="551" t="s">
        <v>354</v>
      </c>
      <c r="Y85" s="359" t="s">
        <v>356</v>
      </c>
      <c r="Z85" s="359" t="s">
        <v>354</v>
      </c>
      <c r="AA85" s="368" t="s">
        <v>356</v>
      </c>
      <c r="AB85" s="368" t="s">
        <v>354</v>
      </c>
      <c r="AC85" s="139" t="s">
        <v>356</v>
      </c>
      <c r="AD85" s="139" t="s">
        <v>354</v>
      </c>
      <c r="AE85" s="46">
        <f t="shared" si="1"/>
        <v>0</v>
      </c>
      <c r="AF85" s="265"/>
      <c r="AG85" s="265"/>
      <c r="AH85" s="265"/>
      <c r="AI85" s="182"/>
      <c r="AJ85" s="80">
        <v>0.0</v>
      </c>
      <c r="AK85" s="80">
        <v>0.0</v>
      </c>
      <c r="AL85" s="80">
        <v>0.0</v>
      </c>
      <c r="AM85" s="80">
        <v>0.0</v>
      </c>
      <c r="AN85" s="80">
        <v>0.0</v>
      </c>
      <c r="AO85" s="224">
        <v>0.0</v>
      </c>
      <c r="AP85" s="80">
        <v>0.0</v>
      </c>
      <c r="AQ85" s="80">
        <v>0.0</v>
      </c>
      <c r="AR85" s="182">
        <f t="shared" si="2"/>
        <v>0</v>
      </c>
      <c r="AS85" s="182">
        <f t="shared" si="3"/>
        <v>0</v>
      </c>
    </row>
    <row r="86">
      <c r="A86" s="235" t="s">
        <v>356</v>
      </c>
      <c r="B86" s="235" t="s">
        <v>354</v>
      </c>
      <c r="C86" s="235" t="s">
        <v>354</v>
      </c>
      <c r="D86" s="235" t="s">
        <v>354</v>
      </c>
      <c r="E86" s="235" t="s">
        <v>354</v>
      </c>
      <c r="F86" s="235" t="s">
        <v>354</v>
      </c>
      <c r="G86" s="235" t="s">
        <v>354</v>
      </c>
      <c r="H86" s="235" t="s">
        <v>354</v>
      </c>
      <c r="I86" s="235" t="s">
        <v>354</v>
      </c>
      <c r="J86" s="235" t="s">
        <v>354</v>
      </c>
      <c r="K86" s="235" t="s">
        <v>354</v>
      </c>
      <c r="L86" s="235"/>
      <c r="M86" s="235" t="s">
        <v>354</v>
      </c>
      <c r="N86" s="235" t="s">
        <v>354</v>
      </c>
      <c r="O86" s="235" t="s">
        <v>354</v>
      </c>
      <c r="P86" s="157">
        <v>0.0</v>
      </c>
      <c r="Q86" s="157">
        <v>0.0</v>
      </c>
      <c r="R86" s="551" t="s">
        <v>354</v>
      </c>
      <c r="S86" s="551" t="s">
        <v>354</v>
      </c>
      <c r="T86" s="551" t="s">
        <v>354</v>
      </c>
      <c r="U86" s="157">
        <v>0.0</v>
      </c>
      <c r="V86" s="157">
        <v>0.0</v>
      </c>
      <c r="W86" s="551" t="s">
        <v>354</v>
      </c>
      <c r="X86" s="551" t="s">
        <v>354</v>
      </c>
      <c r="Y86" s="359" t="s">
        <v>356</v>
      </c>
      <c r="Z86" s="359" t="s">
        <v>354</v>
      </c>
      <c r="AA86" s="368" t="s">
        <v>356</v>
      </c>
      <c r="AB86" s="368" t="s">
        <v>354</v>
      </c>
      <c r="AC86" s="139" t="s">
        <v>356</v>
      </c>
      <c r="AD86" s="139" t="s">
        <v>354</v>
      </c>
      <c r="AE86" s="46">
        <f t="shared" si="1"/>
        <v>0</v>
      </c>
      <c r="AF86" s="265"/>
      <c r="AG86" s="265"/>
      <c r="AH86" s="265"/>
      <c r="AI86" s="235" t="s">
        <v>1507</v>
      </c>
      <c r="AJ86" s="182">
        <f t="shared" ref="AJ86:AQ86" si="4">sum(AJ2:AJ30,AJ32:AJ60,AJ62:AJ84)</f>
        <v>2</v>
      </c>
      <c r="AK86" s="182">
        <f t="shared" si="4"/>
        <v>11</v>
      </c>
      <c r="AL86" s="182">
        <f t="shared" si="4"/>
        <v>29</v>
      </c>
      <c r="AM86" s="182">
        <f t="shared" si="4"/>
        <v>0</v>
      </c>
      <c r="AN86" s="182">
        <f t="shared" si="4"/>
        <v>39</v>
      </c>
      <c r="AO86" s="182">
        <f t="shared" si="4"/>
        <v>19</v>
      </c>
      <c r="AP86" s="182">
        <f t="shared" si="4"/>
        <v>1</v>
      </c>
      <c r="AQ86" s="182">
        <f t="shared" si="4"/>
        <v>0</v>
      </c>
      <c r="AR86" s="182">
        <f t="shared" si="2"/>
        <v>101</v>
      </c>
      <c r="AS86" s="182"/>
    </row>
    <row r="87">
      <c r="A87" s="235" t="s">
        <v>365</v>
      </c>
      <c r="B87" s="235" t="s">
        <v>354</v>
      </c>
      <c r="C87" s="235" t="s">
        <v>354</v>
      </c>
      <c r="D87" s="235" t="s">
        <v>354</v>
      </c>
      <c r="E87" s="235" t="s">
        <v>354</v>
      </c>
      <c r="F87" s="235" t="s">
        <v>354</v>
      </c>
      <c r="G87" s="235" t="s">
        <v>354</v>
      </c>
      <c r="H87" s="235" t="s">
        <v>354</v>
      </c>
      <c r="I87" s="235" t="s">
        <v>354</v>
      </c>
      <c r="J87" s="235" t="s">
        <v>354</v>
      </c>
      <c r="K87" s="235" t="s">
        <v>354</v>
      </c>
      <c r="L87" s="235"/>
      <c r="M87" s="235" t="s">
        <v>354</v>
      </c>
      <c r="N87" s="235" t="s">
        <v>354</v>
      </c>
      <c r="O87" s="235" t="s">
        <v>354</v>
      </c>
      <c r="P87" s="154">
        <v>18.2926545994094</v>
      </c>
      <c r="Q87" s="154">
        <v>26.5088535232364</v>
      </c>
      <c r="R87" s="551" t="s">
        <v>354</v>
      </c>
      <c r="S87" s="551" t="s">
        <v>354</v>
      </c>
      <c r="T87" s="551" t="s">
        <v>354</v>
      </c>
      <c r="U87" s="154">
        <v>17.0615205061898</v>
      </c>
      <c r="V87" s="140">
        <v>40.12</v>
      </c>
      <c r="W87" s="140" t="s">
        <v>365</v>
      </c>
      <c r="X87" s="551" t="s">
        <v>354</v>
      </c>
      <c r="Y87" s="355" t="s">
        <v>365</v>
      </c>
      <c r="Z87" s="774" t="s">
        <v>1400</v>
      </c>
      <c r="AA87" s="356" t="s">
        <v>365</v>
      </c>
      <c r="AB87" s="368" t="s">
        <v>1400</v>
      </c>
      <c r="AC87" s="144" t="s">
        <v>365</v>
      </c>
      <c r="AD87" s="139" t="s">
        <v>1400</v>
      </c>
      <c r="AE87" s="46">
        <f t="shared" si="1"/>
        <v>4</v>
      </c>
      <c r="AF87" s="265"/>
      <c r="AG87" s="265"/>
      <c r="AH87" s="265"/>
      <c r="AI87" s="235" t="s">
        <v>1406</v>
      </c>
      <c r="AJ87" s="380">
        <f t="shared" ref="AJ87:AQ87" si="5">AJ86/$AR86</f>
        <v>0.0198019802</v>
      </c>
      <c r="AK87" s="380">
        <f t="shared" si="5"/>
        <v>0.1089108911</v>
      </c>
      <c r="AL87" s="380">
        <f t="shared" si="5"/>
        <v>0.2871287129</v>
      </c>
      <c r="AM87" s="380">
        <f t="shared" si="5"/>
        <v>0</v>
      </c>
      <c r="AN87" s="380">
        <f t="shared" si="5"/>
        <v>0.3861386139</v>
      </c>
      <c r="AO87" s="380">
        <f t="shared" si="5"/>
        <v>0.1881188119</v>
      </c>
      <c r="AP87" s="380">
        <f t="shared" si="5"/>
        <v>0.009900990099</v>
      </c>
      <c r="AQ87" s="380">
        <f t="shared" si="5"/>
        <v>0</v>
      </c>
      <c r="AR87" s="380">
        <f t="shared" si="2"/>
        <v>1</v>
      </c>
      <c r="AS87" s="182"/>
    </row>
    <row r="88">
      <c r="A88" s="182"/>
      <c r="B88" s="182"/>
      <c r="C88" s="182"/>
      <c r="D88" s="182"/>
      <c r="E88" s="182"/>
      <c r="F88" s="182"/>
      <c r="G88" s="182"/>
      <c r="H88" s="182"/>
      <c r="I88" s="182"/>
      <c r="J88" s="182"/>
      <c r="K88" s="182"/>
      <c r="L88" s="265"/>
      <c r="M88" s="265"/>
      <c r="N88" s="265"/>
      <c r="O88" s="265"/>
      <c r="P88" s="265"/>
      <c r="Q88" s="265"/>
      <c r="R88" s="265"/>
      <c r="S88" s="265"/>
      <c r="T88" s="265"/>
      <c r="U88" s="265"/>
      <c r="V88" s="265"/>
      <c r="W88" s="265"/>
      <c r="X88" s="265"/>
      <c r="Y88" s="265"/>
      <c r="Z88" s="265"/>
      <c r="AA88" s="265"/>
      <c r="AB88" s="265"/>
      <c r="AC88" s="265"/>
      <c r="AD88" s="265"/>
      <c r="AE88" s="265"/>
      <c r="AF88" s="265"/>
      <c r="AG88" s="265"/>
      <c r="AH88" s="265"/>
      <c r="AI88" s="182"/>
      <c r="AJ88" s="80"/>
      <c r="AK88" s="80"/>
      <c r="AL88" s="80"/>
      <c r="AM88" s="80"/>
      <c r="AN88" s="80"/>
      <c r="AO88" s="224"/>
      <c r="AP88" s="80"/>
      <c r="AQ88" s="80"/>
      <c r="AR88" s="182"/>
      <c r="AS88" s="182"/>
    </row>
    <row r="89">
      <c r="A89" s="182"/>
      <c r="B89" s="182"/>
      <c r="C89" s="182"/>
      <c r="D89" s="182"/>
      <c r="E89" s="182"/>
      <c r="F89" s="182"/>
      <c r="G89" s="182"/>
      <c r="H89" s="182"/>
      <c r="I89" s="182"/>
      <c r="J89" s="182"/>
      <c r="K89" s="182"/>
      <c r="L89" s="265"/>
      <c r="M89" s="265"/>
      <c r="N89" s="265"/>
      <c r="O89" s="265"/>
      <c r="P89" s="46">
        <f>sum(countif(P2:P30,"&gt;0"),countif(P32:P60,"&gt;0"),countif(P62:P84,"&gt;0"))</f>
        <v>26</v>
      </c>
      <c r="Q89" s="265"/>
      <c r="R89" s="265"/>
      <c r="S89" s="265"/>
      <c r="T89" s="265"/>
      <c r="U89" s="265"/>
      <c r="V89" s="265"/>
      <c r="W89" s="265"/>
      <c r="X89" s="265"/>
      <c r="Y89" s="46">
        <f>sum(countif(Y2:Y30,"POS"),countif(Y32:Y60,"POS"),countif(Y62:Y84,"POS"))</f>
        <v>32</v>
      </c>
      <c r="Z89" s="46"/>
      <c r="AA89" s="46">
        <f>sum(countif(AA2:AA30,"POS"),countif(AA32:AA60,"POS"),countif(AA62:AA84,"POS"))</f>
        <v>30</v>
      </c>
      <c r="AB89" s="46"/>
      <c r="AC89" s="46">
        <f>sum(countif(AC2:AC30,"POS"),countif(AC32:AC60,"POS"),countif(AC62:AC84,"POS"))</f>
        <v>38</v>
      </c>
      <c r="AD89" s="46"/>
      <c r="AE89" s="372">
        <f>sum(countif($AE$2:$AE$30,"&gt;0"),countif($AE$32:$AE$60,"&gt;0"),countif($AE$62:$AE$84,"&gt;0"))</f>
        <v>39</v>
      </c>
      <c r="AF89" s="372">
        <f>sum(countif($AE$2:$AE$30,"&gt;1"),countif($AE$32:$AE$60,"&gt;1"),countif($AE$62:$AE$84,"&gt;1"))</f>
        <v>36</v>
      </c>
      <c r="AG89" s="372">
        <f>sum(countif($AE$2:$AE$30,"&gt;2"),countif($AE$32:$AE$60,"&gt;2"),countif($AE$62:$AE$84,"&gt;2"))</f>
        <v>30</v>
      </c>
      <c r="AH89" s="372">
        <f>sum(countif($AE$2:$AE$30,"&gt;3"),countif($AE$32:$AE$60,"&gt;3"),countif($AE$62:$AE$84,"&gt;3"))</f>
        <v>21</v>
      </c>
      <c r="AI89" s="372">
        <f>sum(countif($AS$2:$AS$30,"&gt;1"),countif($AS$32:$AS$60,"&gt;1"),countif($AS$62:$AS$84,"&gt;1"))</f>
        <v>12</v>
      </c>
      <c r="AJ89" s="224">
        <v>0.0</v>
      </c>
      <c r="AK89" s="224">
        <v>4.0</v>
      </c>
      <c r="AL89" s="224">
        <v>6.0</v>
      </c>
      <c r="AM89" s="224">
        <v>0.0</v>
      </c>
      <c r="AN89" s="224">
        <v>9.0</v>
      </c>
      <c r="AO89" s="224">
        <v>8.0</v>
      </c>
      <c r="AP89" s="224">
        <v>0.0</v>
      </c>
      <c r="AQ89" s="224">
        <v>0.0</v>
      </c>
      <c r="AR89" s="182"/>
      <c r="AS89" s="182"/>
    </row>
    <row r="90">
      <c r="A90" s="182"/>
      <c r="B90" s="182"/>
      <c r="C90" s="182"/>
      <c r="D90" s="182"/>
      <c r="E90" s="182"/>
      <c r="F90" s="182"/>
      <c r="G90" s="182"/>
      <c r="H90" s="182"/>
      <c r="I90" s="182"/>
      <c r="J90" s="182"/>
      <c r="K90" s="182"/>
      <c r="L90" s="265"/>
      <c r="M90" s="265"/>
      <c r="N90" s="265"/>
      <c r="O90" s="265"/>
      <c r="P90" s="46">
        <f>COUNT($A$2:$A$30,$A$32:$A$60,$A$62:$A$84)</f>
        <v>81</v>
      </c>
      <c r="Q90" s="265"/>
      <c r="R90" s="265"/>
      <c r="S90" s="265"/>
      <c r="T90" s="265"/>
      <c r="U90" s="265"/>
      <c r="V90" s="265"/>
      <c r="W90" s="265"/>
      <c r="X90" s="265"/>
      <c r="Y90" s="46">
        <f>COUNT($A$2:$A$30,$A$32:$A$60,$A$62:$A$84)</f>
        <v>81</v>
      </c>
      <c r="Z90" s="46"/>
      <c r="AA90" s="46">
        <f>COUNT($A$2:$A$30,$A$32:$A$60,$A$62:$A$84)</f>
        <v>81</v>
      </c>
      <c r="AB90" s="46"/>
      <c r="AC90" s="46">
        <f>COUNT($A$2:$A$30,$A$32:$A$60,$A$62:$A$84)</f>
        <v>81</v>
      </c>
      <c r="AD90" s="46"/>
      <c r="AE90" s="372">
        <f t="shared" ref="AE90:AI90" si="6">COUNT($A$2:$A$30,$A$32:$A$60,$A$62:$A$84)</f>
        <v>81</v>
      </c>
      <c r="AF90" s="372">
        <f t="shared" si="6"/>
        <v>81</v>
      </c>
      <c r="AG90" s="372">
        <f t="shared" si="6"/>
        <v>81</v>
      </c>
      <c r="AH90" s="372">
        <f t="shared" si="6"/>
        <v>81</v>
      </c>
      <c r="AI90" s="372">
        <f t="shared" si="6"/>
        <v>81</v>
      </c>
      <c r="AJ90" s="80"/>
      <c r="AK90" s="80"/>
      <c r="AL90" s="80"/>
      <c r="AM90" s="80"/>
      <c r="AN90" s="80"/>
      <c r="AO90" s="224"/>
      <c r="AP90" s="80"/>
      <c r="AQ90" s="80"/>
      <c r="AR90" s="182"/>
      <c r="AS90" s="182"/>
    </row>
    <row r="91">
      <c r="A91" s="182"/>
      <c r="B91" s="182"/>
      <c r="C91" s="182"/>
      <c r="D91" s="182"/>
      <c r="E91" s="182"/>
      <c r="F91" s="182"/>
      <c r="G91" s="182"/>
      <c r="H91" s="182"/>
      <c r="I91" s="182"/>
      <c r="J91" s="182"/>
      <c r="K91" s="182"/>
      <c r="L91" s="265"/>
      <c r="M91" s="265"/>
      <c r="N91" s="265"/>
      <c r="O91" s="265"/>
      <c r="P91" s="374">
        <f>P89/P90</f>
        <v>0.3209876543</v>
      </c>
      <c r="Q91" s="265"/>
      <c r="R91" s="265"/>
      <c r="S91" s="265"/>
      <c r="T91" s="265"/>
      <c r="U91" s="265"/>
      <c r="V91" s="265"/>
      <c r="W91" s="265"/>
      <c r="X91" s="265"/>
      <c r="Y91" s="374">
        <f>Y89/Y90</f>
        <v>0.3950617284</v>
      </c>
      <c r="Z91" s="46"/>
      <c r="AA91" s="374">
        <f>AA89/AA90</f>
        <v>0.3703703704</v>
      </c>
      <c r="AB91" s="46"/>
      <c r="AC91" s="374">
        <f>AC89/AC90</f>
        <v>0.4691358025</v>
      </c>
      <c r="AD91" s="46"/>
      <c r="AE91" s="630">
        <f t="shared" ref="AE91:AI91" si="7">AE89/AE90</f>
        <v>0.4814814815</v>
      </c>
      <c r="AF91" s="630">
        <f t="shared" si="7"/>
        <v>0.4444444444</v>
      </c>
      <c r="AG91" s="630">
        <f t="shared" si="7"/>
        <v>0.3703703704</v>
      </c>
      <c r="AH91" s="630">
        <f t="shared" si="7"/>
        <v>0.2592592593</v>
      </c>
      <c r="AI91" s="630">
        <f t="shared" si="7"/>
        <v>0.1481481481</v>
      </c>
      <c r="AJ91" s="80"/>
      <c r="AK91" s="80"/>
      <c r="AL91" s="80"/>
      <c r="AM91" s="80"/>
      <c r="AN91" s="80"/>
      <c r="AO91" s="224"/>
      <c r="AP91" s="80"/>
      <c r="AQ91" s="80"/>
      <c r="AR91" s="182"/>
      <c r="AS91" s="182"/>
    </row>
    <row r="92">
      <c r="A92" s="182"/>
      <c r="B92" s="182"/>
      <c r="C92" s="182"/>
      <c r="D92" s="182"/>
      <c r="E92" s="182"/>
      <c r="F92" s="182"/>
      <c r="G92" s="182"/>
      <c r="H92" s="182"/>
      <c r="I92" s="182"/>
      <c r="J92" s="182"/>
      <c r="K92" s="182"/>
      <c r="L92" s="265"/>
      <c r="M92" s="265"/>
      <c r="N92" s="265"/>
      <c r="O92" s="265"/>
      <c r="P92" s="265"/>
      <c r="Q92" s="265"/>
      <c r="R92" s="265"/>
      <c r="S92" s="265"/>
      <c r="T92" s="265"/>
      <c r="U92" s="265"/>
      <c r="V92" s="265"/>
      <c r="W92" s="265"/>
      <c r="X92" s="265"/>
      <c r="Y92" s="46"/>
      <c r="Z92" s="46"/>
      <c r="AA92" s="46"/>
      <c r="AB92" s="46"/>
      <c r="AC92" s="46"/>
      <c r="AD92" s="46"/>
      <c r="AE92" s="372" t="s">
        <v>1401</v>
      </c>
      <c r="AF92" s="372" t="s">
        <v>1402</v>
      </c>
      <c r="AG92" s="372" t="s">
        <v>1403</v>
      </c>
      <c r="AH92" s="340" t="s">
        <v>1404</v>
      </c>
      <c r="AI92" s="313" t="s">
        <v>1376</v>
      </c>
      <c r="AJ92" s="80"/>
      <c r="AK92" s="80"/>
      <c r="AL92" s="80"/>
      <c r="AM92" s="80"/>
      <c r="AN92" s="80"/>
      <c r="AO92" s="224"/>
      <c r="AP92" s="80"/>
      <c r="AQ92" s="80"/>
      <c r="AR92" s="182"/>
      <c r="AS92" s="182"/>
    </row>
    <row r="93">
      <c r="A93" s="182"/>
      <c r="B93" s="182"/>
      <c r="C93" s="182"/>
      <c r="D93" s="182"/>
      <c r="E93" s="182"/>
      <c r="F93" s="182"/>
      <c r="G93" s="182"/>
      <c r="H93" s="182"/>
      <c r="I93" s="182"/>
      <c r="J93" s="182"/>
      <c r="K93" s="182"/>
      <c r="L93" s="265"/>
      <c r="M93" s="265"/>
      <c r="N93" s="265"/>
      <c r="O93" s="265"/>
      <c r="P93" s="265"/>
      <c r="Q93" s="265"/>
      <c r="R93" s="265"/>
      <c r="S93" s="265"/>
      <c r="T93" s="265"/>
      <c r="U93" s="265"/>
      <c r="V93" s="265"/>
      <c r="W93" s="265"/>
      <c r="X93" s="265"/>
      <c r="Y93" s="265"/>
      <c r="Z93" s="265"/>
      <c r="AA93" s="265"/>
      <c r="AB93" s="265"/>
      <c r="AC93" s="265"/>
      <c r="AD93" s="265"/>
      <c r="AE93" s="265"/>
      <c r="AF93" s="265"/>
      <c r="AG93" s="265"/>
      <c r="AH93" s="265"/>
    </row>
    <row r="94">
      <c r="A94" s="182"/>
      <c r="B94" s="182"/>
      <c r="C94" s="182"/>
      <c r="D94" s="182"/>
      <c r="I94" s="331" t="s">
        <v>1497</v>
      </c>
      <c r="J94" s="345" t="s">
        <v>389</v>
      </c>
      <c r="K94" s="346" t="s">
        <v>420</v>
      </c>
      <c r="L94" s="347" t="s">
        <v>358</v>
      </c>
      <c r="M94" s="348" t="s">
        <v>363</v>
      </c>
      <c r="N94" s="349" t="s">
        <v>413</v>
      </c>
      <c r="O94" s="350" t="s">
        <v>357</v>
      </c>
      <c r="P94" s="351" t="s">
        <v>380</v>
      </c>
      <c r="Q94" s="352" t="s">
        <v>387</v>
      </c>
      <c r="R94" s="642" t="s">
        <v>1427</v>
      </c>
      <c r="S94" s="643" t="s">
        <v>1190</v>
      </c>
      <c r="T94" s="644" t="s">
        <v>1214</v>
      </c>
      <c r="U94" s="645" t="s">
        <v>1120</v>
      </c>
      <c r="V94" s="646" t="s">
        <v>1188</v>
      </c>
      <c r="W94" s="647" t="s">
        <v>1428</v>
      </c>
      <c r="X94" s="648" t="s">
        <v>1429</v>
      </c>
      <c r="Y94" s="649" t="s">
        <v>1178</v>
      </c>
      <c r="Z94" s="650" t="s">
        <v>1145</v>
      </c>
      <c r="AA94" s="651" t="s">
        <v>1301</v>
      </c>
      <c r="AB94" s="652" t="s">
        <v>1130</v>
      </c>
      <c r="AC94" s="653" t="s">
        <v>1314</v>
      </c>
      <c r="AD94" s="654" t="s">
        <v>1431</v>
      </c>
      <c r="AE94" s="655" t="s">
        <v>1095</v>
      </c>
      <c r="AF94" s="656" t="s">
        <v>1103</v>
      </c>
      <c r="AG94" s="657" t="s">
        <v>1090</v>
      </c>
      <c r="AH94" s="658" t="s">
        <v>1296</v>
      </c>
      <c r="AI94" s="659" t="s">
        <v>1270</v>
      </c>
      <c r="AJ94" s="660" t="s">
        <v>1115</v>
      </c>
      <c r="AK94" s="661" t="s">
        <v>1089</v>
      </c>
      <c r="AL94" s="662" t="s">
        <v>1182</v>
      </c>
      <c r="AM94" s="663" t="s">
        <v>1298</v>
      </c>
      <c r="AN94" s="664" t="s">
        <v>1163</v>
      </c>
      <c r="AO94" s="665" t="s">
        <v>1223</v>
      </c>
      <c r="AP94" s="666" t="s">
        <v>1441</v>
      </c>
      <c r="AQ94" s="667" t="s">
        <v>1129</v>
      </c>
      <c r="AR94" s="668" t="s">
        <v>1447</v>
      </c>
      <c r="AS94" s="669" t="s">
        <v>1454</v>
      </c>
    </row>
    <row r="95">
      <c r="A95" s="182"/>
      <c r="B95" s="182"/>
      <c r="C95" s="182"/>
      <c r="D95" s="182"/>
      <c r="I95" s="468">
        <f>correl(J95:Q95,AJ86:AQ86)</f>
        <v>0.9718487143</v>
      </c>
      <c r="J95" s="80">
        <f t="shared" ref="J95:Q95" si="8">sum(countif(AJ2:AJ30,"&gt;0"),countif(AJ32:AJ60,"&gt;0"),countif(AJ62:AJ84,"&gt;0"))</f>
        <v>2</v>
      </c>
      <c r="K95" s="80">
        <f t="shared" si="8"/>
        <v>5</v>
      </c>
      <c r="L95" s="80">
        <f t="shared" si="8"/>
        <v>17</v>
      </c>
      <c r="M95" s="80">
        <f t="shared" si="8"/>
        <v>0</v>
      </c>
      <c r="N95" s="80">
        <f t="shared" si="8"/>
        <v>16</v>
      </c>
      <c r="O95" s="80">
        <f t="shared" si="8"/>
        <v>11</v>
      </c>
      <c r="P95" s="80">
        <f t="shared" si="8"/>
        <v>1</v>
      </c>
      <c r="Q95" s="80">
        <f t="shared" si="8"/>
        <v>0</v>
      </c>
      <c r="R95" s="80">
        <f t="shared" ref="R95:X95" si="9">sum(countifs($AJ$2:$AJ$30,"&gt;0",AK2:AK30,"&gt;0"),countifs($AJ$32:$AJ$60,"&gt;0",AK32:AK60,"&gt;0"),countifs($AJ$62:$AJ$84,"&gt;0",AK62:AK84,"&gt;0"))</f>
        <v>1</v>
      </c>
      <c r="S95" s="80">
        <f t="shared" si="9"/>
        <v>1</v>
      </c>
      <c r="T95" s="80">
        <f t="shared" si="9"/>
        <v>0</v>
      </c>
      <c r="U95" s="80">
        <f t="shared" si="9"/>
        <v>0</v>
      </c>
      <c r="V95" s="80">
        <f t="shared" si="9"/>
        <v>1</v>
      </c>
      <c r="W95" s="80">
        <f t="shared" si="9"/>
        <v>0</v>
      </c>
      <c r="X95" s="80">
        <f t="shared" si="9"/>
        <v>0</v>
      </c>
      <c r="Y95" s="80">
        <f t="shared" ref="Y95:AD95" si="10">sum(countifs($AK$2:$AK$30,"&gt;0",AL2:AL30,"&gt;0"),countifs($AK$32:$AK$60,"&gt;0",AL32:AL60,"&gt;0"),countifs($AK$62:$AK$84,"&gt;0",AL62:AL84,"&gt;0"))</f>
        <v>1</v>
      </c>
      <c r="Z95" s="80">
        <f t="shared" si="10"/>
        <v>0</v>
      </c>
      <c r="AA95" s="80">
        <f t="shared" si="10"/>
        <v>0</v>
      </c>
      <c r="AB95" s="80">
        <f t="shared" si="10"/>
        <v>0</v>
      </c>
      <c r="AC95" s="80">
        <f t="shared" si="10"/>
        <v>0</v>
      </c>
      <c r="AD95" s="80">
        <f t="shared" si="10"/>
        <v>0</v>
      </c>
      <c r="AE95" s="80">
        <f t="shared" ref="AE95:AI95" si="11">sum(countifs($AL$2:$AL$30,"&gt;0",AM2:AM30,"&gt;0"),countifs($AL$32:$AL$60,"&gt;0",AM32:AM60,"&gt;0"),countifs($AL$62:$AL$84,"&gt;0",AM62:AM84,"&gt;0"))</f>
        <v>0</v>
      </c>
      <c r="AF95" s="80">
        <f t="shared" si="11"/>
        <v>7</v>
      </c>
      <c r="AG95" s="80">
        <f t="shared" si="11"/>
        <v>2</v>
      </c>
      <c r="AH95" s="80">
        <f t="shared" si="11"/>
        <v>1</v>
      </c>
      <c r="AI95" s="80">
        <f t="shared" si="11"/>
        <v>0</v>
      </c>
      <c r="AJ95" s="80">
        <f t="shared" ref="AJ95:AM95" si="12">sum(countifs($AM$2:$AM$30,"&gt;0",AN2:AN30,"&gt;0"),countifs($AM$32:$AM$60,"&gt;0",AN32:AN60,"&gt;0"),countifs($AM$62:$AM$84,"&gt;0",AN62:AN84,"&gt;0"))</f>
        <v>0</v>
      </c>
      <c r="AK95" s="80">
        <f t="shared" si="12"/>
        <v>0</v>
      </c>
      <c r="AL95" s="80">
        <f t="shared" si="12"/>
        <v>0</v>
      </c>
      <c r="AM95" s="80">
        <f t="shared" si="12"/>
        <v>0</v>
      </c>
      <c r="AN95" s="80">
        <f t="shared" ref="AN95:AP95" si="13">sum(countifs($AN$2:$AN$30,"&gt;0",AO2:AO30,"&gt;0"),countifs($AN$32:$AN$60,"&gt;0",AO32:AO60,"&gt;0"),countifs($AN$62:$AN$84,"&gt;0",AO62:AO84,"&gt;0"))</f>
        <v>0</v>
      </c>
      <c r="AO95" s="80">
        <f t="shared" si="13"/>
        <v>0</v>
      </c>
      <c r="AP95" s="80">
        <f t="shared" si="13"/>
        <v>0</v>
      </c>
      <c r="AQ95" s="80">
        <f t="shared" ref="AQ95:AR95" si="14">sum(countifs($AO$2:$AO$30,"&gt;0",AP2:AP30,"&gt;0"),countifs($AO$32:$AO$60,"&gt;0",AP32:AP60,"&gt;0"),countifs($AO$62:$AO$84,"&gt;0",AP62:AP84,"&gt;0"))</f>
        <v>0</v>
      </c>
      <c r="AR95" s="80">
        <f t="shared" si="14"/>
        <v>0</v>
      </c>
      <c r="AS95" s="80">
        <f>sum(countifs($AP$2:$AP$30,"&gt;0",AQ2:AQ30,"&gt;0"),countifs($AP$32:$AP$60,"&gt;0",AQ32:AQ60,"&gt;0"),countifs($AP$62:$AP$84,"&gt;0",AQ62:AQ84,"&gt;0"))</f>
        <v>0</v>
      </c>
    </row>
    <row r="96">
      <c r="A96" s="182"/>
      <c r="B96" s="182"/>
      <c r="C96" s="182"/>
      <c r="D96" s="182"/>
      <c r="J96" s="76">
        <f t="shared" ref="J96:Q96" si="15">J95/sum($J$95:$Q$95)</f>
        <v>0.03846153846</v>
      </c>
      <c r="K96" s="76">
        <f t="shared" si="15"/>
        <v>0.09615384615</v>
      </c>
      <c r="L96" s="76">
        <f t="shared" si="15"/>
        <v>0.3269230769</v>
      </c>
      <c r="M96" s="76">
        <f t="shared" si="15"/>
        <v>0</v>
      </c>
      <c r="N96" s="76">
        <f t="shared" si="15"/>
        <v>0.3076923077</v>
      </c>
      <c r="O96" s="76">
        <f t="shared" si="15"/>
        <v>0.2115384615</v>
      </c>
      <c r="P96" s="76">
        <f t="shared" si="15"/>
        <v>0.01923076923</v>
      </c>
      <c r="Q96" s="76">
        <f t="shared" si="15"/>
        <v>0</v>
      </c>
      <c r="R96" s="80"/>
      <c r="S96" s="80"/>
      <c r="T96" s="80"/>
      <c r="U96" s="80"/>
      <c r="V96" s="80"/>
      <c r="W96" s="80"/>
      <c r="X96" s="80"/>
      <c r="Y96" s="80"/>
      <c r="Z96" s="80"/>
      <c r="AA96" s="80"/>
      <c r="AB96" s="80"/>
      <c r="AC96" s="80"/>
      <c r="AD96" s="80"/>
      <c r="AE96" s="80"/>
      <c r="AF96" s="80"/>
      <c r="AG96" s="80"/>
      <c r="AH96" s="80"/>
      <c r="AI96" s="80"/>
      <c r="AJ96" s="80"/>
      <c r="AK96" s="80"/>
      <c r="AL96" s="80"/>
      <c r="AM96" s="80"/>
      <c r="AN96" s="80"/>
      <c r="AO96" s="80"/>
      <c r="AP96" s="80"/>
      <c r="AQ96" s="80"/>
      <c r="AR96" s="80"/>
      <c r="AS96" s="80"/>
    </row>
  </sheetData>
  <drawing r:id="rId1"/>
</worksheet>
</file>