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tanryan\Desktop\choice-web\testing\"/>
    </mc:Choice>
  </mc:AlternateContent>
  <xr:revisionPtr revIDLastSave="0" documentId="13_ncr:1_{979F82B3-FDC5-47A2-89DF-F6011D61574D}" xr6:coauthVersionLast="47" xr6:coauthVersionMax="47" xr10:uidLastSave="{00000000-0000-0000-0000-000000000000}"/>
  <bookViews>
    <workbookView xWindow="22932" yWindow="-108" windowWidth="23256" windowHeight="12456" tabRatio="889" activeTab="2" xr2:uid="{00000000-000D-0000-FFFF-FFFF00000000}"/>
  </bookViews>
  <sheets>
    <sheet name="BackgroundData" sheetId="1" r:id="rId1"/>
    <sheet name="MeatLandDemand" sheetId="3" r:id="rId2"/>
    <sheet name="Model Input" sheetId="2" r:id="rId3"/>
    <sheet name="FAONutritionData" sheetId="13" r:id="rId4"/>
    <sheet name="Diet-Population" sheetId="8" r:id="rId5"/>
    <sheet name="Flexitarian diet" sheetId="5" r:id="rId6"/>
    <sheet name="WRI" sheetId="6" r:id="rId7"/>
    <sheet name="Healthy diet" sheetId="7" r:id="rId8"/>
    <sheet name="Sheet1" sheetId="4" r:id="rId9"/>
    <sheet name="Sheet2" sheetId="9" r:id="rId10"/>
    <sheet name="FAOProduction(Agg)2013-2020" sheetId="12" r:id="rId11"/>
    <sheet name="SourcePooreNemecek2018" sheetId="10" r:id="rId12"/>
    <sheet name="SourceSpringmann2018" sheetId="11"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4" i="2" l="1"/>
  <c r="I13" i="13"/>
  <c r="J27" i="13"/>
  <c r="K27" i="13"/>
  <c r="I27" i="13"/>
  <c r="J12" i="13"/>
  <c r="K12" i="13"/>
  <c r="I12" i="13"/>
  <c r="J10" i="13"/>
  <c r="K10" i="13"/>
  <c r="I10" i="13"/>
  <c r="J8" i="13"/>
  <c r="K8" i="13"/>
  <c r="I8" i="13"/>
  <c r="J7" i="13"/>
  <c r="J6" i="13" s="1"/>
  <c r="K7" i="13"/>
  <c r="I7" i="13"/>
  <c r="J11" i="13"/>
  <c r="K11" i="13"/>
  <c r="I11" i="13"/>
  <c r="J30" i="13"/>
  <c r="K30" i="13"/>
  <c r="J28" i="13"/>
  <c r="K28" i="13"/>
  <c r="J24" i="13"/>
  <c r="K24" i="13"/>
  <c r="J23" i="13"/>
  <c r="K23" i="13"/>
  <c r="J22" i="13"/>
  <c r="J21" i="13" s="1"/>
  <c r="K22" i="13"/>
  <c r="K21" i="13" s="1"/>
  <c r="J16" i="13"/>
  <c r="K16" i="13"/>
  <c r="J13" i="13"/>
  <c r="K13" i="13"/>
  <c r="J14" i="13"/>
  <c r="K14" i="13"/>
  <c r="I14" i="13"/>
  <c r="I23" i="13"/>
  <c r="I22" i="13"/>
  <c r="I30" i="13"/>
  <c r="I28" i="13"/>
  <c r="I24" i="13"/>
  <c r="I16" i="13"/>
  <c r="J15" i="13"/>
  <c r="K15" i="13"/>
  <c r="I15" i="13"/>
  <c r="R17" i="10" a="1"/>
  <c r="R17" i="10" s="1"/>
  <c r="R18" i="10" a="1"/>
  <c r="R18" i="10" s="1"/>
  <c r="R19" i="10" a="1"/>
  <c r="R19" i="10" s="1"/>
  <c r="R20" i="10" a="1"/>
  <c r="R20" i="10" s="1"/>
  <c r="R21" i="10" a="1"/>
  <c r="R21" i="10" s="1"/>
  <c r="R22" i="10" a="1"/>
  <c r="R22" i="10" s="1"/>
  <c r="R23" i="10" a="1"/>
  <c r="R23" i="10" s="1"/>
  <c r="R16" i="10" a="1"/>
  <c r="R16" i="10" s="1"/>
  <c r="S23" i="10" a="1"/>
  <c r="S23" i="10" s="1"/>
  <c r="S22" i="10" a="1"/>
  <c r="S22" i="10" s="1"/>
  <c r="S21" i="10" a="1"/>
  <c r="S21" i="10" s="1"/>
  <c r="S20" i="10" a="1"/>
  <c r="S20" i="10" s="1"/>
  <c r="S19" i="10" a="1"/>
  <c r="S19" i="10" s="1"/>
  <c r="S18" i="10" a="1"/>
  <c r="S18" i="10" s="1"/>
  <c r="S17" i="10" a="1"/>
  <c r="S17" i="10" s="1"/>
  <c r="S16" i="10" a="1"/>
  <c r="S16" i="10" s="1"/>
  <c r="R6" i="10" a="1"/>
  <c r="R6" i="10" s="1"/>
  <c r="R7" i="10" a="1"/>
  <c r="R7" i="10" s="1"/>
  <c r="R8" i="10" a="1"/>
  <c r="R8" i="10" s="1"/>
  <c r="T8" i="10" s="1"/>
  <c r="R9" i="10" a="1"/>
  <c r="R9" i="10" s="1"/>
  <c r="T9" i="10" s="1"/>
  <c r="R10" i="10" a="1"/>
  <c r="R10" i="10" s="1"/>
  <c r="R11" i="10" a="1"/>
  <c r="R11" i="10" s="1"/>
  <c r="R12" i="10" a="1"/>
  <c r="R12" i="10" s="1"/>
  <c r="R5" i="10" a="1"/>
  <c r="R5" i="10" s="1"/>
  <c r="S6" i="10" a="1"/>
  <c r="S6" i="10" s="1"/>
  <c r="S7" i="10" a="1"/>
  <c r="S7" i="10" s="1"/>
  <c r="S8" i="10" a="1"/>
  <c r="S8" i="10" s="1"/>
  <c r="S9" i="10" a="1"/>
  <c r="S9" i="10" s="1"/>
  <c r="S10" i="10" a="1"/>
  <c r="S10" i="10" s="1"/>
  <c r="S11" i="10" a="1"/>
  <c r="S11" i="10" s="1"/>
  <c r="S12" i="10" a="1"/>
  <c r="S12" i="10" s="1"/>
  <c r="S5" i="10" a="1"/>
  <c r="S5" i="10" s="1"/>
  <c r="J29" i="1"/>
  <c r="S28" i="1"/>
  <c r="R28" i="1"/>
  <c r="I28" i="1"/>
  <c r="S27" i="1"/>
  <c r="R27" i="1"/>
  <c r="E27" i="1"/>
  <c r="D27" i="1"/>
  <c r="S26" i="1"/>
  <c r="R26" i="1"/>
  <c r="L26" i="1"/>
  <c r="I26" i="1"/>
  <c r="S25" i="1"/>
  <c r="R25" i="1"/>
  <c r="I25" i="1"/>
  <c r="E25" i="1"/>
  <c r="D25" i="1"/>
  <c r="S24" i="1"/>
  <c r="R24" i="1"/>
  <c r="I24" i="1"/>
  <c r="E24" i="1"/>
  <c r="D24" i="1"/>
  <c r="X23" i="1"/>
  <c r="V23" i="1"/>
  <c r="U23" i="1"/>
  <c r="Q23" i="1"/>
  <c r="R23" i="1" s="1"/>
  <c r="P23" i="1"/>
  <c r="O23" i="1"/>
  <c r="K23" i="1"/>
  <c r="J23" i="1"/>
  <c r="S23" i="1" s="1"/>
  <c r="G23" i="1"/>
  <c r="I23" i="1" s="1"/>
  <c r="C23" i="1"/>
  <c r="B23" i="1"/>
  <c r="B30" i="1" s="1"/>
  <c r="S22" i="1"/>
  <c r="R22" i="1"/>
  <c r="I22" i="1"/>
  <c r="S21" i="1"/>
  <c r="R21" i="1"/>
  <c r="I21" i="1"/>
  <c r="S20" i="1"/>
  <c r="R20" i="1"/>
  <c r="I20" i="1"/>
  <c r="X19" i="1"/>
  <c r="V19" i="1"/>
  <c r="U19" i="1"/>
  <c r="Q19" i="1"/>
  <c r="R19" i="1" s="1"/>
  <c r="P19" i="1"/>
  <c r="O19" i="1"/>
  <c r="K19" i="1"/>
  <c r="J19" i="1"/>
  <c r="G19" i="1"/>
  <c r="I19" i="1" s="1"/>
  <c r="E19" i="1"/>
  <c r="D19" i="1"/>
  <c r="C19" i="1"/>
  <c r="C30" i="1" s="1"/>
  <c r="B19" i="1"/>
  <c r="R18" i="1"/>
  <c r="K18" i="1"/>
  <c r="J18" i="1"/>
  <c r="X14" i="1" s="1"/>
  <c r="S17" i="1"/>
  <c r="R17" i="1"/>
  <c r="I17" i="1"/>
  <c r="S16" i="1"/>
  <c r="R16" i="1"/>
  <c r="I16" i="1"/>
  <c r="S15" i="1"/>
  <c r="R15" i="1"/>
  <c r="I15" i="1"/>
  <c r="S14" i="1"/>
  <c r="R14" i="1"/>
  <c r="G14" i="1"/>
  <c r="I14" i="1" s="1"/>
  <c r="E14" i="1"/>
  <c r="D14" i="1"/>
  <c r="S13" i="1"/>
  <c r="R13" i="1"/>
  <c r="I13" i="1"/>
  <c r="S12" i="1"/>
  <c r="R12" i="1"/>
  <c r="M12" i="1"/>
  <c r="L12" i="1"/>
  <c r="H12" i="1"/>
  <c r="W12" i="1" s="1"/>
  <c r="S11" i="1"/>
  <c r="R11" i="1"/>
  <c r="L11" i="1"/>
  <c r="H11" i="1"/>
  <c r="C11" i="1"/>
  <c r="C29" i="1" s="1"/>
  <c r="B11" i="1"/>
  <c r="B29" i="1" s="1"/>
  <c r="S10" i="1"/>
  <c r="R10" i="1"/>
  <c r="L10" i="1" s="1"/>
  <c r="S9" i="1"/>
  <c r="R9" i="1"/>
  <c r="L9" i="1" s="1"/>
  <c r="H9" i="1"/>
  <c r="W9" i="1" s="1"/>
  <c r="S8" i="1"/>
  <c r="R8" i="1"/>
  <c r="M8" i="1"/>
  <c r="M7" i="1" s="1"/>
  <c r="L8" i="1"/>
  <c r="H8" i="1"/>
  <c r="X7" i="1"/>
  <c r="V7" i="1"/>
  <c r="U7" i="1"/>
  <c r="Q7" i="1"/>
  <c r="R7" i="1" s="1"/>
  <c r="P7" i="1"/>
  <c r="O7" i="1"/>
  <c r="J7" i="1"/>
  <c r="K34" i="1" s="1"/>
  <c r="E7" i="1"/>
  <c r="E3" i="1" s="1"/>
  <c r="D7" i="1"/>
  <c r="D3" i="1" s="1"/>
  <c r="D29" i="1" s="1"/>
  <c r="R6" i="1"/>
  <c r="S5" i="1"/>
  <c r="R5" i="1"/>
  <c r="L5" i="1" s="1"/>
  <c r="H5" i="1"/>
  <c r="W5" i="1" s="1"/>
  <c r="X4" i="1"/>
  <c r="V4" i="1"/>
  <c r="U4" i="1"/>
  <c r="Q4" i="1"/>
  <c r="R4" i="1" s="1"/>
  <c r="P4" i="1"/>
  <c r="O4" i="1"/>
  <c r="N4" i="1"/>
  <c r="M4" i="1"/>
  <c r="J4" i="1"/>
  <c r="S4" i="1" s="1"/>
  <c r="I4" i="1"/>
  <c r="G4" i="1"/>
  <c r="E4" i="1"/>
  <c r="D4" i="1"/>
  <c r="R3" i="1"/>
  <c r="B3" i="1"/>
  <c r="B7" i="1" s="1"/>
  <c r="I21" i="13" l="1"/>
  <c r="K25" i="13"/>
  <c r="J25" i="13"/>
  <c r="K6" i="13"/>
  <c r="K9" i="13"/>
  <c r="I25" i="13"/>
  <c r="I6" i="13"/>
  <c r="J9" i="13"/>
  <c r="I9" i="13"/>
  <c r="T20" i="10"/>
  <c r="T12" i="10"/>
  <c r="T7" i="10"/>
  <c r="T6" i="10"/>
  <c r="T22" i="10"/>
  <c r="T17" i="10"/>
  <c r="T19" i="10"/>
  <c r="T11" i="10"/>
  <c r="T16" i="10"/>
  <c r="T5" i="10"/>
  <c r="T10" i="10"/>
  <c r="T21" i="10"/>
  <c r="T18" i="10"/>
  <c r="T23" i="10"/>
  <c r="H4" i="1"/>
  <c r="W4" i="1" s="1"/>
  <c r="W11" i="1"/>
  <c r="B4" i="1"/>
  <c r="W8" i="1"/>
  <c r="L4" i="1"/>
  <c r="K30" i="1"/>
  <c r="D23" i="1"/>
  <c r="D30" i="1" s="1"/>
  <c r="J30" i="1"/>
  <c r="L30" i="1" s="1"/>
  <c r="L23" i="1"/>
  <c r="C31" i="1"/>
  <c r="H7" i="1"/>
  <c r="W7" i="1" s="1"/>
  <c r="J31" i="1"/>
  <c r="E29" i="1"/>
  <c r="B31" i="1"/>
  <c r="D31" i="1"/>
  <c r="L19" i="1"/>
  <c r="E23" i="1"/>
  <c r="S19" i="1"/>
  <c r="E30" i="1"/>
  <c r="G7" i="1"/>
  <c r="I7" i="1" s="1"/>
  <c r="S7" i="1"/>
  <c r="L18" i="1"/>
  <c r="S18" i="1"/>
  <c r="U14" i="1"/>
  <c r="V14" i="1"/>
  <c r="E31" i="1" l="1"/>
  <c r="L7" i="1"/>
  <c r="F6" i="1" l="1"/>
  <c r="F8" i="1"/>
  <c r="F21" i="1"/>
  <c r="F11" i="1"/>
  <c r="F5" i="1"/>
  <c r="F22" i="1"/>
  <c r="F15" i="1"/>
  <c r="F20" i="1"/>
  <c r="F16" i="1"/>
  <c r="F12" i="1"/>
  <c r="F28" i="1"/>
  <c r="F19" i="1"/>
  <c r="F26" i="1"/>
  <c r="F18" i="1"/>
  <c r="F10" i="1"/>
  <c r="F17" i="1"/>
  <c r="F13" i="1"/>
  <c r="F9" i="1"/>
  <c r="F4" i="1"/>
  <c r="F25" i="1"/>
  <c r="F27" i="1"/>
  <c r="F14" i="1"/>
  <c r="F24" i="1"/>
  <c r="F3" i="1"/>
  <c r="F7" i="1"/>
  <c r="F23" i="1"/>
  <c r="D27" i="12" l="1"/>
  <c r="E27" i="12"/>
  <c r="F27" i="12"/>
  <c r="G27" i="12"/>
  <c r="H27" i="12"/>
  <c r="I27" i="12"/>
  <c r="J27" i="12"/>
  <c r="K27" i="12"/>
  <c r="L27" i="12"/>
  <c r="M27" i="12"/>
  <c r="N27" i="12"/>
  <c r="P13" i="12"/>
  <c r="T10" i="1" s="1"/>
  <c r="P12" i="12"/>
  <c r="T9" i="1" s="1"/>
  <c r="P14" i="12"/>
  <c r="T11" i="1" s="1"/>
  <c r="P17" i="12"/>
  <c r="T14" i="1" s="1"/>
  <c r="P15" i="12"/>
  <c r="T12" i="1" s="1"/>
  <c r="P30" i="12"/>
  <c r="T27" i="1" s="1"/>
  <c r="P24" i="12"/>
  <c r="T21" i="1" s="1"/>
  <c r="P20" i="12"/>
  <c r="T17" i="1" s="1"/>
  <c r="P11" i="12"/>
  <c r="P32" i="12"/>
  <c r="P28" i="12"/>
  <c r="T25" i="1" s="1"/>
  <c r="P16" i="12"/>
  <c r="T13" i="1" s="1"/>
  <c r="P19" i="12"/>
  <c r="T16" i="1" s="1"/>
  <c r="P25" i="12"/>
  <c r="T22" i="1" s="1"/>
  <c r="P9" i="12"/>
  <c r="T6" i="1" s="1"/>
  <c r="P29" i="12"/>
  <c r="T26" i="1" s="1"/>
  <c r="P31" i="12"/>
  <c r="T28" i="1" s="1"/>
  <c r="P23" i="12"/>
  <c r="T20" i="1" s="1"/>
  <c r="P18" i="12"/>
  <c r="T15" i="1" s="1"/>
  <c r="P8" i="12"/>
  <c r="T5" i="1" s="1"/>
  <c r="H10" i="8"/>
  <c r="H8" i="8"/>
  <c r="P10" i="12" l="1"/>
  <c r="T7" i="1" s="1"/>
  <c r="T8" i="1"/>
  <c r="P22" i="12"/>
  <c r="T19" i="1" s="1"/>
  <c r="P21" i="12"/>
  <c r="T18" i="1" s="1"/>
  <c r="P7" i="12"/>
  <c r="T4" i="1" s="1"/>
  <c r="P27" i="12"/>
  <c r="H3" i="8"/>
  <c r="H4" i="8"/>
  <c r="H5" i="8"/>
  <c r="H7" i="8"/>
  <c r="H6" i="8"/>
  <c r="H9" i="8"/>
  <c r="H2" i="8"/>
  <c r="T24" i="1" l="1"/>
  <c r="P26" i="12"/>
  <c r="T23" i="1" s="1"/>
  <c r="Y70" i="2"/>
  <c r="Z70" i="2"/>
  <c r="AA70" i="2"/>
  <c r="AB70" i="2"/>
  <c r="AC70" i="2"/>
  <c r="AD70" i="2"/>
  <c r="AE70" i="2"/>
  <c r="AF70" i="2"/>
  <c r="AG70" i="2"/>
  <c r="AH70" i="2"/>
  <c r="AI70" i="2"/>
  <c r="AJ70" i="2"/>
  <c r="AK70" i="2"/>
  <c r="AL70" i="2"/>
  <c r="AM70" i="2"/>
  <c r="AN70" i="2"/>
  <c r="AO70" i="2"/>
  <c r="AP70" i="2"/>
  <c r="AQ70" i="2"/>
  <c r="AR70" i="2"/>
  <c r="AS70" i="2"/>
  <c r="Z69" i="2"/>
  <c r="AA69" i="2"/>
  <c r="AB69" i="2"/>
  <c r="AC69" i="2"/>
  <c r="AD69" i="2"/>
  <c r="AE69" i="2"/>
  <c r="AF69" i="2"/>
  <c r="AG69" i="2"/>
  <c r="AH69" i="2"/>
  <c r="AI69" i="2"/>
  <c r="AJ69" i="2"/>
  <c r="AK69" i="2"/>
  <c r="AL69" i="2"/>
  <c r="AM69" i="2"/>
  <c r="AN69" i="2"/>
  <c r="AO69" i="2"/>
  <c r="AP69" i="2"/>
  <c r="AQ69" i="2"/>
  <c r="AR69" i="2"/>
  <c r="AS69" i="2"/>
  <c r="Y69" i="2"/>
  <c r="Y67" i="2"/>
  <c r="Z67" i="2"/>
  <c r="AA67" i="2"/>
  <c r="AB67" i="2"/>
  <c r="AC67" i="2"/>
  <c r="AD67" i="2"/>
  <c r="AE67" i="2"/>
  <c r="AF67" i="2"/>
  <c r="AG67" i="2"/>
  <c r="AH67" i="2"/>
  <c r="AI67" i="2"/>
  <c r="AJ67" i="2"/>
  <c r="AK67" i="2"/>
  <c r="AL67" i="2"/>
  <c r="AM67" i="2"/>
  <c r="AN67" i="2"/>
  <c r="AO67" i="2"/>
  <c r="AP67" i="2"/>
  <c r="AQ67" i="2"/>
  <c r="AR67" i="2"/>
  <c r="AS67" i="2"/>
  <c r="Z66" i="2"/>
  <c r="AA66" i="2"/>
  <c r="AB66" i="2"/>
  <c r="AC66" i="2"/>
  <c r="AD66" i="2"/>
  <c r="AE66" i="2"/>
  <c r="AF66" i="2"/>
  <c r="AG66" i="2"/>
  <c r="AH66" i="2"/>
  <c r="AI66" i="2"/>
  <c r="AJ66" i="2"/>
  <c r="AK66" i="2"/>
  <c r="AL66" i="2"/>
  <c r="AM66" i="2"/>
  <c r="AN66" i="2"/>
  <c r="AO66" i="2"/>
  <c r="AP66" i="2"/>
  <c r="AQ66" i="2"/>
  <c r="AR66" i="2"/>
  <c r="AS66" i="2"/>
  <c r="Y66" i="2"/>
  <c r="Y64" i="2"/>
  <c r="Z64" i="2"/>
  <c r="AA64" i="2"/>
  <c r="AB64" i="2"/>
  <c r="AC64" i="2"/>
  <c r="AD64" i="2"/>
  <c r="AE64" i="2"/>
  <c r="AF64" i="2"/>
  <c r="AG64" i="2"/>
  <c r="AH64" i="2"/>
  <c r="AI64" i="2"/>
  <c r="AJ64" i="2"/>
  <c r="AK64" i="2"/>
  <c r="AL64" i="2"/>
  <c r="AM64" i="2"/>
  <c r="AN64" i="2"/>
  <c r="AO64" i="2"/>
  <c r="AP64" i="2"/>
  <c r="AQ64" i="2"/>
  <c r="AR64" i="2"/>
  <c r="AS64" i="2"/>
  <c r="Z63" i="2"/>
  <c r="AA63" i="2"/>
  <c r="AB63" i="2"/>
  <c r="AC63" i="2"/>
  <c r="AD63" i="2"/>
  <c r="AE63" i="2"/>
  <c r="AF63" i="2"/>
  <c r="AG63" i="2"/>
  <c r="AH63" i="2"/>
  <c r="AI63" i="2"/>
  <c r="AJ63" i="2"/>
  <c r="AK63" i="2"/>
  <c r="AL63" i="2"/>
  <c r="AM63" i="2"/>
  <c r="AN63" i="2"/>
  <c r="AO63" i="2"/>
  <c r="AP63" i="2"/>
  <c r="AQ63" i="2"/>
  <c r="AR63" i="2"/>
  <c r="AS63" i="2"/>
  <c r="Y63" i="2"/>
  <c r="Y61" i="2"/>
  <c r="Z61" i="2"/>
  <c r="AA61" i="2"/>
  <c r="AB61" i="2"/>
  <c r="AC61" i="2"/>
  <c r="AD61" i="2"/>
  <c r="AE61" i="2"/>
  <c r="AF61" i="2"/>
  <c r="AG61" i="2"/>
  <c r="AH61" i="2"/>
  <c r="AI61" i="2"/>
  <c r="AJ61" i="2"/>
  <c r="AK61" i="2"/>
  <c r="AL61" i="2"/>
  <c r="AM61" i="2"/>
  <c r="AN61" i="2"/>
  <c r="AO61" i="2"/>
  <c r="AP61" i="2"/>
  <c r="AQ61" i="2"/>
  <c r="AR61" i="2"/>
  <c r="AS61" i="2"/>
  <c r="Z60" i="2"/>
  <c r="AA60" i="2"/>
  <c r="AB60" i="2"/>
  <c r="AC60" i="2"/>
  <c r="AD60" i="2"/>
  <c r="AE60" i="2"/>
  <c r="AF60" i="2"/>
  <c r="AG60" i="2"/>
  <c r="AH60" i="2"/>
  <c r="AI60" i="2"/>
  <c r="AJ60" i="2"/>
  <c r="AK60" i="2"/>
  <c r="AL60" i="2"/>
  <c r="AM60" i="2"/>
  <c r="AN60" i="2"/>
  <c r="AO60" i="2"/>
  <c r="AP60" i="2"/>
  <c r="AQ60" i="2"/>
  <c r="AR60" i="2"/>
  <c r="AS60" i="2"/>
  <c r="Y60" i="2"/>
  <c r="Y44" i="2"/>
  <c r="Z44" i="2"/>
  <c r="AA44" i="2"/>
  <c r="AB44" i="2"/>
  <c r="AC44" i="2"/>
  <c r="AD44" i="2"/>
  <c r="AE44" i="2"/>
  <c r="AF44" i="2"/>
  <c r="AG44" i="2"/>
  <c r="AH44" i="2"/>
  <c r="AI44" i="2"/>
  <c r="AJ44" i="2"/>
  <c r="AK44" i="2"/>
  <c r="AL44" i="2"/>
  <c r="AM44" i="2"/>
  <c r="AN44" i="2"/>
  <c r="AO44" i="2"/>
  <c r="AP44" i="2"/>
  <c r="AQ44" i="2"/>
  <c r="AR44" i="2"/>
  <c r="AS44" i="2"/>
  <c r="Z43" i="2"/>
  <c r="AA43" i="2"/>
  <c r="AB43" i="2"/>
  <c r="AC43" i="2"/>
  <c r="AD43" i="2"/>
  <c r="AE43" i="2"/>
  <c r="AF43" i="2"/>
  <c r="AG43" i="2"/>
  <c r="AH43" i="2"/>
  <c r="AI43" i="2"/>
  <c r="AJ43" i="2"/>
  <c r="AK43" i="2"/>
  <c r="AL43" i="2"/>
  <c r="AM43" i="2"/>
  <c r="AN43" i="2"/>
  <c r="AO43" i="2"/>
  <c r="AP43" i="2"/>
  <c r="AQ43" i="2"/>
  <c r="AR43" i="2"/>
  <c r="AS43" i="2"/>
  <c r="Y43" i="2"/>
  <c r="Y41" i="2"/>
  <c r="Z41" i="2"/>
  <c r="AA41" i="2"/>
  <c r="AB41" i="2"/>
  <c r="AC41" i="2"/>
  <c r="AD41" i="2"/>
  <c r="AE41" i="2"/>
  <c r="AF41" i="2"/>
  <c r="AG41" i="2"/>
  <c r="AH41" i="2"/>
  <c r="AI41" i="2"/>
  <c r="AJ41" i="2"/>
  <c r="AK41" i="2"/>
  <c r="AL41" i="2"/>
  <c r="AM41" i="2"/>
  <c r="AN41" i="2"/>
  <c r="AO41" i="2"/>
  <c r="AP41" i="2"/>
  <c r="AQ41" i="2"/>
  <c r="AR41" i="2"/>
  <c r="AS41" i="2"/>
  <c r="Z40" i="2"/>
  <c r="AA40" i="2"/>
  <c r="AB40" i="2"/>
  <c r="AC40" i="2"/>
  <c r="AD40" i="2"/>
  <c r="AE40" i="2"/>
  <c r="AF40" i="2"/>
  <c r="AG40" i="2"/>
  <c r="AH40" i="2"/>
  <c r="AI40" i="2"/>
  <c r="AJ40" i="2"/>
  <c r="AK40" i="2"/>
  <c r="AL40" i="2"/>
  <c r="AM40" i="2"/>
  <c r="AN40" i="2"/>
  <c r="AO40" i="2"/>
  <c r="AP40" i="2"/>
  <c r="AQ40" i="2"/>
  <c r="AR40" i="2"/>
  <c r="AS40" i="2"/>
  <c r="Y40" i="2"/>
  <c r="Y38" i="2"/>
  <c r="Z38" i="2"/>
  <c r="AA38" i="2"/>
  <c r="AB38" i="2"/>
  <c r="AC38" i="2"/>
  <c r="AD38" i="2"/>
  <c r="AE38" i="2"/>
  <c r="AF38" i="2"/>
  <c r="AG38" i="2"/>
  <c r="AH38" i="2"/>
  <c r="AI38" i="2"/>
  <c r="AJ38" i="2"/>
  <c r="AK38" i="2"/>
  <c r="AL38" i="2"/>
  <c r="AM38" i="2"/>
  <c r="AN38" i="2"/>
  <c r="AO38" i="2"/>
  <c r="AP38" i="2"/>
  <c r="AQ38" i="2"/>
  <c r="AR38" i="2"/>
  <c r="AS38" i="2"/>
  <c r="Z37" i="2"/>
  <c r="AA37" i="2"/>
  <c r="AB37" i="2"/>
  <c r="AC37" i="2"/>
  <c r="AD37" i="2"/>
  <c r="AE37" i="2"/>
  <c r="AF37" i="2"/>
  <c r="AG37" i="2"/>
  <c r="AH37" i="2"/>
  <c r="AI37" i="2"/>
  <c r="AJ37" i="2"/>
  <c r="AK37" i="2"/>
  <c r="AL37" i="2"/>
  <c r="AM37" i="2"/>
  <c r="AN37" i="2"/>
  <c r="AO37" i="2"/>
  <c r="AP37" i="2"/>
  <c r="AQ37" i="2"/>
  <c r="AR37" i="2"/>
  <c r="AS37" i="2"/>
  <c r="Y37" i="2"/>
  <c r="Y35" i="2"/>
  <c r="Z35" i="2"/>
  <c r="AA35" i="2"/>
  <c r="AB35" i="2"/>
  <c r="AC35" i="2"/>
  <c r="AD35" i="2"/>
  <c r="AE35" i="2"/>
  <c r="AF35" i="2"/>
  <c r="AG35" i="2"/>
  <c r="AH35" i="2"/>
  <c r="AI35" i="2"/>
  <c r="AJ35" i="2"/>
  <c r="AK35" i="2"/>
  <c r="AL35" i="2"/>
  <c r="AM35" i="2"/>
  <c r="AN35" i="2"/>
  <c r="AO35" i="2"/>
  <c r="AP35" i="2"/>
  <c r="AQ35" i="2"/>
  <c r="AR35" i="2"/>
  <c r="AS35" i="2"/>
  <c r="Z34" i="2"/>
  <c r="AA34" i="2"/>
  <c r="AB34" i="2"/>
  <c r="AC34" i="2"/>
  <c r="AD34" i="2"/>
  <c r="AE34" i="2"/>
  <c r="AF34" i="2"/>
  <c r="AG34" i="2"/>
  <c r="AH34" i="2"/>
  <c r="AI34" i="2"/>
  <c r="AJ34" i="2"/>
  <c r="AK34" i="2"/>
  <c r="AL34" i="2"/>
  <c r="AM34" i="2"/>
  <c r="AN34" i="2"/>
  <c r="AO34" i="2"/>
  <c r="AP34" i="2"/>
  <c r="AQ34" i="2"/>
  <c r="AR34" i="2"/>
  <c r="AS34" i="2"/>
  <c r="Y34" i="2"/>
  <c r="Y32" i="2"/>
  <c r="Z32" i="2"/>
  <c r="AA32" i="2"/>
  <c r="AB32" i="2"/>
  <c r="AC32" i="2"/>
  <c r="AD32" i="2"/>
  <c r="AE32" i="2"/>
  <c r="AF32" i="2"/>
  <c r="AG32" i="2"/>
  <c r="AH32" i="2"/>
  <c r="AI32" i="2"/>
  <c r="AJ32" i="2"/>
  <c r="AK32" i="2"/>
  <c r="AL32" i="2"/>
  <c r="AM32" i="2"/>
  <c r="AN32" i="2"/>
  <c r="AO32" i="2"/>
  <c r="AP32" i="2"/>
  <c r="AQ32" i="2"/>
  <c r="AR32" i="2"/>
  <c r="AS32" i="2"/>
  <c r="Z31" i="2"/>
  <c r="AA31" i="2"/>
  <c r="AB31" i="2"/>
  <c r="AC31" i="2"/>
  <c r="AD31" i="2"/>
  <c r="AE31" i="2"/>
  <c r="AF31" i="2"/>
  <c r="AG31" i="2"/>
  <c r="AH31" i="2"/>
  <c r="AI31" i="2"/>
  <c r="AJ31" i="2"/>
  <c r="AK31" i="2"/>
  <c r="AL31" i="2"/>
  <c r="AM31" i="2"/>
  <c r="AN31" i="2"/>
  <c r="AO31" i="2"/>
  <c r="AP31" i="2"/>
  <c r="AQ31" i="2"/>
  <c r="AR31" i="2"/>
  <c r="AS31" i="2"/>
  <c r="Y31" i="2"/>
  <c r="Y29" i="2"/>
  <c r="Z29" i="2"/>
  <c r="AA29" i="2"/>
  <c r="AB29" i="2"/>
  <c r="AC29" i="2"/>
  <c r="AD29" i="2"/>
  <c r="AE29" i="2"/>
  <c r="AF29" i="2"/>
  <c r="AG29" i="2"/>
  <c r="AH29" i="2"/>
  <c r="AI29" i="2"/>
  <c r="AJ29" i="2"/>
  <c r="AK29" i="2"/>
  <c r="AL29" i="2"/>
  <c r="AM29" i="2"/>
  <c r="AN29" i="2"/>
  <c r="AO29" i="2"/>
  <c r="AP29" i="2"/>
  <c r="AQ29" i="2"/>
  <c r="AR29" i="2"/>
  <c r="AS29" i="2"/>
  <c r="Z28" i="2"/>
  <c r="AA28" i="2"/>
  <c r="AB28" i="2"/>
  <c r="AC28" i="2"/>
  <c r="AD28" i="2"/>
  <c r="AE28" i="2"/>
  <c r="AF28" i="2"/>
  <c r="AG28" i="2"/>
  <c r="AH28" i="2"/>
  <c r="AI28" i="2"/>
  <c r="AJ28" i="2"/>
  <c r="AK28" i="2"/>
  <c r="AL28" i="2"/>
  <c r="AM28" i="2"/>
  <c r="AN28" i="2"/>
  <c r="AO28" i="2"/>
  <c r="AP28" i="2"/>
  <c r="AQ28" i="2"/>
  <c r="AR28" i="2"/>
  <c r="AS28" i="2"/>
  <c r="Y28" i="2"/>
  <c r="Y26" i="2"/>
  <c r="Z26" i="2"/>
  <c r="AA26" i="2"/>
  <c r="AB26" i="2"/>
  <c r="AC26" i="2"/>
  <c r="AD26" i="2"/>
  <c r="AE26" i="2"/>
  <c r="AF26" i="2"/>
  <c r="AG26" i="2"/>
  <c r="AH26" i="2"/>
  <c r="AI26" i="2"/>
  <c r="AJ26" i="2"/>
  <c r="AK26" i="2"/>
  <c r="AL26" i="2"/>
  <c r="AM26" i="2"/>
  <c r="AN26" i="2"/>
  <c r="AO26" i="2"/>
  <c r="AP26" i="2"/>
  <c r="AQ26" i="2"/>
  <c r="AR26" i="2"/>
  <c r="AS26" i="2"/>
  <c r="Z25" i="2"/>
  <c r="AA25" i="2"/>
  <c r="AB25" i="2"/>
  <c r="AC25" i="2"/>
  <c r="AD25" i="2"/>
  <c r="AE25" i="2"/>
  <c r="AF25" i="2"/>
  <c r="AG25" i="2"/>
  <c r="AH25" i="2"/>
  <c r="AI25" i="2"/>
  <c r="AJ25" i="2"/>
  <c r="AK25" i="2"/>
  <c r="AL25" i="2"/>
  <c r="AM25" i="2"/>
  <c r="AN25" i="2"/>
  <c r="AO25" i="2"/>
  <c r="AP25" i="2"/>
  <c r="AQ25" i="2"/>
  <c r="AR25" i="2"/>
  <c r="AS25" i="2"/>
  <c r="Y25" i="2"/>
  <c r="Y23" i="2"/>
  <c r="V75" i="2"/>
  <c r="B75" i="2"/>
  <c r="C75" i="2"/>
  <c r="D75" i="2"/>
  <c r="E75" i="2"/>
  <c r="F75" i="2"/>
  <c r="G75" i="2"/>
  <c r="H75" i="2"/>
  <c r="I75" i="2"/>
  <c r="J75" i="2"/>
  <c r="K75" i="2"/>
  <c r="L75" i="2"/>
  <c r="M75" i="2"/>
  <c r="N75" i="2"/>
  <c r="O75" i="2"/>
  <c r="P75" i="2"/>
  <c r="Q75" i="2"/>
  <c r="R75" i="2"/>
  <c r="S75" i="2"/>
  <c r="T75" i="2"/>
  <c r="U75" i="2"/>
  <c r="C74" i="2"/>
  <c r="D74" i="2"/>
  <c r="E74" i="2"/>
  <c r="F74" i="2"/>
  <c r="G74" i="2"/>
  <c r="H74" i="2"/>
  <c r="I74" i="2"/>
  <c r="J74" i="2"/>
  <c r="K74" i="2"/>
  <c r="L74" i="2"/>
  <c r="M74" i="2"/>
  <c r="N74" i="2"/>
  <c r="O74" i="2"/>
  <c r="P74" i="2"/>
  <c r="Q74" i="2"/>
  <c r="R74" i="2"/>
  <c r="S74" i="2"/>
  <c r="T74" i="2"/>
  <c r="U74" i="2"/>
  <c r="V74" i="2"/>
  <c r="V48" i="2"/>
  <c r="Z23" i="2"/>
  <c r="AA23" i="2"/>
  <c r="AB23" i="2"/>
  <c r="AC23" i="2"/>
  <c r="AD23" i="2"/>
  <c r="AE23" i="2"/>
  <c r="AF23" i="2"/>
  <c r="AG23" i="2"/>
  <c r="AH23" i="2"/>
  <c r="AI23" i="2"/>
  <c r="AJ23" i="2"/>
  <c r="AK23" i="2"/>
  <c r="AL23" i="2"/>
  <c r="AM23" i="2"/>
  <c r="AN23" i="2"/>
  <c r="AO23" i="2"/>
  <c r="AP23" i="2"/>
  <c r="AQ23" i="2"/>
  <c r="AR23" i="2"/>
  <c r="AS23" i="2"/>
  <c r="Z22" i="2"/>
  <c r="AA22" i="2"/>
  <c r="AB22" i="2"/>
  <c r="AC22" i="2"/>
  <c r="AD22" i="2"/>
  <c r="AE22" i="2"/>
  <c r="AF22" i="2"/>
  <c r="AG22" i="2"/>
  <c r="AH22" i="2"/>
  <c r="AI22" i="2"/>
  <c r="AJ22" i="2"/>
  <c r="AK22" i="2"/>
  <c r="AL22" i="2"/>
  <c r="AM22" i="2"/>
  <c r="AN22" i="2"/>
  <c r="AO22" i="2"/>
  <c r="AP22" i="2"/>
  <c r="AQ22" i="2"/>
  <c r="AR22" i="2"/>
  <c r="AS22" i="2"/>
  <c r="Y22" i="2"/>
  <c r="B96" i="2"/>
  <c r="C96" i="2"/>
  <c r="D96" i="2"/>
  <c r="E96" i="2"/>
  <c r="F96" i="2"/>
  <c r="G96" i="2"/>
  <c r="H96" i="2"/>
  <c r="I96" i="2"/>
  <c r="J96" i="2"/>
  <c r="K96" i="2"/>
  <c r="L96" i="2"/>
  <c r="M96" i="2"/>
  <c r="N96" i="2"/>
  <c r="O96" i="2"/>
  <c r="P96" i="2"/>
  <c r="Q96" i="2"/>
  <c r="R96" i="2"/>
  <c r="S96" i="2"/>
  <c r="T96" i="2"/>
  <c r="U96" i="2"/>
  <c r="V96" i="2"/>
  <c r="C95" i="2"/>
  <c r="D95" i="2"/>
  <c r="E95" i="2"/>
  <c r="F95" i="2"/>
  <c r="G95" i="2"/>
  <c r="H95" i="2"/>
  <c r="I95" i="2"/>
  <c r="J95" i="2"/>
  <c r="K95" i="2"/>
  <c r="L95" i="2"/>
  <c r="M95" i="2"/>
  <c r="N95" i="2"/>
  <c r="O95" i="2"/>
  <c r="P95" i="2"/>
  <c r="Q95" i="2"/>
  <c r="R95" i="2"/>
  <c r="S95" i="2"/>
  <c r="T95" i="2"/>
  <c r="U95" i="2"/>
  <c r="V95" i="2"/>
  <c r="B95" i="2"/>
  <c r="B93" i="2"/>
  <c r="C93" i="2"/>
  <c r="D93" i="2"/>
  <c r="E93" i="2"/>
  <c r="F93" i="2"/>
  <c r="G93" i="2"/>
  <c r="H93" i="2"/>
  <c r="I93" i="2"/>
  <c r="J93" i="2"/>
  <c r="K93" i="2"/>
  <c r="L93" i="2"/>
  <c r="M93" i="2"/>
  <c r="N93" i="2"/>
  <c r="O93" i="2"/>
  <c r="P93" i="2"/>
  <c r="Q93" i="2"/>
  <c r="R93" i="2"/>
  <c r="S93" i="2"/>
  <c r="T93" i="2"/>
  <c r="U93" i="2"/>
  <c r="V93" i="2"/>
  <c r="C92" i="2"/>
  <c r="D92" i="2"/>
  <c r="E92" i="2"/>
  <c r="F92" i="2"/>
  <c r="G92" i="2"/>
  <c r="H92" i="2"/>
  <c r="I92" i="2"/>
  <c r="J92" i="2"/>
  <c r="K92" i="2"/>
  <c r="L92" i="2"/>
  <c r="M92" i="2"/>
  <c r="N92" i="2"/>
  <c r="O92" i="2"/>
  <c r="P92" i="2"/>
  <c r="Q92" i="2"/>
  <c r="R92" i="2"/>
  <c r="S92" i="2"/>
  <c r="T92" i="2"/>
  <c r="U92" i="2"/>
  <c r="V92" i="2"/>
  <c r="B92" i="2"/>
  <c r="B90" i="2"/>
  <c r="C90" i="2"/>
  <c r="D90" i="2"/>
  <c r="E90" i="2"/>
  <c r="F90" i="2"/>
  <c r="G90" i="2"/>
  <c r="H90" i="2"/>
  <c r="I90" i="2"/>
  <c r="J90" i="2"/>
  <c r="K90" i="2"/>
  <c r="L90" i="2"/>
  <c r="M90" i="2"/>
  <c r="N90" i="2"/>
  <c r="O90" i="2"/>
  <c r="P90" i="2"/>
  <c r="Q90" i="2"/>
  <c r="R90" i="2"/>
  <c r="S90" i="2"/>
  <c r="T90" i="2"/>
  <c r="U90" i="2"/>
  <c r="V90" i="2"/>
  <c r="C89" i="2"/>
  <c r="D89" i="2"/>
  <c r="E89" i="2"/>
  <c r="F89" i="2"/>
  <c r="G89" i="2"/>
  <c r="H89" i="2"/>
  <c r="I89" i="2"/>
  <c r="J89" i="2"/>
  <c r="K89" i="2"/>
  <c r="L89" i="2"/>
  <c r="M89" i="2"/>
  <c r="N89" i="2"/>
  <c r="O89" i="2"/>
  <c r="P89" i="2"/>
  <c r="Q89" i="2"/>
  <c r="R89" i="2"/>
  <c r="S89" i="2"/>
  <c r="T89" i="2"/>
  <c r="U89" i="2"/>
  <c r="V89" i="2"/>
  <c r="B89" i="2"/>
  <c r="B87" i="2"/>
  <c r="C87" i="2"/>
  <c r="D87" i="2"/>
  <c r="E87" i="2"/>
  <c r="F87" i="2"/>
  <c r="G87" i="2"/>
  <c r="H87" i="2"/>
  <c r="I87" i="2"/>
  <c r="J87" i="2"/>
  <c r="K87" i="2"/>
  <c r="L87" i="2"/>
  <c r="M87" i="2"/>
  <c r="N87" i="2"/>
  <c r="O87" i="2"/>
  <c r="P87" i="2"/>
  <c r="Q87" i="2"/>
  <c r="R87" i="2"/>
  <c r="S87" i="2"/>
  <c r="T87" i="2"/>
  <c r="U87" i="2"/>
  <c r="V87" i="2"/>
  <c r="C86" i="2"/>
  <c r="D86" i="2"/>
  <c r="E86" i="2"/>
  <c r="F86" i="2"/>
  <c r="G86" i="2"/>
  <c r="H86" i="2"/>
  <c r="I86" i="2"/>
  <c r="J86" i="2"/>
  <c r="K86" i="2"/>
  <c r="L86" i="2"/>
  <c r="M86" i="2"/>
  <c r="N86" i="2"/>
  <c r="O86" i="2"/>
  <c r="P86" i="2"/>
  <c r="Q86" i="2"/>
  <c r="R86" i="2"/>
  <c r="S86" i="2"/>
  <c r="T86" i="2"/>
  <c r="U86" i="2"/>
  <c r="V86" i="2"/>
  <c r="B86" i="2"/>
  <c r="B84" i="2"/>
  <c r="C84" i="2"/>
  <c r="D84" i="2"/>
  <c r="E84" i="2"/>
  <c r="F84" i="2"/>
  <c r="G84" i="2"/>
  <c r="H84" i="2"/>
  <c r="I84" i="2"/>
  <c r="J84" i="2"/>
  <c r="K84" i="2"/>
  <c r="L84" i="2"/>
  <c r="M84" i="2"/>
  <c r="N84" i="2"/>
  <c r="O84" i="2"/>
  <c r="P84" i="2"/>
  <c r="Q84" i="2"/>
  <c r="R84" i="2"/>
  <c r="S84" i="2"/>
  <c r="T84" i="2"/>
  <c r="U84" i="2"/>
  <c r="V84" i="2"/>
  <c r="C83" i="2"/>
  <c r="D83" i="2"/>
  <c r="E83" i="2"/>
  <c r="F83" i="2"/>
  <c r="G83" i="2"/>
  <c r="H83" i="2"/>
  <c r="I83" i="2"/>
  <c r="J83" i="2"/>
  <c r="K83" i="2"/>
  <c r="L83" i="2"/>
  <c r="M83" i="2"/>
  <c r="N83" i="2"/>
  <c r="O83" i="2"/>
  <c r="P83" i="2"/>
  <c r="Q83" i="2"/>
  <c r="R83" i="2"/>
  <c r="S83" i="2"/>
  <c r="T83" i="2"/>
  <c r="U83" i="2"/>
  <c r="V83" i="2"/>
  <c r="B83" i="2"/>
  <c r="B81" i="2"/>
  <c r="C81" i="2"/>
  <c r="D81" i="2"/>
  <c r="E81" i="2"/>
  <c r="F81" i="2"/>
  <c r="G81" i="2"/>
  <c r="H81" i="2"/>
  <c r="I81" i="2"/>
  <c r="J81" i="2"/>
  <c r="K81" i="2"/>
  <c r="L81" i="2"/>
  <c r="M81" i="2"/>
  <c r="N81" i="2"/>
  <c r="O81" i="2"/>
  <c r="P81" i="2"/>
  <c r="Q81" i="2"/>
  <c r="R81" i="2"/>
  <c r="S81" i="2"/>
  <c r="T81" i="2"/>
  <c r="U81" i="2"/>
  <c r="V81" i="2"/>
  <c r="C80" i="2"/>
  <c r="D80" i="2"/>
  <c r="E80" i="2"/>
  <c r="F80" i="2"/>
  <c r="G80" i="2"/>
  <c r="H80" i="2"/>
  <c r="I80" i="2"/>
  <c r="J80" i="2"/>
  <c r="K80" i="2"/>
  <c r="L80" i="2"/>
  <c r="M80" i="2"/>
  <c r="N80" i="2"/>
  <c r="O80" i="2"/>
  <c r="P80" i="2"/>
  <c r="Q80" i="2"/>
  <c r="R80" i="2"/>
  <c r="S80" i="2"/>
  <c r="T80" i="2"/>
  <c r="U80" i="2"/>
  <c r="V80" i="2"/>
  <c r="B80" i="2"/>
  <c r="B77" i="2"/>
  <c r="B78" i="2"/>
  <c r="C78" i="2"/>
  <c r="D78" i="2"/>
  <c r="E78" i="2"/>
  <c r="F78" i="2"/>
  <c r="G78" i="2"/>
  <c r="H78" i="2"/>
  <c r="I78" i="2"/>
  <c r="J78" i="2"/>
  <c r="K78" i="2"/>
  <c r="L78" i="2"/>
  <c r="M78" i="2"/>
  <c r="N78" i="2"/>
  <c r="O78" i="2"/>
  <c r="P78" i="2"/>
  <c r="Q78" i="2"/>
  <c r="R78" i="2"/>
  <c r="S78" i="2"/>
  <c r="T78" i="2"/>
  <c r="U78" i="2"/>
  <c r="V78" i="2"/>
  <c r="C77" i="2"/>
  <c r="D77" i="2"/>
  <c r="E77" i="2"/>
  <c r="F77" i="2"/>
  <c r="G77" i="2"/>
  <c r="H77" i="2"/>
  <c r="I77" i="2"/>
  <c r="J77" i="2"/>
  <c r="K77" i="2"/>
  <c r="L77" i="2"/>
  <c r="M77" i="2"/>
  <c r="N77" i="2"/>
  <c r="O77" i="2"/>
  <c r="P77" i="2"/>
  <c r="Q77" i="2"/>
  <c r="R77" i="2"/>
  <c r="S77" i="2"/>
  <c r="T77" i="2"/>
  <c r="U77" i="2"/>
  <c r="V77" i="2"/>
  <c r="B74" i="2"/>
  <c r="B48" i="2"/>
  <c r="B23" i="2"/>
  <c r="C48" i="2"/>
  <c r="C31" i="2"/>
  <c r="B22" i="2"/>
  <c r="C23" i="2"/>
  <c r="D31" i="6"/>
  <c r="G8" i="7"/>
  <c r="G10" i="7"/>
  <c r="D13" i="7"/>
  <c r="G15" i="7" s="1"/>
  <c r="G19" i="7"/>
  <c r="G18" i="7"/>
  <c r="G17" i="7"/>
  <c r="G16" i="7"/>
  <c r="G12" i="7"/>
  <c r="G11" i="7"/>
  <c r="G9" i="7"/>
  <c r="G7" i="7"/>
  <c r="G6" i="7"/>
  <c r="G5" i="7"/>
  <c r="C3" i="6"/>
  <c r="C4" i="6"/>
  <c r="C5" i="6"/>
  <c r="C6" i="6"/>
  <c r="C7" i="6"/>
  <c r="C8" i="6"/>
  <c r="C9" i="6"/>
  <c r="C10" i="6"/>
  <c r="C11" i="6"/>
  <c r="C12" i="6"/>
  <c r="C13" i="6"/>
  <c r="C14" i="6"/>
  <c r="C15" i="6"/>
  <c r="C16" i="6"/>
  <c r="C17" i="6"/>
  <c r="C18" i="6"/>
  <c r="C19" i="6"/>
  <c r="C20" i="6"/>
  <c r="C21" i="6"/>
  <c r="C22" i="6"/>
  <c r="C23" i="6"/>
  <c r="C24" i="6"/>
  <c r="C25" i="6"/>
  <c r="C26" i="6"/>
  <c r="C27" i="6"/>
  <c r="C28" i="6"/>
  <c r="C2" i="6"/>
  <c r="F10" i="6" l="1"/>
  <c r="G13" i="7"/>
  <c r="G21" i="7"/>
  <c r="H18" i="7" s="1"/>
  <c r="J6" i="7" s="1"/>
  <c r="F5" i="6"/>
  <c r="H15" i="7" l="1"/>
  <c r="H13" i="7"/>
  <c r="J4" i="7" s="1"/>
  <c r="H10" i="7"/>
  <c r="J11" i="7" s="1"/>
  <c r="H6" i="7"/>
  <c r="H5" i="7"/>
  <c r="J8" i="7" s="1"/>
  <c r="H12" i="7"/>
  <c r="H11" i="7"/>
  <c r="H14" i="7"/>
  <c r="H17" i="7"/>
  <c r="J7" i="7" s="1"/>
  <c r="H7" i="7"/>
  <c r="H8" i="7"/>
  <c r="H4" i="7"/>
  <c r="J9" i="7" s="1"/>
  <c r="H19" i="7"/>
  <c r="H16" i="7"/>
  <c r="H9" i="7"/>
  <c r="J10" i="7" l="1"/>
  <c r="J5" i="7"/>
  <c r="G19" i="5" l="1"/>
  <c r="G17" i="5"/>
  <c r="G18" i="5"/>
  <c r="G16" i="5"/>
  <c r="G15" i="5"/>
  <c r="G13" i="5"/>
  <c r="G11" i="5"/>
  <c r="G12" i="5"/>
  <c r="G10" i="5"/>
  <c r="G7" i="5"/>
  <c r="G8" i="5"/>
  <c r="G9" i="5"/>
  <c r="G6" i="5"/>
  <c r="G5" i="5"/>
  <c r="G21" i="5" s="1"/>
  <c r="H12" i="5" l="1"/>
  <c r="H16" i="5"/>
  <c r="H11" i="5"/>
  <c r="H4" i="5"/>
  <c r="J9" i="5" s="1"/>
  <c r="H8" i="5"/>
  <c r="H9" i="5"/>
  <c r="H18" i="5"/>
  <c r="J6" i="5" s="1"/>
  <c r="H6" i="5"/>
  <c r="H10" i="5"/>
  <c r="H14" i="5"/>
  <c r="H7" i="5"/>
  <c r="H13" i="5"/>
  <c r="J4" i="5" s="1"/>
  <c r="H17" i="5"/>
  <c r="J7" i="5" s="1"/>
  <c r="H15" i="5"/>
  <c r="J5" i="5" s="1"/>
  <c r="H19" i="5"/>
  <c r="H5" i="5"/>
  <c r="J8" i="5" s="1"/>
  <c r="J11" i="5" l="1"/>
  <c r="J10" i="5"/>
  <c r="W5" i="2"/>
  <c r="W6" i="2"/>
  <c r="W7" i="2"/>
  <c r="W8" i="2"/>
  <c r="W9" i="2"/>
  <c r="W10" i="2"/>
  <c r="W11" i="2"/>
  <c r="H13" i="2" l="1"/>
  <c r="O9" i="2" l="1"/>
  <c r="O10" i="2"/>
  <c r="O11" i="2"/>
  <c r="O8" i="2"/>
  <c r="F32" i="4" l="1"/>
  <c r="H32" i="4"/>
  <c r="H33" i="4"/>
  <c r="H34" i="4"/>
  <c r="H35" i="4"/>
  <c r="H36" i="4"/>
  <c r="H37" i="4"/>
  <c r="F46" i="4"/>
  <c r="F47" i="4"/>
  <c r="F48" i="4"/>
  <c r="F49" i="4"/>
  <c r="F50" i="4"/>
  <c r="F45" i="4"/>
  <c r="F33" i="4"/>
  <c r="F34" i="4"/>
  <c r="F35" i="4"/>
  <c r="F36" i="4"/>
  <c r="F37" i="4"/>
  <c r="F20" i="4"/>
  <c r="F21" i="4"/>
  <c r="F22" i="4"/>
  <c r="F23" i="4"/>
  <c r="F24" i="4"/>
  <c r="F19" i="4"/>
  <c r="F12" i="4"/>
  <c r="F8" i="4"/>
  <c r="F9" i="4"/>
  <c r="F10" i="4"/>
  <c r="F11" i="4"/>
  <c r="F7" i="4"/>
  <c r="D66" i="2" l="1"/>
  <c r="B70" i="2"/>
  <c r="C70" i="2"/>
  <c r="D70" i="2"/>
  <c r="E70" i="2"/>
  <c r="F70" i="2"/>
  <c r="G70" i="2"/>
  <c r="H70" i="2"/>
  <c r="I70" i="2"/>
  <c r="J70" i="2"/>
  <c r="K70" i="2"/>
  <c r="L70" i="2"/>
  <c r="M70" i="2"/>
  <c r="N70" i="2"/>
  <c r="O70" i="2"/>
  <c r="P70" i="2"/>
  <c r="Q70" i="2"/>
  <c r="R70" i="2"/>
  <c r="S70" i="2"/>
  <c r="T70" i="2"/>
  <c r="U70" i="2"/>
  <c r="V70" i="2"/>
  <c r="C69" i="2"/>
  <c r="D69" i="2"/>
  <c r="E69" i="2"/>
  <c r="F69" i="2"/>
  <c r="G69" i="2"/>
  <c r="H69" i="2"/>
  <c r="I69" i="2"/>
  <c r="J69" i="2"/>
  <c r="K69" i="2"/>
  <c r="L69" i="2"/>
  <c r="M69" i="2"/>
  <c r="N69" i="2"/>
  <c r="O69" i="2"/>
  <c r="P69" i="2"/>
  <c r="Q69" i="2"/>
  <c r="R69" i="2"/>
  <c r="S69" i="2"/>
  <c r="T69" i="2"/>
  <c r="U69" i="2"/>
  <c r="V69" i="2"/>
  <c r="B69" i="2"/>
  <c r="B66" i="2"/>
  <c r="B67" i="2"/>
  <c r="C67" i="2"/>
  <c r="D67" i="2"/>
  <c r="E67" i="2"/>
  <c r="F67" i="2"/>
  <c r="G67" i="2"/>
  <c r="H67" i="2"/>
  <c r="I67" i="2"/>
  <c r="J67" i="2"/>
  <c r="K67" i="2"/>
  <c r="L67" i="2"/>
  <c r="M67" i="2"/>
  <c r="N67" i="2"/>
  <c r="O67" i="2"/>
  <c r="P67" i="2"/>
  <c r="Q67" i="2"/>
  <c r="R67" i="2"/>
  <c r="S67" i="2"/>
  <c r="T67" i="2"/>
  <c r="U67" i="2"/>
  <c r="V67" i="2"/>
  <c r="C66" i="2"/>
  <c r="E66" i="2"/>
  <c r="F66" i="2"/>
  <c r="G66" i="2"/>
  <c r="H66" i="2"/>
  <c r="I66" i="2"/>
  <c r="J66" i="2"/>
  <c r="K66" i="2"/>
  <c r="L66" i="2"/>
  <c r="M66" i="2"/>
  <c r="N66" i="2"/>
  <c r="O66" i="2"/>
  <c r="P66" i="2"/>
  <c r="Q66" i="2"/>
  <c r="R66" i="2"/>
  <c r="S66" i="2"/>
  <c r="T66" i="2"/>
  <c r="U66" i="2"/>
  <c r="V66" i="2"/>
  <c r="B64" i="2"/>
  <c r="C64" i="2"/>
  <c r="D64" i="2"/>
  <c r="E64" i="2"/>
  <c r="F64" i="2"/>
  <c r="G64" i="2"/>
  <c r="H64" i="2"/>
  <c r="I64" i="2"/>
  <c r="J64" i="2"/>
  <c r="K64" i="2"/>
  <c r="L64" i="2"/>
  <c r="M64" i="2"/>
  <c r="N64" i="2"/>
  <c r="O64" i="2"/>
  <c r="P64" i="2"/>
  <c r="Q64" i="2"/>
  <c r="R64" i="2"/>
  <c r="S64" i="2"/>
  <c r="T64" i="2"/>
  <c r="U64" i="2"/>
  <c r="V64" i="2"/>
  <c r="C63" i="2"/>
  <c r="D63" i="2"/>
  <c r="E63" i="2"/>
  <c r="F63" i="2"/>
  <c r="G63" i="2"/>
  <c r="H63" i="2"/>
  <c r="I63" i="2"/>
  <c r="J63" i="2"/>
  <c r="K63" i="2"/>
  <c r="L63" i="2"/>
  <c r="M63" i="2"/>
  <c r="N63" i="2"/>
  <c r="O63" i="2"/>
  <c r="P63" i="2"/>
  <c r="Q63" i="2"/>
  <c r="R63" i="2"/>
  <c r="S63" i="2"/>
  <c r="T63" i="2"/>
  <c r="U63" i="2"/>
  <c r="V63" i="2"/>
  <c r="B63" i="2"/>
  <c r="B60" i="2"/>
  <c r="B61" i="2"/>
  <c r="C61" i="2"/>
  <c r="D61" i="2"/>
  <c r="E61" i="2"/>
  <c r="F61" i="2"/>
  <c r="G61" i="2"/>
  <c r="H61" i="2"/>
  <c r="I61" i="2"/>
  <c r="J61" i="2"/>
  <c r="K61" i="2"/>
  <c r="L61" i="2"/>
  <c r="M61" i="2"/>
  <c r="N61" i="2"/>
  <c r="O61" i="2"/>
  <c r="P61" i="2"/>
  <c r="Q61" i="2"/>
  <c r="R61" i="2"/>
  <c r="S61" i="2"/>
  <c r="T61" i="2"/>
  <c r="U61" i="2"/>
  <c r="V61" i="2"/>
  <c r="C60" i="2"/>
  <c r="D60" i="2"/>
  <c r="E60" i="2"/>
  <c r="F60" i="2"/>
  <c r="G60" i="2"/>
  <c r="H60" i="2"/>
  <c r="I60" i="2"/>
  <c r="J60" i="2"/>
  <c r="K60" i="2"/>
  <c r="L60" i="2"/>
  <c r="M60" i="2"/>
  <c r="N60" i="2"/>
  <c r="O60" i="2"/>
  <c r="P60" i="2"/>
  <c r="Q60" i="2"/>
  <c r="R60" i="2"/>
  <c r="S60" i="2"/>
  <c r="T60" i="2"/>
  <c r="U60" i="2"/>
  <c r="V60" i="2"/>
  <c r="B58" i="2"/>
  <c r="C58" i="2"/>
  <c r="D58" i="2"/>
  <c r="E58" i="2"/>
  <c r="F58" i="2"/>
  <c r="G58" i="2"/>
  <c r="H58" i="2"/>
  <c r="I58" i="2"/>
  <c r="J58" i="2"/>
  <c r="K58" i="2"/>
  <c r="L58" i="2"/>
  <c r="M58" i="2"/>
  <c r="N58" i="2"/>
  <c r="O58" i="2"/>
  <c r="P58" i="2"/>
  <c r="Q58" i="2"/>
  <c r="R58" i="2"/>
  <c r="S58" i="2"/>
  <c r="T58" i="2"/>
  <c r="U58" i="2"/>
  <c r="V58" i="2"/>
  <c r="C57" i="2"/>
  <c r="D57" i="2"/>
  <c r="E57" i="2"/>
  <c r="F57" i="2"/>
  <c r="G57" i="2"/>
  <c r="H57" i="2"/>
  <c r="I57" i="2"/>
  <c r="J57" i="2"/>
  <c r="K57" i="2"/>
  <c r="L57" i="2"/>
  <c r="M57" i="2"/>
  <c r="N57" i="2"/>
  <c r="O57" i="2"/>
  <c r="P57" i="2"/>
  <c r="Q57" i="2"/>
  <c r="R57" i="2"/>
  <c r="S57" i="2"/>
  <c r="T57" i="2"/>
  <c r="U57" i="2"/>
  <c r="V57" i="2"/>
  <c r="B57" i="2"/>
  <c r="B55" i="2"/>
  <c r="C55" i="2"/>
  <c r="D55" i="2"/>
  <c r="E55" i="2"/>
  <c r="F55" i="2"/>
  <c r="G55" i="2"/>
  <c r="H55" i="2"/>
  <c r="I55" i="2"/>
  <c r="J55" i="2"/>
  <c r="K55" i="2"/>
  <c r="L55" i="2"/>
  <c r="M55" i="2"/>
  <c r="N55" i="2"/>
  <c r="O55" i="2"/>
  <c r="P55" i="2"/>
  <c r="Q55" i="2"/>
  <c r="R55" i="2"/>
  <c r="S55" i="2"/>
  <c r="T55" i="2"/>
  <c r="U55" i="2"/>
  <c r="V55" i="2"/>
  <c r="C54" i="2"/>
  <c r="D54" i="2"/>
  <c r="E54" i="2"/>
  <c r="F54" i="2"/>
  <c r="G54" i="2"/>
  <c r="H54" i="2"/>
  <c r="I54" i="2"/>
  <c r="J54" i="2"/>
  <c r="K54" i="2"/>
  <c r="L54" i="2"/>
  <c r="M54" i="2"/>
  <c r="N54" i="2"/>
  <c r="O54" i="2"/>
  <c r="P54" i="2"/>
  <c r="Q54" i="2"/>
  <c r="R54" i="2"/>
  <c r="S54" i="2"/>
  <c r="T54" i="2"/>
  <c r="U54" i="2"/>
  <c r="V54" i="2"/>
  <c r="B54" i="2"/>
  <c r="B52" i="2"/>
  <c r="C52" i="2"/>
  <c r="D52" i="2"/>
  <c r="E52" i="2"/>
  <c r="F52" i="2"/>
  <c r="G52" i="2"/>
  <c r="H52" i="2"/>
  <c r="I52" i="2"/>
  <c r="J52" i="2"/>
  <c r="K52" i="2"/>
  <c r="L52" i="2"/>
  <c r="M52" i="2"/>
  <c r="N52" i="2"/>
  <c r="O52" i="2"/>
  <c r="P52" i="2"/>
  <c r="Q52" i="2"/>
  <c r="R52" i="2"/>
  <c r="S52" i="2"/>
  <c r="T52" i="2"/>
  <c r="U52" i="2"/>
  <c r="V52" i="2"/>
  <c r="C51" i="2"/>
  <c r="D51" i="2"/>
  <c r="E51" i="2"/>
  <c r="F51" i="2"/>
  <c r="G51" i="2"/>
  <c r="H51" i="2"/>
  <c r="I51" i="2"/>
  <c r="J51" i="2"/>
  <c r="K51" i="2"/>
  <c r="L51" i="2"/>
  <c r="M51" i="2"/>
  <c r="N51" i="2"/>
  <c r="O51" i="2"/>
  <c r="P51" i="2"/>
  <c r="Q51" i="2"/>
  <c r="R51" i="2"/>
  <c r="S51" i="2"/>
  <c r="T51" i="2"/>
  <c r="U51" i="2"/>
  <c r="V51" i="2"/>
  <c r="B51" i="2"/>
  <c r="U49" i="2"/>
  <c r="B49" i="2"/>
  <c r="C49" i="2"/>
  <c r="D49" i="2"/>
  <c r="E49" i="2"/>
  <c r="F49" i="2"/>
  <c r="G49" i="2"/>
  <c r="H49" i="2"/>
  <c r="I49" i="2"/>
  <c r="J49" i="2"/>
  <c r="K49" i="2"/>
  <c r="L49" i="2"/>
  <c r="M49" i="2"/>
  <c r="N49" i="2"/>
  <c r="O49" i="2"/>
  <c r="P49" i="2"/>
  <c r="Q49" i="2"/>
  <c r="R49" i="2"/>
  <c r="S49" i="2"/>
  <c r="T49" i="2"/>
  <c r="V49" i="2"/>
  <c r="D48" i="2"/>
  <c r="E48" i="2"/>
  <c r="F48" i="2"/>
  <c r="G48" i="2"/>
  <c r="H48" i="2"/>
  <c r="I48" i="2"/>
  <c r="J48" i="2"/>
  <c r="K48" i="2"/>
  <c r="L48" i="2"/>
  <c r="M48" i="2"/>
  <c r="N48" i="2"/>
  <c r="O48" i="2"/>
  <c r="P48" i="2"/>
  <c r="Q48" i="2"/>
  <c r="R48" i="2"/>
  <c r="S48" i="2"/>
  <c r="T48" i="2"/>
  <c r="U48" i="2"/>
  <c r="F44" i="2"/>
  <c r="B44" i="2"/>
  <c r="C44" i="2"/>
  <c r="D44" i="2"/>
  <c r="E44" i="2"/>
  <c r="G44" i="2"/>
  <c r="H44" i="2"/>
  <c r="I44" i="2"/>
  <c r="J44" i="2"/>
  <c r="K44" i="2"/>
  <c r="L44" i="2"/>
  <c r="M44" i="2"/>
  <c r="N44" i="2"/>
  <c r="O44" i="2"/>
  <c r="P44" i="2"/>
  <c r="Q44" i="2"/>
  <c r="R44" i="2"/>
  <c r="S44" i="2"/>
  <c r="T44" i="2"/>
  <c r="U44" i="2"/>
  <c r="V44" i="2"/>
  <c r="C43" i="2"/>
  <c r="D43" i="2"/>
  <c r="E43" i="2"/>
  <c r="F43" i="2"/>
  <c r="G43" i="2"/>
  <c r="H43" i="2"/>
  <c r="I43" i="2"/>
  <c r="J43" i="2"/>
  <c r="K43" i="2"/>
  <c r="L43" i="2"/>
  <c r="M43" i="2"/>
  <c r="N43" i="2"/>
  <c r="O43" i="2"/>
  <c r="P43" i="2"/>
  <c r="Q43" i="2"/>
  <c r="R43" i="2"/>
  <c r="S43" i="2"/>
  <c r="T43" i="2"/>
  <c r="U43" i="2"/>
  <c r="V43" i="2"/>
  <c r="B43" i="2"/>
  <c r="B41" i="2"/>
  <c r="C41" i="2"/>
  <c r="D41" i="2"/>
  <c r="E41" i="2"/>
  <c r="F41" i="2"/>
  <c r="G41" i="2"/>
  <c r="H41" i="2"/>
  <c r="I41" i="2"/>
  <c r="J41" i="2"/>
  <c r="K41" i="2"/>
  <c r="L41" i="2"/>
  <c r="M41" i="2"/>
  <c r="N41" i="2"/>
  <c r="O41" i="2"/>
  <c r="P41" i="2"/>
  <c r="Q41" i="2"/>
  <c r="R41" i="2"/>
  <c r="S41" i="2"/>
  <c r="T41" i="2"/>
  <c r="U41" i="2"/>
  <c r="V41" i="2"/>
  <c r="C40" i="2"/>
  <c r="D40" i="2"/>
  <c r="E40" i="2"/>
  <c r="F40" i="2"/>
  <c r="G40" i="2"/>
  <c r="H40" i="2"/>
  <c r="I40" i="2"/>
  <c r="J40" i="2"/>
  <c r="K40" i="2"/>
  <c r="L40" i="2"/>
  <c r="M40" i="2"/>
  <c r="N40" i="2"/>
  <c r="O40" i="2"/>
  <c r="P40" i="2"/>
  <c r="Q40" i="2"/>
  <c r="R40" i="2"/>
  <c r="S40" i="2"/>
  <c r="T40" i="2"/>
  <c r="U40" i="2"/>
  <c r="V40" i="2"/>
  <c r="B40" i="2"/>
  <c r="B38" i="2"/>
  <c r="C38" i="2"/>
  <c r="D38" i="2"/>
  <c r="E38" i="2"/>
  <c r="F38" i="2"/>
  <c r="G38" i="2"/>
  <c r="H38" i="2"/>
  <c r="I38" i="2"/>
  <c r="J38" i="2"/>
  <c r="K38" i="2"/>
  <c r="L38" i="2"/>
  <c r="M38" i="2"/>
  <c r="N38" i="2"/>
  <c r="O38" i="2"/>
  <c r="P38" i="2"/>
  <c r="Q38" i="2"/>
  <c r="R38" i="2"/>
  <c r="S38" i="2"/>
  <c r="T38" i="2"/>
  <c r="U38" i="2"/>
  <c r="V38" i="2"/>
  <c r="C37" i="2"/>
  <c r="D37" i="2"/>
  <c r="E37" i="2"/>
  <c r="F37" i="2"/>
  <c r="G37" i="2"/>
  <c r="H37" i="2"/>
  <c r="I37" i="2"/>
  <c r="J37" i="2"/>
  <c r="K37" i="2"/>
  <c r="L37" i="2"/>
  <c r="M37" i="2"/>
  <c r="N37" i="2"/>
  <c r="O37" i="2"/>
  <c r="P37" i="2"/>
  <c r="Q37" i="2"/>
  <c r="R37" i="2"/>
  <c r="S37" i="2"/>
  <c r="T37" i="2"/>
  <c r="U37" i="2"/>
  <c r="V37" i="2"/>
  <c r="B37" i="2"/>
  <c r="B35" i="2"/>
  <c r="C35" i="2"/>
  <c r="D35" i="2"/>
  <c r="E35" i="2"/>
  <c r="F35" i="2"/>
  <c r="G35" i="2"/>
  <c r="H35" i="2"/>
  <c r="I35" i="2"/>
  <c r="J35" i="2"/>
  <c r="K35" i="2"/>
  <c r="L35" i="2"/>
  <c r="M35" i="2"/>
  <c r="N35" i="2"/>
  <c r="O35" i="2"/>
  <c r="P35" i="2"/>
  <c r="Q35" i="2"/>
  <c r="R35" i="2"/>
  <c r="S35" i="2"/>
  <c r="T35" i="2"/>
  <c r="U35" i="2"/>
  <c r="V35" i="2"/>
  <c r="C34" i="2"/>
  <c r="D34" i="2"/>
  <c r="E34" i="2"/>
  <c r="F34" i="2"/>
  <c r="G34" i="2"/>
  <c r="H34" i="2"/>
  <c r="I34" i="2"/>
  <c r="J34" i="2"/>
  <c r="K34" i="2"/>
  <c r="L34" i="2"/>
  <c r="M34" i="2"/>
  <c r="N34" i="2"/>
  <c r="O34" i="2"/>
  <c r="P34" i="2"/>
  <c r="Q34" i="2"/>
  <c r="R34" i="2"/>
  <c r="S34" i="2"/>
  <c r="T34" i="2"/>
  <c r="U34" i="2"/>
  <c r="V34" i="2"/>
  <c r="B34" i="2"/>
  <c r="G31" i="2"/>
  <c r="B32" i="2"/>
  <c r="C32" i="2"/>
  <c r="D32" i="2"/>
  <c r="E32" i="2"/>
  <c r="F32" i="2"/>
  <c r="G32" i="2"/>
  <c r="H32" i="2"/>
  <c r="I32" i="2"/>
  <c r="J32" i="2"/>
  <c r="K32" i="2"/>
  <c r="L32" i="2"/>
  <c r="M32" i="2"/>
  <c r="N32" i="2"/>
  <c r="O32" i="2"/>
  <c r="P32" i="2"/>
  <c r="Q32" i="2"/>
  <c r="R32" i="2"/>
  <c r="S32" i="2"/>
  <c r="T32" i="2"/>
  <c r="U32" i="2"/>
  <c r="V32" i="2"/>
  <c r="D31" i="2"/>
  <c r="E31" i="2"/>
  <c r="F31" i="2"/>
  <c r="H31" i="2"/>
  <c r="I31" i="2"/>
  <c r="J31" i="2"/>
  <c r="K31" i="2"/>
  <c r="L31" i="2"/>
  <c r="M31" i="2"/>
  <c r="N31" i="2"/>
  <c r="O31" i="2"/>
  <c r="P31" i="2"/>
  <c r="Q31" i="2"/>
  <c r="R31" i="2"/>
  <c r="S31" i="2"/>
  <c r="T31" i="2"/>
  <c r="U31" i="2"/>
  <c r="V31" i="2"/>
  <c r="B31" i="2"/>
  <c r="B28" i="2"/>
  <c r="B29" i="2"/>
  <c r="C29" i="2"/>
  <c r="D29" i="2"/>
  <c r="E29" i="2"/>
  <c r="F29" i="2"/>
  <c r="G29" i="2"/>
  <c r="H29" i="2"/>
  <c r="I29" i="2"/>
  <c r="J29" i="2"/>
  <c r="K29" i="2"/>
  <c r="L29" i="2"/>
  <c r="M29" i="2"/>
  <c r="N29" i="2"/>
  <c r="O29" i="2"/>
  <c r="P29" i="2"/>
  <c r="Q29" i="2"/>
  <c r="R29" i="2"/>
  <c r="S29" i="2"/>
  <c r="T29" i="2"/>
  <c r="U29" i="2"/>
  <c r="V29" i="2"/>
  <c r="C28" i="2"/>
  <c r="D28" i="2"/>
  <c r="E28" i="2"/>
  <c r="F28" i="2"/>
  <c r="G28" i="2"/>
  <c r="H28" i="2"/>
  <c r="I28" i="2"/>
  <c r="J28" i="2"/>
  <c r="K28" i="2"/>
  <c r="L28" i="2"/>
  <c r="M28" i="2"/>
  <c r="N28" i="2"/>
  <c r="O28" i="2"/>
  <c r="P28" i="2"/>
  <c r="Q28" i="2"/>
  <c r="R28" i="2"/>
  <c r="S28" i="2"/>
  <c r="T28" i="2"/>
  <c r="U28" i="2"/>
  <c r="V28" i="2"/>
  <c r="B26" i="2"/>
  <c r="C26" i="2"/>
  <c r="D26" i="2"/>
  <c r="E26" i="2"/>
  <c r="F26" i="2"/>
  <c r="G26" i="2"/>
  <c r="H26" i="2"/>
  <c r="I26" i="2"/>
  <c r="J26" i="2"/>
  <c r="K26" i="2"/>
  <c r="L26" i="2"/>
  <c r="M26" i="2"/>
  <c r="N26" i="2"/>
  <c r="O26" i="2"/>
  <c r="P26" i="2"/>
  <c r="Q26" i="2"/>
  <c r="R26" i="2"/>
  <c r="S26" i="2"/>
  <c r="T26" i="2"/>
  <c r="U26" i="2"/>
  <c r="V26" i="2"/>
  <c r="C25" i="2"/>
  <c r="D25" i="2"/>
  <c r="E25" i="2"/>
  <c r="F25" i="2"/>
  <c r="G25" i="2"/>
  <c r="H25" i="2"/>
  <c r="I25" i="2"/>
  <c r="J25" i="2"/>
  <c r="K25" i="2"/>
  <c r="L25" i="2"/>
  <c r="M25" i="2"/>
  <c r="N25" i="2"/>
  <c r="O25" i="2"/>
  <c r="P25" i="2"/>
  <c r="Q25" i="2"/>
  <c r="R25" i="2"/>
  <c r="S25" i="2"/>
  <c r="T25" i="2"/>
  <c r="U25" i="2"/>
  <c r="V25" i="2"/>
  <c r="B25" i="2"/>
  <c r="T23" i="2"/>
  <c r="D23" i="2"/>
  <c r="E23" i="2"/>
  <c r="F23" i="2"/>
  <c r="G23" i="2"/>
  <c r="H23" i="2"/>
  <c r="I23" i="2"/>
  <c r="J23" i="2"/>
  <c r="K23" i="2"/>
  <c r="L23" i="2"/>
  <c r="M23" i="2"/>
  <c r="N23" i="2"/>
  <c r="O23" i="2"/>
  <c r="P23" i="2"/>
  <c r="Q23" i="2"/>
  <c r="R23" i="2"/>
  <c r="S23" i="2"/>
  <c r="U23" i="2"/>
  <c r="V23" i="2"/>
  <c r="C22" i="2"/>
  <c r="D22" i="2"/>
  <c r="E22" i="2"/>
  <c r="F22" i="2"/>
  <c r="G22" i="2"/>
  <c r="H22" i="2"/>
  <c r="I22" i="2"/>
  <c r="J22" i="2"/>
  <c r="K22" i="2"/>
  <c r="L22" i="2"/>
  <c r="M22" i="2"/>
  <c r="N22" i="2"/>
  <c r="O22" i="2"/>
  <c r="P22" i="2"/>
  <c r="Q22" i="2"/>
  <c r="R22" i="2"/>
  <c r="S22" i="2"/>
  <c r="T22" i="2"/>
  <c r="U22" i="2"/>
  <c r="V22" i="2"/>
  <c r="E11" i="2"/>
  <c r="E5" i="2"/>
  <c r="E6" i="2"/>
  <c r="E7" i="2"/>
  <c r="E8" i="2"/>
  <c r="E9" i="2"/>
  <c r="E10" i="2"/>
  <c r="E4" i="2"/>
  <c r="D5" i="2"/>
  <c r="D6" i="2"/>
  <c r="D7" i="2"/>
  <c r="D8" i="2"/>
  <c r="D9" i="2"/>
  <c r="D10" i="2"/>
  <c r="D11" i="2"/>
  <c r="D4"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Sibel</author>
  </authors>
  <commentList>
    <comment ref="G1" authorId="0" shapeId="0" xr:uid="{16AD0B78-F0D7-4B2D-8A14-C668E9287809}">
      <text>
        <r>
          <rPr>
            <b/>
            <sz val="9"/>
            <color indexed="81"/>
            <rFont val="Tahoma"/>
            <family val="2"/>
          </rPr>
          <t>from WRI Shifting diets report; Fig es-2, pg 4</t>
        </r>
      </text>
    </comment>
    <comment ref="B2" authorId="0" shapeId="0" xr:uid="{74E69FF7-A35D-41E8-A56A-0E2B35F1D92F}">
      <text>
        <r>
          <rPr>
            <b/>
            <sz val="9"/>
            <color indexed="81"/>
            <rFont val="Tahoma"/>
            <family val="2"/>
          </rPr>
          <t>admin:</t>
        </r>
        <r>
          <rPr>
            <sz val="9"/>
            <color indexed="81"/>
            <rFont val="Tahoma"/>
            <family val="2"/>
          </rPr>
          <t xml:space="preserve">
from Pimentel and Pimentel 2003, for the US</t>
        </r>
      </text>
    </comment>
    <comment ref="D2" authorId="0" shapeId="0" xr:uid="{948E7ABF-87E2-4542-B5CC-3151C3BB3399}">
      <text>
        <r>
          <rPr>
            <b/>
            <sz val="9"/>
            <color indexed="81"/>
            <rFont val="Tahoma"/>
            <family val="2"/>
          </rPr>
          <t>admin:</t>
        </r>
        <r>
          <rPr>
            <sz val="9"/>
            <color indexed="81"/>
            <rFont val="Tahoma"/>
            <family val="2"/>
          </rPr>
          <t xml:space="preserve">
From WRI, Shifting Diets, Table B1
 </t>
        </r>
      </text>
    </comment>
    <comment ref="U2" authorId="0" shapeId="0" xr:uid="{35F54FE2-1137-45D8-A5A1-E7F62FD4508F}">
      <text>
        <r>
          <rPr>
            <b/>
            <sz val="9"/>
            <color indexed="81"/>
            <rFont val="Tahoma"/>
            <family val="2"/>
          </rPr>
          <t>admin:</t>
        </r>
        <r>
          <rPr>
            <sz val="9"/>
            <color indexed="81"/>
            <rFont val="Tahoma"/>
            <family val="2"/>
          </rPr>
          <t xml:space="preserve">
Chris's calculations based on FAO and USDA
</t>
        </r>
      </text>
    </comment>
    <comment ref="X2" authorId="1" shapeId="0" xr:uid="{C7AB21B1-E39B-443B-8E14-A5E459EE16E6}">
      <text>
        <r>
          <rPr>
            <b/>
            <sz val="9"/>
            <color indexed="81"/>
            <rFont val="Tahoma"/>
            <family val="2"/>
          </rPr>
          <t>Sibel:</t>
        </r>
        <r>
          <rPr>
            <sz val="9"/>
            <color indexed="81"/>
            <rFont val="Tahoma"/>
            <family val="2"/>
          </rPr>
          <t xml:space="preserve">
Springman 2018 - Nature paper</t>
        </r>
      </text>
    </comment>
    <comment ref="B7" authorId="0" shapeId="0" xr:uid="{96A3DE55-7F68-43A3-AB2F-993297C8A801}">
      <text>
        <r>
          <rPr>
            <b/>
            <sz val="9"/>
            <color indexed="81"/>
            <rFont val="Tahoma"/>
            <family val="2"/>
          </rPr>
          <t>admin:</t>
        </r>
        <r>
          <rPr>
            <sz val="9"/>
            <color indexed="81"/>
            <rFont val="Tahoma"/>
            <family val="2"/>
          </rPr>
          <t xml:space="preserve">
Assuming that 76% of the meat demand is for poultry and pigs - Globiom</t>
        </r>
      </text>
    </comment>
    <comment ref="J10" authorId="0" shapeId="0" xr:uid="{EA4D4474-71F1-45CF-AF68-D7131AE0C8F1}">
      <text>
        <r>
          <rPr>
            <b/>
            <sz val="9"/>
            <color indexed="81"/>
            <rFont val="Tahoma"/>
            <family val="2"/>
          </rPr>
          <t>admin:</t>
        </r>
        <r>
          <rPr>
            <sz val="9"/>
            <color indexed="81"/>
            <rFont val="Tahoma"/>
            <family val="2"/>
          </rPr>
          <t xml:space="preserve">
2013 VALUE</t>
        </r>
      </text>
    </comment>
    <comment ref="A11" authorId="0" shapeId="0" xr:uid="{74C018F1-CD30-458D-9A24-FD9DA9D5BC3A}">
      <text>
        <r>
          <rPr>
            <b/>
            <sz val="9"/>
            <color indexed="81"/>
            <rFont val="Tahoma"/>
            <family val="2"/>
          </rPr>
          <t>admin:</t>
        </r>
        <r>
          <rPr>
            <sz val="9"/>
            <color indexed="81"/>
            <rFont val="Tahoma"/>
            <family val="2"/>
          </rPr>
          <t xml:space="preserve">
milk and animal fats</t>
        </r>
      </text>
    </comment>
    <comment ref="U11" authorId="0" shapeId="0" xr:uid="{CABF4F6E-1464-49CE-A378-558F8560AF74}">
      <text>
        <r>
          <rPr>
            <b/>
            <sz val="9"/>
            <color indexed="81"/>
            <rFont val="Tahoma"/>
            <family val="2"/>
          </rPr>
          <t>admin:</t>
        </r>
        <r>
          <rPr>
            <sz val="9"/>
            <color indexed="81"/>
            <rFont val="Tahoma"/>
            <family val="2"/>
          </rPr>
          <t xml:space="preserve">
Cow milk, whole</t>
        </r>
      </text>
    </comment>
    <comment ref="U13" authorId="0" shapeId="0" xr:uid="{5B370D8E-2DA9-4F52-A324-4EE864B973E5}">
      <text>
        <r>
          <rPr>
            <b/>
            <sz val="9"/>
            <color indexed="81"/>
            <rFont val="Tahoma"/>
            <family val="2"/>
          </rPr>
          <t>admin:</t>
        </r>
        <r>
          <rPr>
            <sz val="9"/>
            <color indexed="81"/>
            <rFont val="Tahoma"/>
            <family val="2"/>
          </rPr>
          <t xml:space="preserve">
Calculated based on 2016 production values and Chris' concentration data. See CommodityGroups_Nconc_Pconc.xlsx
</t>
        </r>
      </text>
    </comment>
    <comment ref="Q14" authorId="0" shapeId="0" xr:uid="{95414082-CE74-497A-9791-B7442C2C8782}">
      <text>
        <r>
          <rPr>
            <b/>
            <sz val="9"/>
            <color indexed="81"/>
            <rFont val="Tahoma"/>
            <family val="2"/>
          </rPr>
          <t>admin:</t>
        </r>
        <r>
          <rPr>
            <sz val="9"/>
            <color indexed="81"/>
            <rFont val="Tahoma"/>
            <family val="2"/>
          </rPr>
          <t xml:space="preserve">
3139244 according to the weighted average
</t>
        </r>
      </text>
    </comment>
    <comment ref="A19" authorId="0" shapeId="0" xr:uid="{DF263CD0-FCF1-4394-A85A-B5324D0FA309}">
      <text>
        <r>
          <rPr>
            <b/>
            <sz val="9"/>
            <color indexed="81"/>
            <rFont val="Tahoma"/>
            <family val="2"/>
          </rPr>
          <t>admin:</t>
        </r>
        <r>
          <rPr>
            <sz val="9"/>
            <color indexed="81"/>
            <rFont val="Tahoma"/>
            <family val="2"/>
          </rPr>
          <t xml:space="preserve">
Including roots and tubers</t>
        </r>
      </text>
    </comment>
    <comment ref="D20" authorId="0" shapeId="0" xr:uid="{106EA555-A7C7-4E53-B4A7-097E2CD67D0E}">
      <text>
        <r>
          <rPr>
            <b/>
            <sz val="9"/>
            <color indexed="81"/>
            <rFont val="Tahoma"/>
            <family val="2"/>
          </rPr>
          <t>admin:</t>
        </r>
        <r>
          <rPr>
            <sz val="9"/>
            <color indexed="81"/>
            <rFont val="Tahoma"/>
            <family val="2"/>
          </rPr>
          <t xml:space="preserve">
INCLUDING FRUITS
</t>
        </r>
      </text>
    </comment>
    <comment ref="A23" authorId="0" shapeId="0" xr:uid="{724D4581-F6CB-4302-955F-C33176233FEA}">
      <text>
        <r>
          <rPr>
            <b/>
            <sz val="9"/>
            <color indexed="81"/>
            <rFont val="Tahoma"/>
            <family val="2"/>
          </rPr>
          <t>admin:</t>
        </r>
        <r>
          <rPr>
            <sz val="9"/>
            <color indexed="81"/>
            <rFont val="Tahoma"/>
            <family val="2"/>
          </rPr>
          <t xml:space="preserve">
including oil crops, sugar, nuts</t>
        </r>
      </text>
    </comment>
    <comment ref="J25" authorId="0" shapeId="0" xr:uid="{0471169A-B5E0-44D0-8233-D1780E79CD19}">
      <text>
        <r>
          <rPr>
            <b/>
            <sz val="9"/>
            <color indexed="81"/>
            <rFont val="Tahoma"/>
            <family val="2"/>
          </rPr>
          <t>admin:</t>
        </r>
        <r>
          <rPr>
            <sz val="9"/>
            <color indexed="81"/>
            <rFont val="Tahoma"/>
            <family val="2"/>
          </rPr>
          <t xml:space="preserve">
Oil crop production covers it, because the distinction between "vegetable oils" and "oil crops" is due to the consumption of oil crops without making oil from them. However, vegetables oil production quantity is necessary to aggregate the caloric supply.</t>
        </r>
      </text>
    </comment>
    <comment ref="J26" authorId="0" shapeId="0" xr:uid="{83EFE270-BE3C-4A7F-BC0C-190CE8C55D1E}">
      <text>
        <r>
          <rPr>
            <b/>
            <sz val="9"/>
            <color indexed="81"/>
            <rFont val="Tahoma"/>
            <family val="2"/>
          </rPr>
          <t>admin:</t>
        </r>
        <r>
          <rPr>
            <sz val="9"/>
            <color indexed="81"/>
            <rFont val="Tahoma"/>
            <family val="2"/>
          </rPr>
          <t xml:space="preserve">
SUGAR CANE, SUGAR BEET AND OTHER SUGAR CROPS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A7" authorId="0" shapeId="0" xr:uid="{00000000-0006-0000-0100-000001000000}">
      <text>
        <r>
          <rPr>
            <b/>
            <sz val="9"/>
            <color indexed="81"/>
            <rFont val="Tahoma"/>
            <family val="2"/>
          </rPr>
          <t>admin:</t>
        </r>
        <r>
          <rPr>
            <sz val="9"/>
            <color indexed="81"/>
            <rFont val="Tahoma"/>
            <family val="2"/>
          </rPr>
          <t xml:space="preserve">
milk and animal fats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I3" authorId="0" shapeId="0" xr:uid="{00000000-0006-0000-0200-000001000000}">
      <text>
        <r>
          <rPr>
            <b/>
            <sz val="9"/>
            <color indexed="81"/>
            <rFont val="Tahoma"/>
            <family val="2"/>
          </rPr>
          <t>admin:</t>
        </r>
        <r>
          <rPr>
            <sz val="9"/>
            <color indexed="81"/>
            <rFont val="Tahoma"/>
            <family val="2"/>
          </rPr>
          <t xml:space="preserve">
of production, http://www.fao.org/resources/infographics/infographics-details/en/c/317265/</t>
        </r>
      </text>
    </comment>
    <comment ref="X3" authorId="0" shapeId="0" xr:uid="{00000000-0006-0000-0200-000002000000}">
      <text>
        <r>
          <rPr>
            <b/>
            <sz val="9"/>
            <color indexed="81"/>
            <rFont val="Tahoma"/>
            <family val="2"/>
          </rPr>
          <t>admin:</t>
        </r>
        <r>
          <rPr>
            <sz val="9"/>
            <color indexed="81"/>
            <rFont val="Tahoma"/>
            <family val="2"/>
          </rPr>
          <t xml:space="preserve">
CO2 equivalent</t>
        </r>
      </text>
    </comment>
    <comment ref="AB3" authorId="0" shapeId="0" xr:uid="{00000000-0006-0000-0200-000003000000}">
      <text>
        <r>
          <rPr>
            <b/>
            <sz val="9"/>
            <color indexed="81"/>
            <rFont val="Tahoma"/>
            <family val="2"/>
          </rPr>
          <t>admin:</t>
        </r>
        <r>
          <rPr>
            <sz val="9"/>
            <color indexed="81"/>
            <rFont val="Tahoma"/>
            <family val="2"/>
          </rPr>
          <t xml:space="preserve">
I made this up according to the Vegan Society guidelines. Soybeans are in the 'other crops', so it is high</t>
        </r>
      </text>
    </comment>
    <comment ref="H4" authorId="0" shapeId="0" xr:uid="{00000000-0006-0000-0200-000004000000}">
      <text>
        <r>
          <rPr>
            <b/>
            <sz val="9"/>
            <color indexed="81"/>
            <rFont val="Tahoma"/>
            <family val="2"/>
          </rPr>
          <t>admin:</t>
        </r>
        <r>
          <rPr>
            <sz val="9"/>
            <color indexed="81"/>
            <rFont val="Tahoma"/>
            <family val="2"/>
          </rPr>
          <t xml:space="preserve">
The value estimated from FAO data is 1.567. However, it is very low to match the historical production values in tonnes.</t>
        </r>
      </text>
    </comment>
    <comment ref="I5" authorId="0" shapeId="0" xr:uid="{00000000-0006-0000-0200-000005000000}">
      <text>
        <r>
          <rPr>
            <b/>
            <sz val="9"/>
            <color indexed="81"/>
            <rFont val="Tahoma"/>
            <family val="2"/>
          </rPr>
          <t>admin:</t>
        </r>
        <r>
          <rPr>
            <sz val="9"/>
            <color indexed="81"/>
            <rFont val="Tahoma"/>
            <family val="2"/>
          </rPr>
          <t xml:space="preserve">
Although it is 35% for fish, I take the general meat value.</t>
        </r>
      </text>
    </comment>
    <comment ref="H6" authorId="0" shapeId="0" xr:uid="{00000000-0006-0000-0200-000006000000}">
      <text>
        <r>
          <rPr>
            <b/>
            <sz val="9"/>
            <color indexed="81"/>
            <rFont val="Tahoma"/>
            <family val="2"/>
          </rPr>
          <t>admin:</t>
        </r>
        <r>
          <rPr>
            <sz val="9"/>
            <color indexed="81"/>
            <rFont val="Tahoma"/>
            <family val="2"/>
          </rPr>
          <t xml:space="preserve">
The value estimated from FAO was .778, but it was too high to get match demand in tonnes. Therefore, reduced.
 </t>
        </r>
      </text>
    </comment>
    <comment ref="H11" authorId="0" shapeId="0" xr:uid="{00000000-0006-0000-0200-000007000000}">
      <text>
        <r>
          <rPr>
            <b/>
            <sz val="9"/>
            <color indexed="81"/>
            <rFont val="Tahoma"/>
            <family val="2"/>
          </rPr>
          <t>admin:</t>
        </r>
        <r>
          <rPr>
            <sz val="9"/>
            <color indexed="81"/>
            <rFont val="Tahoma"/>
            <family val="2"/>
          </rPr>
          <t xml:space="preserve">
The estimated value for the average caloric value of other crops was 1.526. However, the total demand and supply values in tonnes are too low if I use this value. It is because the production of oil crops, which have a higher caloric value than sugar crops, have increased more rapidly. The current value (0.8) is based on calibration.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N7" authorId="0" shapeId="0" xr:uid="{3272C1C6-816E-43FA-A980-9D9B9AED9825}">
      <text>
        <r>
          <rPr>
            <b/>
            <sz val="9"/>
            <color indexed="81"/>
            <rFont val="Tahoma"/>
            <family val="2"/>
          </rPr>
          <t>admin:</t>
        </r>
        <r>
          <rPr>
            <sz val="9"/>
            <color indexed="81"/>
            <rFont val="Tahoma"/>
            <family val="2"/>
          </rPr>
          <t xml:space="preserve">
The value estimated from FAO data is 1.567. However, it is very low to match the historical production values in tonnes.</t>
        </r>
      </text>
    </comment>
    <comment ref="N9" authorId="0" shapeId="0" xr:uid="{AB60451B-9E50-4978-AED1-513CE7227BC5}">
      <text>
        <r>
          <rPr>
            <b/>
            <sz val="9"/>
            <color indexed="81"/>
            <rFont val="Tahoma"/>
            <family val="2"/>
          </rPr>
          <t>admin:</t>
        </r>
        <r>
          <rPr>
            <sz val="9"/>
            <color indexed="81"/>
            <rFont val="Tahoma"/>
            <family val="2"/>
          </rPr>
          <t xml:space="preserve">
The value estimated from FAO was .778, but it was too high to get match demand in tonnes. Therefore, reduced.
 </t>
        </r>
      </text>
    </comment>
    <comment ref="G13" authorId="0" shapeId="0" xr:uid="{BCBA0EB3-E2B1-4E4D-9D9F-DF1CEDA12CA5}">
      <text>
        <r>
          <rPr>
            <b/>
            <sz val="9"/>
            <color indexed="81"/>
            <rFont val="Tahoma"/>
            <family val="2"/>
          </rPr>
          <t>admin:</t>
        </r>
        <r>
          <rPr>
            <sz val="9"/>
            <color indexed="81"/>
            <rFont val="Tahoma"/>
            <family val="2"/>
          </rPr>
          <t xml:space="preserve">
milk and animal fats</t>
        </r>
      </text>
    </comment>
    <comment ref="N14" authorId="0" shapeId="0" xr:uid="{723BCA89-C17B-4744-B7BC-8A47E30B3261}">
      <text>
        <r>
          <rPr>
            <b/>
            <sz val="9"/>
            <color indexed="81"/>
            <rFont val="Tahoma"/>
            <family val="2"/>
          </rPr>
          <t>admin:</t>
        </r>
        <r>
          <rPr>
            <sz val="9"/>
            <color indexed="81"/>
            <rFont val="Tahoma"/>
            <family val="2"/>
          </rPr>
          <t xml:space="preserve">
The estimated value for the average caloric value of other crops was 1.526. However, the total demand and supply values in tonnes are too low if I use this value. It is because the production of oil crops, which have a higher caloric value than sugar crops, have increased more rapidly. The current value (0.8) is based on calibration.
</t>
        </r>
      </text>
    </comment>
    <comment ref="G21" authorId="0" shapeId="0" xr:uid="{F26D6827-6939-4D52-A2A7-B8D555FF6C8D}">
      <text>
        <r>
          <rPr>
            <b/>
            <sz val="9"/>
            <color indexed="81"/>
            <rFont val="Tahoma"/>
            <family val="2"/>
          </rPr>
          <t>admin:</t>
        </r>
        <r>
          <rPr>
            <sz val="9"/>
            <color indexed="81"/>
            <rFont val="Tahoma"/>
            <family val="2"/>
          </rPr>
          <t xml:space="preserve">
Including roots and tubers</t>
        </r>
      </text>
    </comment>
    <comment ref="G25" authorId="0" shapeId="0" xr:uid="{40A5DA42-0340-495A-9A85-C732440449C8}">
      <text>
        <r>
          <rPr>
            <b/>
            <sz val="9"/>
            <color indexed="81"/>
            <rFont val="Tahoma"/>
            <family val="2"/>
          </rPr>
          <t>admin:</t>
        </r>
        <r>
          <rPr>
            <sz val="9"/>
            <color indexed="81"/>
            <rFont val="Tahoma"/>
            <family val="2"/>
          </rPr>
          <t xml:space="preserve">
including oil crops, sugar, nuts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G13" authorId="0" shapeId="0" xr:uid="{00000000-0006-0000-0400-000001000000}">
      <text>
        <r>
          <rPr>
            <b/>
            <sz val="9"/>
            <color indexed="81"/>
            <rFont val="Tahoma"/>
            <family val="2"/>
          </rPr>
          <t>admin:</t>
        </r>
        <r>
          <rPr>
            <sz val="9"/>
            <color indexed="81"/>
            <rFont val="Tahoma"/>
            <family val="2"/>
          </rPr>
          <t xml:space="preserve">
Assuming 7 g/day beef-lamb, 7 g/day pork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G13" authorId="0" shapeId="0" xr:uid="{00000000-0006-0000-0500-000001000000}">
      <text>
        <r>
          <rPr>
            <b/>
            <sz val="9"/>
            <color indexed="81"/>
            <rFont val="Tahoma"/>
            <family val="2"/>
          </rPr>
          <t>admin:</t>
        </r>
        <r>
          <rPr>
            <sz val="9"/>
            <color indexed="81"/>
            <rFont val="Tahoma"/>
            <family val="2"/>
          </rPr>
          <t xml:space="preserve">
Assuming 7 g/day beef-lamb, 7 g/day pork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TAN Ryan</author>
  </authors>
  <commentList>
    <comment ref="B13" authorId="0" shapeId="0" xr:uid="{2EEF59A6-81F0-4862-89E4-A1D1A7D5F6C0}">
      <text>
        <r>
          <rPr>
            <b/>
            <sz val="9"/>
            <color indexed="81"/>
            <rFont val="Tahoma"/>
            <charset val="1"/>
          </rPr>
          <t>TAN Ryan:</t>
        </r>
        <r>
          <rPr>
            <sz val="9"/>
            <color indexed="81"/>
            <rFont val="Tahoma"/>
            <charset val="1"/>
          </rPr>
          <t xml:space="preserve">
This is from Fishstat (Fishery and Aquaculture Statistic Yearbook 2022, T.51)</t>
        </r>
      </text>
    </comment>
    <comment ref="B27" authorId="0" shapeId="0" xr:uid="{848E4D4B-000B-4123-A6AF-ADBFF52430E3}">
      <text>
        <r>
          <rPr>
            <b/>
            <sz val="9"/>
            <color indexed="81"/>
            <rFont val="Tahoma"/>
            <family val="2"/>
          </rPr>
          <t>TAN Ryan:</t>
        </r>
        <r>
          <rPr>
            <sz val="9"/>
            <color indexed="81"/>
            <rFont val="Tahoma"/>
            <family val="2"/>
          </rPr>
          <t xml:space="preserve">
Likely the category changed. Now Oil crops are separated into cake and oil. Which is different from the previous total varable and vegetable oil variable</t>
        </r>
      </text>
    </comment>
    <comment ref="B41" authorId="0" shapeId="0" xr:uid="{6BF0AE4A-AC16-4524-88F5-1C822D6A54CE}">
      <text>
        <r>
          <rPr>
            <b/>
            <sz val="9"/>
            <color indexed="81"/>
            <rFont val="Tahoma"/>
            <charset val="1"/>
          </rPr>
          <t>TAN Ryan:</t>
        </r>
        <r>
          <rPr>
            <sz val="9"/>
            <color indexed="81"/>
            <rFont val="Tahoma"/>
            <charset val="1"/>
          </rPr>
          <t xml:space="preserve">
This is from Fishstat (Fishery and Aquaculture Statistic Yearbook 2022, T.51)</t>
        </r>
      </text>
    </comment>
    <comment ref="B55" authorId="0" shapeId="0" xr:uid="{705C5E0E-DEA6-42A6-B268-CE3AD0B7BD88}">
      <text>
        <r>
          <rPr>
            <b/>
            <sz val="9"/>
            <color indexed="81"/>
            <rFont val="Tahoma"/>
            <family val="2"/>
          </rPr>
          <t>TAN Ryan:</t>
        </r>
        <r>
          <rPr>
            <sz val="9"/>
            <color indexed="81"/>
            <rFont val="Tahoma"/>
            <family val="2"/>
          </rPr>
          <t xml:space="preserve">
Likely the category changed. Now Oil crops are separated into cake and oil. Which is different from the previous total varable and vegetable oil variable</t>
        </r>
      </text>
    </comment>
    <comment ref="B69" authorId="0" shapeId="0" xr:uid="{3E99C407-5EE6-486D-A666-40BBA066322A}">
      <text>
        <r>
          <rPr>
            <b/>
            <sz val="9"/>
            <color indexed="81"/>
            <rFont val="Tahoma"/>
            <charset val="1"/>
          </rPr>
          <t>TAN Ryan:</t>
        </r>
        <r>
          <rPr>
            <sz val="9"/>
            <color indexed="81"/>
            <rFont val="Tahoma"/>
            <charset val="1"/>
          </rPr>
          <t xml:space="preserve">
This is from Fishstat (Fishery and Aquaculture Statistic Yearbook 2022, T.51)</t>
        </r>
      </text>
    </comment>
    <comment ref="B83" authorId="0" shapeId="0" xr:uid="{6AF28797-B6E4-41E2-8713-128DE7F86795}">
      <text>
        <r>
          <rPr>
            <b/>
            <sz val="9"/>
            <color indexed="81"/>
            <rFont val="Tahoma"/>
            <family val="2"/>
          </rPr>
          <t>TAN Ryan:</t>
        </r>
        <r>
          <rPr>
            <sz val="9"/>
            <color indexed="81"/>
            <rFont val="Tahoma"/>
            <family val="2"/>
          </rPr>
          <t xml:space="preserve">
Likely the category changed. Now Oil crops are separated into cake and oil. Which is different from the previous total varable and vegetable oil variable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<sst xmlns="http://schemas.openxmlformats.org/spreadsheetml/2006/main" count="1705" uniqueCount="867">
  <si>
    <t>Food category</t>
  </si>
  <si>
    <t>Meat diet</t>
  </si>
  <si>
    <t>Vegetarian diet</t>
  </si>
  <si>
    <t>Cropland demand</t>
  </si>
  <si>
    <t>Pasture demand</t>
  </si>
  <si>
    <t>Meat</t>
  </si>
  <si>
    <t>Dairy</t>
  </si>
  <si>
    <t>Eggs</t>
  </si>
  <si>
    <t>Fish</t>
  </si>
  <si>
    <t>vegetable oils</t>
  </si>
  <si>
    <t>nuts</t>
  </si>
  <si>
    <t>Total</t>
  </si>
  <si>
    <t>Pulses</t>
  </si>
  <si>
    <t>Vegetables and fruits</t>
  </si>
  <si>
    <t>Beef</t>
  </si>
  <si>
    <t>Poultry</t>
  </si>
  <si>
    <t>Pigs</t>
  </si>
  <si>
    <t>Total land demand</t>
  </si>
  <si>
    <t>Wheat</t>
  </si>
  <si>
    <t>Rice</t>
  </si>
  <si>
    <t>Maize</t>
  </si>
  <si>
    <t>Grains (cereals)</t>
  </si>
  <si>
    <t>Vegetables</t>
  </si>
  <si>
    <t>Fruits</t>
  </si>
  <si>
    <t>Roots and tubers</t>
  </si>
  <si>
    <t>oil crops</t>
  </si>
  <si>
    <t>sugar</t>
  </si>
  <si>
    <t>Producing Animals</t>
  </si>
  <si>
    <t>Production [tonnes]</t>
  </si>
  <si>
    <t>Sheep and goats</t>
  </si>
  <si>
    <t>Yield [ton/An]</t>
  </si>
  <si>
    <t>NA</t>
  </si>
  <si>
    <t>FAO 2016 Values</t>
  </si>
  <si>
    <t>DIET COMPOSITION [kcal/capita/day]</t>
  </si>
  <si>
    <t>US Reference</t>
  </si>
  <si>
    <t>World Reference</t>
  </si>
  <si>
    <t>others</t>
  </si>
  <si>
    <t>other cereals</t>
  </si>
  <si>
    <t>Total animal-based</t>
  </si>
  <si>
    <t>Total crop-based</t>
  </si>
  <si>
    <t>LAND DEMAND [ha/mil kcal]</t>
  </si>
  <si>
    <t>Area harvested [ha]</t>
  </si>
  <si>
    <t xml:space="preserve">Oil crops: </t>
  </si>
  <si>
    <t>Vegetable oils:</t>
  </si>
  <si>
    <t>kcal/ton</t>
  </si>
  <si>
    <t>Supply [kcal/capita/day]</t>
  </si>
  <si>
    <t>Supply [kg/cap/year]</t>
  </si>
  <si>
    <t>Pasture-based meat</t>
  </si>
  <si>
    <t>Crop-based meat</t>
  </si>
  <si>
    <t>Production [M kcal]</t>
  </si>
  <si>
    <t>Vegetarian</t>
  </si>
  <si>
    <t>0 to 4</t>
  </si>
  <si>
    <t>5 to 9</t>
  </si>
  <si>
    <t>10 to 14</t>
  </si>
  <si>
    <t>15 to 19</t>
  </si>
  <si>
    <t>20 to 24</t>
  </si>
  <si>
    <t>25 to 29</t>
  </si>
  <si>
    <t>30 to 34</t>
  </si>
  <si>
    <t>35 to 39</t>
  </si>
  <si>
    <t>40 to 44</t>
  </si>
  <si>
    <t>45 to 49</t>
  </si>
  <si>
    <t>50 to 54</t>
  </si>
  <si>
    <t>55 to 59</t>
  </si>
  <si>
    <t>60 to 64</t>
  </si>
  <si>
    <t>65 to 69</t>
  </si>
  <si>
    <t>70 to 74</t>
  </si>
  <si>
    <t>75 to 79</t>
  </si>
  <si>
    <t>80 to 84</t>
  </si>
  <si>
    <t>85 to 89</t>
  </si>
  <si>
    <t>90 to 94</t>
  </si>
  <si>
    <t>95 to 99</t>
  </si>
  <si>
    <t>100 Plus</t>
  </si>
  <si>
    <t>Male</t>
  </si>
  <si>
    <t>Female</t>
  </si>
  <si>
    <t>World avg calorie consumption</t>
  </si>
  <si>
    <t>Age and gender adjustment</t>
  </si>
  <si>
    <t>These are the multipliers of Average calorie consumption, to adjust it according to the age and gender.</t>
  </si>
  <si>
    <t>male</t>
  </si>
  <si>
    <t>female</t>
  </si>
  <si>
    <t>Meat Diet</t>
  </si>
  <si>
    <t>Others crops</t>
  </si>
  <si>
    <t>Grains</t>
  </si>
  <si>
    <t>PasMeat</t>
  </si>
  <si>
    <t>CropMeat</t>
  </si>
  <si>
    <t>VegFruits</t>
  </si>
  <si>
    <t>OtherCrops</t>
  </si>
  <si>
    <t>US diet, kcal</t>
  </si>
  <si>
    <t>US diet, %</t>
  </si>
  <si>
    <t>Model input, %</t>
  </si>
  <si>
    <t>AVERAGE  TOTAL CALORIE CONSUMPTION</t>
  </si>
  <si>
    <t>MEAT DIET</t>
  </si>
  <si>
    <t>VEGETARIAN DIET</t>
  </si>
  <si>
    <t>VegFruit</t>
  </si>
  <si>
    <t>Mkcal/ton</t>
  </si>
  <si>
    <t>Caloric value of food [Mkcal/ton]</t>
  </si>
  <si>
    <t>Waste fraction</t>
  </si>
  <si>
    <t>Cropland Yield [ton/ha]</t>
  </si>
  <si>
    <t>Reference CropYield</t>
  </si>
  <si>
    <t>N concentration</t>
  </si>
  <si>
    <t>P concentration</t>
  </si>
  <si>
    <t>N Concentration</t>
  </si>
  <si>
    <t>Grassland Yield</t>
  </si>
  <si>
    <t>World Ref %</t>
  </si>
  <si>
    <t>World Ref Diet Composition</t>
  </si>
  <si>
    <t>Grassland Yield [ton/ha]</t>
  </si>
  <si>
    <t>Feed share of crop types</t>
  </si>
  <si>
    <t>Feed per meat</t>
  </si>
  <si>
    <t>Other uses multiplier for food</t>
  </si>
  <si>
    <t>PROD</t>
  </si>
  <si>
    <t>1000 t</t>
  </si>
  <si>
    <t>BVMEAT</t>
  </si>
  <si>
    <t>ALMILK</t>
  </si>
  <si>
    <t>PTMEAT</t>
  </si>
  <si>
    <t>PTEGGS</t>
  </si>
  <si>
    <t>YILD</t>
  </si>
  <si>
    <t>fm t/ha</t>
  </si>
  <si>
    <t>Area</t>
  </si>
  <si>
    <t>1000 ha</t>
  </si>
  <si>
    <t>Feed fraction</t>
  </si>
  <si>
    <t>Other uses multiplier</t>
  </si>
  <si>
    <t>Meat to eggs</t>
  </si>
  <si>
    <t>GHG intensity [tonCO2/ton]</t>
  </si>
  <si>
    <t>Flexitarian Diet</t>
  </si>
  <si>
    <t>g/d</t>
  </si>
  <si>
    <t>serving</t>
  </si>
  <si>
    <t>MIN</t>
  </si>
  <si>
    <t>MAX</t>
  </si>
  <si>
    <t>Roots</t>
  </si>
  <si>
    <t>legumes</t>
  </si>
  <si>
    <t>soybeans</t>
  </si>
  <si>
    <t>veggies</t>
  </si>
  <si>
    <t>fruits</t>
  </si>
  <si>
    <t>palm oil</t>
  </si>
  <si>
    <t>veg oil</t>
  </si>
  <si>
    <t>beef</t>
  </si>
  <si>
    <t>lamb</t>
  </si>
  <si>
    <t>pork</t>
  </si>
  <si>
    <t>poultry</t>
  </si>
  <si>
    <t>eggs</t>
  </si>
  <si>
    <t>milk</t>
  </si>
  <si>
    <t>fish</t>
  </si>
  <si>
    <t>860 kcal/d</t>
  </si>
  <si>
    <t>1/3 of energy</t>
  </si>
  <si>
    <t>.5</t>
  </si>
  <si>
    <t>.25</t>
  </si>
  <si>
    <t>3-4</t>
  </si>
  <si>
    <t>2-3</t>
  </si>
  <si>
    <t>5% of energy</t>
  </si>
  <si>
    <t>14 g/d</t>
  </si>
  <si>
    <t>1/7</t>
  </si>
  <si>
    <t>1</t>
  </si>
  <si>
    <t>.2</t>
  </si>
  <si>
    <t>kcal/g</t>
  </si>
  <si>
    <t>kcal/day</t>
  </si>
  <si>
    <t>TOTAL</t>
  </si>
  <si>
    <t>GHG intensity</t>
  </si>
  <si>
    <t>Average Diet Composition FAO 2013</t>
  </si>
  <si>
    <t>World Ref Diet Composition - WRI</t>
  </si>
  <si>
    <t>3/7</t>
  </si>
  <si>
    <t>roots</t>
  </si>
  <si>
    <t>dairy</t>
  </si>
  <si>
    <t>sheep and goat</t>
  </si>
  <si>
    <t>fibers</t>
  </si>
  <si>
    <t>furits and veg</t>
  </si>
  <si>
    <t>maize</t>
  </si>
  <si>
    <t>oil - other oil crops</t>
  </si>
  <si>
    <t>other cereal</t>
  </si>
  <si>
    <t>other oilcrops</t>
  </si>
  <si>
    <t>other plant products</t>
  </si>
  <si>
    <t>other productsa</t>
  </si>
  <si>
    <t>Plm oils</t>
  </si>
  <si>
    <t>pulses</t>
  </si>
  <si>
    <t>rapeseed</t>
  </si>
  <si>
    <t>rapeseed oil</t>
  </si>
  <si>
    <t>rice</t>
  </si>
  <si>
    <t>soybean oil</t>
  </si>
  <si>
    <t>sunflowerseed</t>
  </si>
  <si>
    <t>sunflower seed oil</t>
  </si>
  <si>
    <t>wheat</t>
  </si>
  <si>
    <t>total</t>
  </si>
  <si>
    <t>%</t>
  </si>
  <si>
    <t>US AMBITIOUS</t>
  </si>
  <si>
    <t>Health Diet WHO - Springmann</t>
  </si>
  <si>
    <t>Vegan Diet</t>
  </si>
  <si>
    <t>HEALTHY DIET</t>
  </si>
  <si>
    <t>FLEXITARIAN DIET</t>
  </si>
  <si>
    <t>VEGAN DIET</t>
  </si>
  <si>
    <t>Weighted average</t>
  </si>
  <si>
    <t>color</t>
  </si>
  <si>
    <t>World average FAO</t>
  </si>
  <si>
    <t>Flexitarian</t>
  </si>
  <si>
    <t>World average WRI</t>
  </si>
  <si>
    <t>#006837</t>
  </si>
  <si>
    <t>#c2e699</t>
  </si>
  <si>
    <t>#78c679</t>
  </si>
  <si>
    <t>#fecc5c</t>
  </si>
  <si>
    <t>#fd8d3c</t>
  </si>
  <si>
    <t>#f03b20</t>
  </si>
  <si>
    <t>#bd0026</t>
  </si>
  <si>
    <t>#31a354</t>
  </si>
  <si>
    <t>Reference Meat</t>
  </si>
  <si>
    <t>Reference Vegetarian</t>
  </si>
  <si>
    <t>Healthy eating</t>
  </si>
  <si>
    <t>Reference meat-based diet</t>
  </si>
  <si>
    <t>Reference vegetarian diet</t>
  </si>
  <si>
    <t>Flexitarian diet</t>
  </si>
  <si>
    <t>Healthy-eating diet</t>
  </si>
  <si>
    <t>Vegan diet</t>
  </si>
  <si>
    <t>World reference diet (WRI)</t>
  </si>
  <si>
    <t>World average diet (FAO)</t>
  </si>
  <si>
    <r>
      <rPr>
        <b/>
        <sz val="11"/>
        <color indexed="8"/>
        <rFont val="Calibri"/>
        <family val="2"/>
      </rPr>
      <t xml:space="preserve">Freshwater Withdrawals </t>
    </r>
    <r>
      <rPr>
        <sz val="11"/>
        <color theme="1"/>
        <rFont val="Calibri"/>
        <family val="2"/>
        <scheme val="minor"/>
      </rPr>
      <t>(L/FU)</t>
    </r>
  </si>
  <si>
    <r>
      <rPr>
        <b/>
        <sz val="11"/>
        <color indexed="8"/>
        <rFont val="Calibri"/>
        <family val="2"/>
      </rPr>
      <t xml:space="preserve">Stress-Weighted Water Use </t>
    </r>
    <r>
      <rPr>
        <sz val="11"/>
        <color theme="1"/>
        <rFont val="Calibri"/>
        <family val="2"/>
        <scheme val="minor"/>
      </rPr>
      <t>(L/FU)</t>
    </r>
  </si>
  <si>
    <t>Mean</t>
  </si>
  <si>
    <t>Product</t>
  </si>
  <si>
    <t>Wheat &amp; Rye (Bread)</t>
  </si>
  <si>
    <t>Maize (Meal)</t>
  </si>
  <si>
    <t>Barley (Beer)</t>
  </si>
  <si>
    <t>Oatmeal</t>
  </si>
  <si>
    <t>Potatoes</t>
  </si>
  <si>
    <t>Cassava</t>
  </si>
  <si>
    <t>Cane Sugar</t>
  </si>
  <si>
    <t>Beet Sugar</t>
  </si>
  <si>
    <t>Other Pulses</t>
  </si>
  <si>
    <t>Peas</t>
  </si>
  <si>
    <t>Nuts</t>
  </si>
  <si>
    <t>Groundnuts</t>
  </si>
  <si>
    <t>Soymilk</t>
  </si>
  <si>
    <t>Tofu</t>
  </si>
  <si>
    <t>Soybean Oil</t>
  </si>
  <si>
    <t>Palm Oil</t>
  </si>
  <si>
    <t>Sunflower Oil</t>
  </si>
  <si>
    <t>Rapeseed Oil</t>
  </si>
  <si>
    <t>Olive Oil</t>
  </si>
  <si>
    <t>Tomatoes</t>
  </si>
  <si>
    <t>Onions &amp; Leeks</t>
  </si>
  <si>
    <t>Root Vegetables</t>
  </si>
  <si>
    <t>Brassicas</t>
  </si>
  <si>
    <t>Other Vegetables</t>
  </si>
  <si>
    <t>Citrus Fruit</t>
  </si>
  <si>
    <t>Bananas</t>
  </si>
  <si>
    <t>Apples</t>
  </si>
  <si>
    <t>Berries &amp; Grapes</t>
  </si>
  <si>
    <t>Wine</t>
  </si>
  <si>
    <t>Other Fruit</t>
  </si>
  <si>
    <t>Coffee</t>
  </si>
  <si>
    <t>Dark Chocolate</t>
  </si>
  <si>
    <t>Bovine Meat (beef herd)</t>
  </si>
  <si>
    <t>Bovine Meat (dairy herd)</t>
  </si>
  <si>
    <t>Lamb &amp; Mutton</t>
  </si>
  <si>
    <t>Pig Meat</t>
  </si>
  <si>
    <t>Poultry Meat</t>
  </si>
  <si>
    <t>Milk</t>
  </si>
  <si>
    <t>Cheese</t>
  </si>
  <si>
    <t>Fish (farmed)</t>
  </si>
  <si>
    <t>Crustaceans (farmed)</t>
  </si>
  <si>
    <t>animal_prod</t>
  </si>
  <si>
    <t>fruits_veg</t>
  </si>
  <si>
    <t>nuts_seeds</t>
  </si>
  <si>
    <t>staples</t>
  </si>
  <si>
    <t>veg_oils</t>
  </si>
  <si>
    <t>GHGe</t>
  </si>
  <si>
    <t>land</t>
  </si>
  <si>
    <t>water</t>
  </si>
  <si>
    <t>nitr</t>
  </si>
  <si>
    <t>phos</t>
  </si>
  <si>
    <r>
      <rPr>
        <i/>
        <sz val="11"/>
        <color theme="1"/>
        <rFont val="Calibri"/>
        <family val="2"/>
        <scheme val="minor"/>
      </rPr>
      <t>&gt; env indicator:</t>
    </r>
    <r>
      <rPr>
        <sz val="11"/>
        <color theme="1"/>
        <rFont val="Calibri"/>
        <family val="2"/>
        <scheme val="minor"/>
      </rPr>
      <t xml:space="preserve"> environmental indicator (GHGe=GHG emissions (MtCO2-eq), land=cropland use (1000 km2), water=bluewater use (km3), nitr=nitrogen application (GgN), phos=phosphorus application (GgP)</t>
    </r>
  </si>
  <si>
    <t>2010 Reference</t>
  </si>
  <si>
    <t>Links</t>
  </si>
  <si>
    <t>Pasture-based meat, Crop-based meat, Poultry, Pigs, Fish, Dairy, Eggs</t>
  </si>
  <si>
    <t>Vegetables and Fruits</t>
  </si>
  <si>
    <t>Grains, Roots and tubers</t>
  </si>
  <si>
    <t>Sugar</t>
  </si>
  <si>
    <t>Vegetable oils</t>
  </si>
  <si>
    <t>Category</t>
  </si>
  <si>
    <t xml:space="preserve">Production </t>
  </si>
  <si>
    <t>2013 [2013]</t>
  </si>
  <si>
    <t>2014 [2014]</t>
  </si>
  <si>
    <t>2015 [2015]</t>
  </si>
  <si>
    <t>2016 [2016]</t>
  </si>
  <si>
    <t>2017 [2017]</t>
  </si>
  <si>
    <t>2018 [2018]</t>
  </si>
  <si>
    <t>2019 [2019]</t>
  </si>
  <si>
    <t>2020 [2020]</t>
  </si>
  <si>
    <t>2021 [2021]</t>
  </si>
  <si>
    <t>2022 [2022]</t>
  </si>
  <si>
    <t>2023 [2023]</t>
  </si>
  <si>
    <t>Value</t>
  </si>
  <si>
    <t>Production [5510]</t>
  </si>
  <si>
    <t>Beef and Buffalo Meat, primary [1806]</t>
  </si>
  <si>
    <t>Cereals, primary [1717]</t>
  </si>
  <si>
    <t>Eggs Primary [1783]</t>
  </si>
  <si>
    <t>Fruit Primary [1738]</t>
  </si>
  <si>
    <t>Maize (corn) [56]</t>
  </si>
  <si>
    <t>Meat, Poultry [1808]</t>
  </si>
  <si>
    <t>Milk, Total [1780]</t>
  </si>
  <si>
    <t>Oilcrops, Cake Equivalent [1841]</t>
  </si>
  <si>
    <t>Pulses, Total [1726]</t>
  </si>
  <si>
    <t>Rice [27]</t>
  </si>
  <si>
    <t>Roots and Tubers, Total [1720]</t>
  </si>
  <si>
    <t>Sheep and Goat Meat [1807]</t>
  </si>
  <si>
    <t>Sugar Crops Primary [1723]</t>
  </si>
  <si>
    <t>Treenuts, Total [1729]</t>
  </si>
  <si>
    <t>Vegetables Primary [1735]</t>
  </si>
  <si>
    <t>Wheat [15]</t>
  </si>
  <si>
    <t>Fibre Crops, Fibre Equivalent [17530]</t>
  </si>
  <si>
    <t>Oilcrops, Oil Equivalent [1732]</t>
  </si>
  <si>
    <t>Purpose Updating</t>
  </si>
  <si>
    <t>https://www.fao.org/faostat/en/#data/QCL</t>
  </si>
  <si>
    <t>Production Quantity; World Total; Items: Crops Primary + Livestock Primary + Livestock Processed</t>
  </si>
  <si>
    <t>AVERAGE</t>
  </si>
  <si>
    <t>Pasture-based Meat</t>
  </si>
  <si>
    <t>Crop-based Meat</t>
  </si>
  <si>
    <t>Cereal</t>
  </si>
  <si>
    <t>Vegetables &amp; Fruits</t>
  </si>
  <si>
    <t>Other Crops</t>
  </si>
  <si>
    <t>Sheep and Goats</t>
  </si>
  <si>
    <t>Other Cereals</t>
  </si>
  <si>
    <t>Roots and Tubers</t>
  </si>
  <si>
    <t>Others</t>
  </si>
  <si>
    <t>Oil Crops (Aggregated)</t>
  </si>
  <si>
    <t>Meat of pig with the bone, fresh or chilled [1035]</t>
  </si>
  <si>
    <t>///</t>
  </si>
  <si>
    <t xml:space="preserve">Oil Crops </t>
  </si>
  <si>
    <t>Vegetable Oils</t>
  </si>
  <si>
    <t>Area harvested [5312]</t>
  </si>
  <si>
    <t>Yield [5412]</t>
  </si>
  <si>
    <t>Values, Weighted by 2016 Production Values</t>
  </si>
  <si>
    <t>FAO 2013-2023 Averaged Values</t>
  </si>
  <si>
    <t>Food and Waste ('000 t, 2009-11 avg.)</t>
  </si>
  <si>
    <t>Cereals &amp; Oilcrops Misc.</t>
  </si>
  <si>
    <t>Oils Misc.</t>
  </si>
  <si>
    <t>Sweeteners &amp; Honey</t>
  </si>
  <si>
    <t>Stimulants &amp; Spices Misc.</t>
  </si>
  <si>
    <t>Animal Fats</t>
  </si>
  <si>
    <t>Buffalo</t>
  </si>
  <si>
    <t>Butter, Cream &amp; Ghee</t>
  </si>
  <si>
    <t>Fish &amp; Crustaceans (capture)</t>
  </si>
  <si>
    <t>Aquatic Plants</t>
  </si>
  <si>
    <t>Food, Waste and Non-Food ('000 t, 2009-11 avg.)</t>
  </si>
  <si>
    <r>
      <rPr>
        <b/>
        <sz val="11"/>
        <color indexed="8"/>
        <rFont val="Calibri"/>
        <family val="2"/>
      </rPr>
      <t>Freshwater</t>
    </r>
    <r>
      <rPr>
        <sz val="11"/>
        <color theme="1"/>
        <rFont val="Calibri"/>
        <family val="2"/>
        <scheme val="minor"/>
      </rPr>
      <t xml:space="preserve"> (L)</t>
    </r>
  </si>
  <si>
    <t>Impact / kg Food Balance Sheet functional unit (ex. waste)</t>
  </si>
  <si>
    <t>Impact / kg Food Balance Sheet functional unit (ex. waste and non-food allocations)</t>
  </si>
  <si>
    <t>Food Balance Sheet (FBS) ex Waste = excludes losses and waste after production</t>
  </si>
  <si>
    <t>Total Freshwater Withdrawal (m³)</t>
  </si>
  <si>
    <t>Total Food Quantities (tons)</t>
  </si>
  <si>
    <t>Weighted Water Use (m3/ton)</t>
  </si>
  <si>
    <r>
      <rPr>
        <b/>
        <sz val="11"/>
        <color indexed="8"/>
        <rFont val="Calibri"/>
        <family val="2"/>
      </rPr>
      <t>Str-Wt WU</t>
    </r>
    <r>
      <rPr>
        <sz val="11"/>
        <color theme="1"/>
        <rFont val="Calibri"/>
        <family val="2"/>
        <scheme val="minor"/>
      </rPr>
      <t xml:space="preserve"> (L eq)</t>
    </r>
  </si>
  <si>
    <t>Total Str-Wt Withdrawal (m³)</t>
  </si>
  <si>
    <t>Weighted St-Wt Use (m3/ton)</t>
  </si>
  <si>
    <t>ITEM</t>
  </si>
  <si>
    <t>CALORIES</t>
  </si>
  <si>
    <t>PROTEIN</t>
  </si>
  <si>
    <t>FAT</t>
  </si>
  <si>
    <t>kcal</t>
  </si>
  <si>
    <t>Grams</t>
  </si>
  <si>
    <t>CEREALS AND PRODUCTS</t>
  </si>
  <si>
    <t>QUINOA</t>
  </si>
  <si>
    <t>WHEAT</t>
  </si>
  <si>
    <t>FONIO</t>
  </si>
  <si>
    <t>FLOUR OF WHEAT</t>
  </si>
  <si>
    <t>FLOUR OF FONIO</t>
  </si>
  <si>
    <t>BRAN OF WHEAT</t>
  </si>
  <si>
    <t>TRITICALE</t>
  </si>
  <si>
    <t>MACARONI</t>
  </si>
  <si>
    <t>FLOUR OF TRITICALE</t>
  </si>
  <si>
    <t>GERM OF WHEAT</t>
  </si>
  <si>
    <t>CANARY SEED</t>
  </si>
  <si>
    <t>BREAD</t>
  </si>
  <si>
    <t>MIXED GRAIN</t>
  </si>
  <si>
    <t>BULGUR WHOLEMEAL</t>
  </si>
  <si>
    <t>FLOUR OF MIXED GRAIN</t>
  </si>
  <si>
    <t>PASTRY</t>
  </si>
  <si>
    <t>CEREALS NES</t>
  </si>
  <si>
    <t>WHEAT STARCH</t>
  </si>
  <si>
    <t>WAFERS</t>
  </si>
  <si>
    <t>WHEAT GLUTEN</t>
  </si>
  <si>
    <t>FLOUR OF CEREALS</t>
  </si>
  <si>
    <t>RICE PADDY</t>
  </si>
  <si>
    <t>BREAKFAST CEREALS</t>
  </si>
  <si>
    <t>RICE HUSKED</t>
  </si>
  <si>
    <t>CEREALS PREPARED NES</t>
  </si>
  <si>
    <t>RICE MILLED</t>
  </si>
  <si>
    <t>MIXES AND DOUGHS</t>
  </si>
  <si>
    <t>RICE BROKEN</t>
  </si>
  <si>
    <t>FOOD PREPARATIONS FLOUR</t>
  </si>
  <si>
    <t>RICE FLOUR</t>
  </si>
  <si>
    <t>RICE GLUTEN</t>
  </si>
  <si>
    <t>ROOTS, TUBERS AND PRODUCTS</t>
  </si>
  <si>
    <t>RICE STARCH</t>
  </si>
  <si>
    <t>POTATOES</t>
  </si>
  <si>
    <t>BRAN OF RICE</t>
  </si>
  <si>
    <t>FLOUR OF POTATOES</t>
  </si>
  <si>
    <t>BARLEY</t>
  </si>
  <si>
    <t>POTATOES FROZEN</t>
  </si>
  <si>
    <t>POT BARLEY</t>
  </si>
  <si>
    <t>POTATO STARCH</t>
  </si>
  <si>
    <t>BARLEY PEARLED</t>
  </si>
  <si>
    <t>POTATO TAPIOCA</t>
  </si>
  <si>
    <t>BARLEY FLOUR AND GRITS</t>
  </si>
  <si>
    <t>SWEET POTATOES</t>
  </si>
  <si>
    <t>MALT OF BARLEY</t>
  </si>
  <si>
    <t>CASSAVA</t>
  </si>
  <si>
    <t>MALT EXTRACTS</t>
  </si>
  <si>
    <t>FLOUR OF CASSAVA</t>
  </si>
  <si>
    <t>MAIZE</t>
  </si>
  <si>
    <t>CASSAVA TAPIOCA</t>
  </si>
  <si>
    <t>GERM OF MAIZE</t>
  </si>
  <si>
    <t>CASSAVA DRIED</t>
  </si>
  <si>
    <t>FLOUR OF MAIZE</t>
  </si>
  <si>
    <t>CASSAVA STARCH</t>
  </si>
  <si>
    <t>MAIZE GLUTEN</t>
  </si>
  <si>
    <t>YAUTIA (COCOYAM)</t>
  </si>
  <si>
    <t>STARCH OF MAIZE</t>
  </si>
  <si>
    <t>TARO (COCOYAM)</t>
  </si>
  <si>
    <t>POP CORN</t>
  </si>
  <si>
    <t>YAMS</t>
  </si>
  <si>
    <t>RYE</t>
  </si>
  <si>
    <t>ROOTS, TUBERS NES</t>
  </si>
  <si>
    <t>FLOUR OF RYE</t>
  </si>
  <si>
    <t>FLOUR OF ROOTS AND TUBERS</t>
  </si>
  <si>
    <t>OATS</t>
  </si>
  <si>
    <t>ROOTS, TUBERS DRIED</t>
  </si>
  <si>
    <t>OATS ROLLED</t>
  </si>
  <si>
    <t>MILLET</t>
  </si>
  <si>
    <t>SUGAR AND SYRUPS</t>
  </si>
  <si>
    <t>FLOUR OF MILLET</t>
  </si>
  <si>
    <t>SUGAR CANE</t>
  </si>
  <si>
    <t>SORGHUM</t>
  </si>
  <si>
    <t>SUGAR BEETS</t>
  </si>
  <si>
    <t>FLOUR OF SORGHM</t>
  </si>
  <si>
    <t>SUGAR CROPS NES</t>
  </si>
  <si>
    <t>BUCKWHEAT</t>
  </si>
  <si>
    <t>SUGAR, CENTRIFUGAL RAW</t>
  </si>
  <si>
    <t>FLOUR OF BUCKWHEAT</t>
  </si>
  <si>
    <t>SUGAR REFINED</t>
  </si>
  <si>
    <t>SUGAR, NONCENTRIFUGAL</t>
  </si>
  <si>
    <t>CAKE OF SOYA BEANS</t>
  </si>
  <si>
    <t>MOLASSES</t>
  </si>
  <si>
    <t>SOYA SAUCE</t>
  </si>
  <si>
    <t>MAPLE SUGAR</t>
  </si>
  <si>
    <t>SOYA PASTE</t>
  </si>
  <si>
    <t>SUGAR AND SYRUP NES</t>
  </si>
  <si>
    <t>SOYA CURD</t>
  </si>
  <si>
    <t>SUGAR CONFECTIONERY</t>
  </si>
  <si>
    <t>GROUNDNUTS IN SHELL</t>
  </si>
  <si>
    <t>SUGARS FLAVOURED</t>
  </si>
  <si>
    <t>GROUNDNUTS SHELLED</t>
  </si>
  <si>
    <t>GLUCOSE AND DEXTROSE</t>
  </si>
  <si>
    <t>CAKE OF GROUNDNUTS</t>
  </si>
  <si>
    <t>LACTOSE</t>
  </si>
  <si>
    <t>GROUNDNUTS PREPARED</t>
  </si>
  <si>
    <t>ISOGLUCOSE</t>
  </si>
  <si>
    <t>PEANUT BUTTER</t>
  </si>
  <si>
    <t>FRUCTOSE CHEMICAL</t>
  </si>
  <si>
    <t>COCONUTS</t>
  </si>
  <si>
    <t>OTHER FRUCTOSE</t>
  </si>
  <si>
    <t>COCONUTS DESICCATED</t>
  </si>
  <si>
    <t>MALTOSE CHEMICAL</t>
  </si>
  <si>
    <t>COPRA</t>
  </si>
  <si>
    <t>HONEY</t>
  </si>
  <si>
    <t>OIL PALM FRUIT</t>
  </si>
  <si>
    <t>PALM KERNELS</t>
  </si>
  <si>
    <t>PULSES</t>
  </si>
  <si>
    <t>OLIVES</t>
  </si>
  <si>
    <t>BEANS, DRY</t>
  </si>
  <si>
    <t>OLIVES,PRESERVED</t>
  </si>
  <si>
    <t>BROAD BEANS DRY</t>
  </si>
  <si>
    <t>KARITE NUTS</t>
  </si>
  <si>
    <t>PEAS, DRY</t>
  </si>
  <si>
    <t>SUNFLOWER SEED</t>
  </si>
  <si>
    <t>CHICK-PEAS</t>
  </si>
  <si>
    <t>RAPESEED</t>
  </si>
  <si>
    <t>COW PEAS DRY</t>
  </si>
  <si>
    <t>SAFFLOWER</t>
  </si>
  <si>
    <t>PIGEON PEAS</t>
  </si>
  <si>
    <t>SESAME SEED</t>
  </si>
  <si>
    <t>LENTILS</t>
  </si>
  <si>
    <t>CAKE OF SESAME SEED</t>
  </si>
  <si>
    <t>BAMBARA BEANS</t>
  </si>
  <si>
    <t>MUSTARD SEED</t>
  </si>
  <si>
    <t>VETCHES</t>
  </si>
  <si>
    <t>FLOUR OF MUSTARD SEED</t>
  </si>
  <si>
    <t>LUPINS</t>
  </si>
  <si>
    <t>POPPY SEED</t>
  </si>
  <si>
    <t>PULSES NES</t>
  </si>
  <si>
    <t>MELONSEED</t>
  </si>
  <si>
    <t>FLOUR OF PULSES</t>
  </si>
  <si>
    <t>COTTONSEED</t>
  </si>
  <si>
    <t>LINSEED</t>
  </si>
  <si>
    <t>TREENUTS</t>
  </si>
  <si>
    <t>OILSEEDS NES</t>
  </si>
  <si>
    <t>BRAZIL NUTS</t>
  </si>
  <si>
    <t>FLOUR/MEAL OF OILSEEDS</t>
  </si>
  <si>
    <t>CASHEW NUTS</t>
  </si>
  <si>
    <t>CHESTNUTS</t>
  </si>
  <si>
    <t>VEGETABLES AND PRODUCTS</t>
  </si>
  <si>
    <t>ALMONDS</t>
  </si>
  <si>
    <t>CABBAGES</t>
  </si>
  <si>
    <t>WALNUTS</t>
  </si>
  <si>
    <t>ARTICHOKES</t>
  </si>
  <si>
    <t>PISTACHIOS</t>
  </si>
  <si>
    <t>ASPARAGUS</t>
  </si>
  <si>
    <t>KOLANUTS</t>
  </si>
  <si>
    <t>LETTUCE</t>
  </si>
  <si>
    <t>HAZELNUTS</t>
  </si>
  <si>
    <t>SPINACH</t>
  </si>
  <si>
    <t>ARECANUTS</t>
  </si>
  <si>
    <t>CASSAVA LEAVES</t>
  </si>
  <si>
    <t>BRAZILNUT SHELLED</t>
  </si>
  <si>
    <t>TOMATOES</t>
  </si>
  <si>
    <t>CASHEW NUTS SHELLED</t>
  </si>
  <si>
    <t>TOMATO JUICE</t>
  </si>
  <si>
    <t>ALMONDS SHELLED</t>
  </si>
  <si>
    <t>TOMATO JUICE CONCENTRATED</t>
  </si>
  <si>
    <t>WALNUTS SHELLED</t>
  </si>
  <si>
    <t>TOMATO PASTE</t>
  </si>
  <si>
    <t>HAZELNUTS SHELLED</t>
  </si>
  <si>
    <t>TOMATOES PEELED</t>
  </si>
  <si>
    <t>NUTS NES</t>
  </si>
  <si>
    <t>CAULIFLOWER</t>
  </si>
  <si>
    <t>PREPARED NUTS</t>
  </si>
  <si>
    <t>PUMPKINS, SQUASH, GOURDS</t>
  </si>
  <si>
    <t>SOYBEANS</t>
  </si>
  <si>
    <t>CUCUMBERS, GHERINKS</t>
  </si>
  <si>
    <t>EGGPLANTS</t>
  </si>
  <si>
    <t>CITRUS FRUIT NES JUICE CONCENTRATED</t>
  </si>
  <si>
    <t>CHILLIES, PEPPERS,GREEN</t>
  </si>
  <si>
    <t>APPLES</t>
  </si>
  <si>
    <t>ONIONS,SHALLOTS, GREEN</t>
  </si>
  <si>
    <t>APPLES JUICE</t>
  </si>
  <si>
    <t>ONIONS, DRY</t>
  </si>
  <si>
    <t>APPLES JUICE CONCENTRATED</t>
  </si>
  <si>
    <t>GARLIC</t>
  </si>
  <si>
    <t>PEARS</t>
  </si>
  <si>
    <t>LEEKS</t>
  </si>
  <si>
    <t>QUINCES</t>
  </si>
  <si>
    <t>BEANS, GREEN</t>
  </si>
  <si>
    <t>APRICOTS</t>
  </si>
  <si>
    <t>PEAS, GREEN</t>
  </si>
  <si>
    <t>SOUR CHERRY</t>
  </si>
  <si>
    <t>BROAD BEANS,GREEN</t>
  </si>
  <si>
    <t>CHERRIES</t>
  </si>
  <si>
    <t>STRING BEANS</t>
  </si>
  <si>
    <t>PEACHES AND NECTARINES</t>
  </si>
  <si>
    <t>CARROTS</t>
  </si>
  <si>
    <t>PLUMS</t>
  </si>
  <si>
    <t>OKRA</t>
  </si>
  <si>
    <t>PLUM JUICE</t>
  </si>
  <si>
    <t>GREEN CORN</t>
  </si>
  <si>
    <t>PLUM JUICE CONCENTRATED</t>
  </si>
  <si>
    <t>SWEET CORN FROZEN</t>
  </si>
  <si>
    <t>STONE FRUIT NES</t>
  </si>
  <si>
    <t>SWEET CORN PREPARED</t>
  </si>
  <si>
    <t>POME FRUIT NES</t>
  </si>
  <si>
    <t>MUSHROOMS</t>
  </si>
  <si>
    <t>CAROBS</t>
  </si>
  <si>
    <t>MUSHROOMS CANNED</t>
  </si>
  <si>
    <t>STRAWBERRIES</t>
  </si>
  <si>
    <t>MUSHROOMS DRIED</t>
  </si>
  <si>
    <t>RASPBERRIES</t>
  </si>
  <si>
    <t>VEGETABLES NES FRESH</t>
  </si>
  <si>
    <t>GOOSEBERRIES</t>
  </si>
  <si>
    <t>VEGETABLES NES DRIED</t>
  </si>
  <si>
    <t>CURRANTS</t>
  </si>
  <si>
    <t>VEGETABLES NES CANNED</t>
  </si>
  <si>
    <t>BLUEBERRIES</t>
  </si>
  <si>
    <t>VEGETABLES NES JUICE</t>
  </si>
  <si>
    <t>CRANBERRIES</t>
  </si>
  <si>
    <t>VEGETABLES DEHYDRATED</t>
  </si>
  <si>
    <t>BERRIES NES</t>
  </si>
  <si>
    <t>VEGETABLES PREPARED BY VINEGAR</t>
  </si>
  <si>
    <t>GRAPES</t>
  </si>
  <si>
    <t>VEGETABLES PREPARED NES</t>
  </si>
  <si>
    <t>GRAPE JUICE</t>
  </si>
  <si>
    <t>VEGETABLES FROZEN</t>
  </si>
  <si>
    <t>WATERMELONS</t>
  </si>
  <si>
    <t>VEGETABLES PROVISIONALLY PRESERVED</t>
  </si>
  <si>
    <t>MELONS</t>
  </si>
  <si>
    <t>VEGETABLES PREPARED OR PRES.FROZEN</t>
  </si>
  <si>
    <t>FIGS</t>
  </si>
  <si>
    <t>HOMOGENIZED VEGETABLES PREPARED</t>
  </si>
  <si>
    <t>MANGOES</t>
  </si>
  <si>
    <t>MANGO JUICE</t>
  </si>
  <si>
    <t>FRUITS AND PRODUCTS</t>
  </si>
  <si>
    <t>MANGO PULP</t>
  </si>
  <si>
    <t>BANANAS</t>
  </si>
  <si>
    <t>AVOCADOS</t>
  </si>
  <si>
    <t>PLANTAINS</t>
  </si>
  <si>
    <t>PINEAPPLES</t>
  </si>
  <si>
    <t>ORANGES</t>
  </si>
  <si>
    <t>PINEAPPLES CANNED</t>
  </si>
  <si>
    <t>ORANGE JUICE</t>
  </si>
  <si>
    <t>PINEAPPLES JUICE</t>
  </si>
  <si>
    <t>ORANGE JUICE CONCENTRATED</t>
  </si>
  <si>
    <t>PINEAPPLES JUICE CONCENTRATED</t>
  </si>
  <si>
    <t>TANGERINES, MANDARINES, CLEMENTINES</t>
  </si>
  <si>
    <t>PERSIMMONS</t>
  </si>
  <si>
    <t>TANGERINES JUICE</t>
  </si>
  <si>
    <t>CASHEWAPPLE</t>
  </si>
  <si>
    <t>LEMONS AND LIMES</t>
  </si>
  <si>
    <t>KIWI</t>
  </si>
  <si>
    <t>LEMON JUICE</t>
  </si>
  <si>
    <t>PAPAYAS</t>
  </si>
  <si>
    <t>LEMON JUICE CONCENTRATED</t>
  </si>
  <si>
    <t>FRUIT TROPICAL NES</t>
  </si>
  <si>
    <t>GRAPEFRUIT AND POMELO</t>
  </si>
  <si>
    <t>FRUIT NES FRESH</t>
  </si>
  <si>
    <t>GRAPEFRUIT JUICE</t>
  </si>
  <si>
    <t>FRUIT NES JUICE</t>
  </si>
  <si>
    <t>GRAPEFRUIT JUICE CONCENTRATED</t>
  </si>
  <si>
    <t>FRUIT NES PREPARED</t>
  </si>
  <si>
    <t>CITRUS FRUIT NES</t>
  </si>
  <si>
    <t>FLOUR OF FRUIT</t>
  </si>
  <si>
    <t>CITRUS FRUIT NES JUICE</t>
  </si>
  <si>
    <t>FRUIT,NUTS,FRUIT PEEL PRESERVED BY SUGAR</t>
  </si>
  <si>
    <t>FRUIT COOKED HOMOGENIZED</t>
  </si>
  <si>
    <t>WINE</t>
  </si>
  <si>
    <t>VERMOUTHS AND SIMILAR</t>
  </si>
  <si>
    <t>Dried fruits</t>
  </si>
  <si>
    <t>BEVERAGES DIST. ALCOHOL</t>
  </si>
  <si>
    <t>APRICOTS DRIED</t>
  </si>
  <si>
    <t>PLUMS DRIED</t>
  </si>
  <si>
    <t>MEAT AND PRODUCTS</t>
  </si>
  <si>
    <t>RAISINS</t>
  </si>
  <si>
    <t>FIGS DRIED</t>
  </si>
  <si>
    <t>BEEF BONELESS</t>
  </si>
  <si>
    <t>DATES</t>
  </si>
  <si>
    <t>BEEF DRIED SALTED SMOKED</t>
  </si>
  <si>
    <t>FRUIT TROPICAL NES DRIED</t>
  </si>
  <si>
    <t>MEAT EXTRACTS</t>
  </si>
  <si>
    <t>FRUIT NES DRIED</t>
  </si>
  <si>
    <t>BEEF SAUSAGES</t>
  </si>
  <si>
    <t>BEEF PREPARATIONS</t>
  </si>
  <si>
    <t>STIMULANTS</t>
  </si>
  <si>
    <t>BEEF CANNED</t>
  </si>
  <si>
    <t>COFFEE GREEN</t>
  </si>
  <si>
    <t>HOMOGENIZED MEAT PREPARED</t>
  </si>
  <si>
    <t>COFFEE ROASTED</t>
  </si>
  <si>
    <t>LIVER PREPARATIONS</t>
  </si>
  <si>
    <t>COFFEE SUBSTITUTES</t>
  </si>
  <si>
    <t>OFFALS OF CATTLE</t>
  </si>
  <si>
    <t>COFFEE EXTRACTS</t>
  </si>
  <si>
    <t>BUFFALO MEAT</t>
  </si>
  <si>
    <t>CHICORY ROOTS</t>
  </si>
  <si>
    <t>OFFALS OF BUFFALO</t>
  </si>
  <si>
    <t>COCOA BEANS</t>
  </si>
  <si>
    <t>MUTTON AND LAMB</t>
  </si>
  <si>
    <t>COCOA PASTE</t>
  </si>
  <si>
    <t>OFFALS OF SHEEP</t>
  </si>
  <si>
    <t>COCOA BUTTER</t>
  </si>
  <si>
    <t>GOAT MEAT</t>
  </si>
  <si>
    <t>COCOA POWDER</t>
  </si>
  <si>
    <t>OFFALS OF GOATS</t>
  </si>
  <si>
    <t>CHOCOLATE PRODUCTS NES</t>
  </si>
  <si>
    <t>PIGMEAT</t>
  </si>
  <si>
    <t>TEA</t>
  </si>
  <si>
    <t>PORK</t>
  </si>
  <si>
    <t>EXTRACT TEA</t>
  </si>
  <si>
    <t>BACON - HAM OF PIGS</t>
  </si>
  <si>
    <t>TEA NES</t>
  </si>
  <si>
    <t>PIG MEAT SAUSAGES</t>
  </si>
  <si>
    <t>MATE</t>
  </si>
  <si>
    <t>PIG MEAT PREPARATIONS</t>
  </si>
  <si>
    <t>OFFALS OF PIGS</t>
  </si>
  <si>
    <t>SPICES</t>
  </si>
  <si>
    <t>CHICKEN MEAT</t>
  </si>
  <si>
    <t>PEPPER WHITE/LONG/BLACK</t>
  </si>
  <si>
    <t>CHICKEN MEAT CANNED</t>
  </si>
  <si>
    <t>PIMENTO</t>
  </si>
  <si>
    <t>OFFAL OF CHICKENS</t>
  </si>
  <si>
    <t>CINNAMON</t>
  </si>
  <si>
    <t>FAT LIVER PREPARATIONS</t>
  </si>
  <si>
    <t>CLOVES</t>
  </si>
  <si>
    <t>DUCK MEAT</t>
  </si>
  <si>
    <t>NUTMEG</t>
  </si>
  <si>
    <t>OFFALS LIVER DUCKS</t>
  </si>
  <si>
    <t>ANISE</t>
  </si>
  <si>
    <t>GOOSE MEAT</t>
  </si>
  <si>
    <t>GINGER</t>
  </si>
  <si>
    <t>OFFALS LIVER GEESE</t>
  </si>
  <si>
    <t>SPICES NES</t>
  </si>
  <si>
    <t>TURKEY MEAT</t>
  </si>
  <si>
    <t>OFFALS LIVER TURKEYS</t>
  </si>
  <si>
    <t>ALCOHOLIC BEVERAGES</t>
  </si>
  <si>
    <t>PIGEONS OTHER BIRDS</t>
  </si>
  <si>
    <t>WHEAT FERMENTED BEVERAGE</t>
  </si>
  <si>
    <t>POULTRY MEAT</t>
  </si>
  <si>
    <t>RICE FERMENTED BEVERAGE</t>
  </si>
  <si>
    <t>HORSEMEAT</t>
  </si>
  <si>
    <t>BEER BARLEY</t>
  </si>
  <si>
    <t>OFFALS OF HORSES</t>
  </si>
  <si>
    <t>BEER MAIZE</t>
  </si>
  <si>
    <t>MEAT OF ASSES</t>
  </si>
  <si>
    <t>BEER MILLET</t>
  </si>
  <si>
    <t>MEAT OF MULES</t>
  </si>
  <si>
    <t>BEER SORGHUM</t>
  </si>
  <si>
    <t>MEAT OF CAMELS</t>
  </si>
  <si>
    <t>FERMENTED BEVERAGES, CIDER ETC.</t>
  </si>
  <si>
    <t>OFFALS OF CAMELS</t>
  </si>
  <si>
    <t>MUST OF GRAPES</t>
  </si>
  <si>
    <t>RABBIT MEAT</t>
  </si>
  <si>
    <t>MEAT OF OTHER RODENTS</t>
  </si>
  <si>
    <t>MOLLUSCS CANNED</t>
  </si>
  <si>
    <t>MEAT OF OTHER CAMELIDS</t>
  </si>
  <si>
    <t>CEPHALOPODS FRESH</t>
  </si>
  <si>
    <t>OFFALS OF OTHER CAMELIDS</t>
  </si>
  <si>
    <t>CEPHALOPODS FROZEN</t>
  </si>
  <si>
    <t>GAME MEAT</t>
  </si>
  <si>
    <t>CEPHALOPODS CURED</t>
  </si>
  <si>
    <t>MEAT NES</t>
  </si>
  <si>
    <t>CEPHALOPODS CANNED</t>
  </si>
  <si>
    <t>MEAT NES DRIED</t>
  </si>
  <si>
    <t>CEPHALOPODS PREPARED NES</t>
  </si>
  <si>
    <t>MEAT PREPARED NES</t>
  </si>
  <si>
    <t>AQUATIC MAMMALS MEAT</t>
  </si>
  <si>
    <t>OFFALS NES</t>
  </si>
  <si>
    <t>AQUATIC MAMMALS PREPARED NES</t>
  </si>
  <si>
    <t>SNAILS NOT SEA</t>
  </si>
  <si>
    <t>AQUATIC ANIMALS NES FRESH</t>
  </si>
  <si>
    <t>AQUATIC ANIMALS NES CURED</t>
  </si>
  <si>
    <t>EGGS</t>
  </si>
  <si>
    <t>AQUATIC ANIMALS PREPARED NES</t>
  </si>
  <si>
    <t>HEN EGGS</t>
  </si>
  <si>
    <t>AQUATIC PLANTS</t>
  </si>
  <si>
    <t>EGGS LIQUID HEN</t>
  </si>
  <si>
    <t>AQUATIC PLANTS DRIED</t>
  </si>
  <si>
    <t>EGGS DRY HEN</t>
  </si>
  <si>
    <t>AQUATIC PLANTS PREPARED NES</t>
  </si>
  <si>
    <t>EGG ALBUMINE</t>
  </si>
  <si>
    <t>EGGS EXCLUDING HEN EGGS</t>
  </si>
  <si>
    <t>MILK AND CHEESE</t>
  </si>
  <si>
    <t>COW MILK, WHOLE FRESH</t>
  </si>
  <si>
    <t>FISH AND FISHERIES PRODUCTS</t>
  </si>
  <si>
    <t>STANDARDIZED MILK</t>
  </si>
  <si>
    <t>FRESHWATER DIADROMOUS FISH FRESH</t>
  </si>
  <si>
    <t>CREAM, FRESH</t>
  </si>
  <si>
    <t>FRESHWATER DIADROMOUS FISH FILLET</t>
  </si>
  <si>
    <t>WHOLE COW MILK EVAPORATED</t>
  </si>
  <si>
    <t>FRESHWATER DIADROMOUS FISH CURED</t>
  </si>
  <si>
    <t>WHOLE COW MILK CONDENSED</t>
  </si>
  <si>
    <t>FRESHWATER DIADROMOUS FISH CANNED</t>
  </si>
  <si>
    <t>WHOLE COW MILK DRY</t>
  </si>
  <si>
    <t>FRESHWATER DIADROM. FISH PREPARED NES</t>
  </si>
  <si>
    <t>SKIM MILK OF COWS</t>
  </si>
  <si>
    <t>DEMERSAL FISH FRESH</t>
  </si>
  <si>
    <t>SKIM MILK EVAPORATED</t>
  </si>
  <si>
    <t>DEMERSAL FISH FILLET</t>
  </si>
  <si>
    <t>SKIM MILK CONDENSED</t>
  </si>
  <si>
    <t>DEMERSAL FISH CURED</t>
  </si>
  <si>
    <t>SKIM MILK DRY</t>
  </si>
  <si>
    <t>DEMERSAL FISH CANNED</t>
  </si>
  <si>
    <t>BUTTERMILK CURDLED</t>
  </si>
  <si>
    <t>DEMERSAL FISH PREPARED NES</t>
  </si>
  <si>
    <t>BUTTERMILK DRY</t>
  </si>
  <si>
    <t>PELAGIC FISH FRESH</t>
  </si>
  <si>
    <t>YOGHURT</t>
  </si>
  <si>
    <t>PELAGIC FISH FILLET</t>
  </si>
  <si>
    <t>YOGHURT CONCENTRATED</t>
  </si>
  <si>
    <t>PELAGIC FISH CURED</t>
  </si>
  <si>
    <t>RECONSTITUTED MILK</t>
  </si>
  <si>
    <t>PELAGIC FISH CANNED</t>
  </si>
  <si>
    <t>CHEESE WHOLE COW MILK</t>
  </si>
  <si>
    <t>PELAGIC FISH PREPARED NES</t>
  </si>
  <si>
    <t>CHEESE SKIM COW MILK</t>
  </si>
  <si>
    <t>MARINE FISH NES FRESH</t>
  </si>
  <si>
    <t>WHEY CHEESE</t>
  </si>
  <si>
    <t>MARINE FISH NES FILLET</t>
  </si>
  <si>
    <t>PROCESSED CHEESE</t>
  </si>
  <si>
    <t>MARINE FISH NES CURED</t>
  </si>
  <si>
    <t>WHEY FRESH</t>
  </si>
  <si>
    <t>MARINE FISH NES CANNED</t>
  </si>
  <si>
    <t>WHEY CONDENSED</t>
  </si>
  <si>
    <t>MARINE FISH PREPARED NES</t>
  </si>
  <si>
    <t>WHEY DRY</t>
  </si>
  <si>
    <t>CRUSTACEANS FRESH</t>
  </si>
  <si>
    <t>CASEIN</t>
  </si>
  <si>
    <t>CRUSTACEANS FROZEN</t>
  </si>
  <si>
    <t>BUFFALO MILK</t>
  </si>
  <si>
    <t>CRUSTACEANS CURED</t>
  </si>
  <si>
    <t>SKIM MILK OF BUFFALO</t>
  </si>
  <si>
    <t>CRUSTACEANS CANNED</t>
  </si>
  <si>
    <t>CHEESE BUFFALO MILK</t>
  </si>
  <si>
    <t>CRUSTACEANS PREPARED NES</t>
  </si>
  <si>
    <t>SHEEP MILK</t>
  </si>
  <si>
    <t>MOLLUSCS FRESH</t>
  </si>
  <si>
    <t>CHEESE SHEEP MILK</t>
  </si>
  <si>
    <t>MOLLUSCS FROZEN</t>
  </si>
  <si>
    <t>SKIM MILK OF SHEEP</t>
  </si>
  <si>
    <t>MOLLUSCS CURED</t>
  </si>
  <si>
    <t>GOAT MILK</t>
  </si>
  <si>
    <t>CHEESE GOAT MILK</t>
  </si>
  <si>
    <t>FAT OF GOATS</t>
  </si>
  <si>
    <t>SKIM MILK OF GOAT</t>
  </si>
  <si>
    <t>BUTTER OF GOAT MILK</t>
  </si>
  <si>
    <t>CAMEL MILK</t>
  </si>
  <si>
    <t>FAT OF PIGS</t>
  </si>
  <si>
    <t>PIG BUTCHER FAT</t>
  </si>
  <si>
    <t>OILS AND FATS</t>
  </si>
  <si>
    <t>LARD</t>
  </si>
  <si>
    <t>VEGETABLE OILS</t>
  </si>
  <si>
    <t>FAT OF POULTRY</t>
  </si>
  <si>
    <t>OIL OF RICE BRAN</t>
  </si>
  <si>
    <t>FAT OF POULTRY RENDERED</t>
  </si>
  <si>
    <t>OIL OF MAIZE</t>
  </si>
  <si>
    <t>FAT OF CAMELS</t>
  </si>
  <si>
    <t>OIL OF SOYABEANS</t>
  </si>
  <si>
    <t>FAT OF OTHER CAMELIDS</t>
  </si>
  <si>
    <t>OIL OF GROUNDNUTS</t>
  </si>
  <si>
    <t>ANIMAL OILS AND FATS NES</t>
  </si>
  <si>
    <t>OIL OF COCONUTS</t>
  </si>
  <si>
    <t>TALLOW</t>
  </si>
  <si>
    <t>PALM OIL</t>
  </si>
  <si>
    <t>FATS PREPARATION NES</t>
  </si>
  <si>
    <t>OIL OF PALM KERNELS</t>
  </si>
  <si>
    <t>FRESHWATER DIADROMOUS FISH BODY OIL</t>
  </si>
  <si>
    <t>OLIVE OIL</t>
  </si>
  <si>
    <t>FRESHWATER DIADROMOUS FISH LIVER OIL</t>
  </si>
  <si>
    <t>BUTTER OF KARITE NUTS</t>
  </si>
  <si>
    <t>DEMERSAL FISH BODY OIL</t>
  </si>
  <si>
    <t>OIL OF CASTOR BEANS</t>
  </si>
  <si>
    <t>DEMERSAL FISH LIVER OIL</t>
  </si>
  <si>
    <t>OIL OF SUNFLOWER SEED</t>
  </si>
  <si>
    <t>PELAGIC FISH BODY OIL</t>
  </si>
  <si>
    <t>OIL OF RAPESEED</t>
  </si>
  <si>
    <t>PELAGIC FISH LIVER OIL</t>
  </si>
  <si>
    <t>OIL OF OLIVE RESIDUES</t>
  </si>
  <si>
    <t>MARINE FISH NES BODY OIL</t>
  </si>
  <si>
    <t>TUNG OIL</t>
  </si>
  <si>
    <t>MARINE FISH L221NES LIVER OIL</t>
  </si>
  <si>
    <t>OIL OF SAFFLOWER</t>
  </si>
  <si>
    <t>AQUATIC MAMMALS OILS</t>
  </si>
  <si>
    <t>OIL OF SESAME SEED</t>
  </si>
  <si>
    <t>OIL OF MUSTARD SEED</t>
  </si>
  <si>
    <t>MISCELLANOUS</t>
  </si>
  <si>
    <t>OIL OF POPPY SEED</t>
  </si>
  <si>
    <t>INFANT FOOD</t>
  </si>
  <si>
    <t>STILLINGIA OIL</t>
  </si>
  <si>
    <t>BEVERAGES NON-ALCOHOLIC</t>
  </si>
  <si>
    <t>OIL OF KAPOK</t>
  </si>
  <si>
    <t>ICE CREAM</t>
  </si>
  <si>
    <t>OIL OF COTTON SEED</t>
  </si>
  <si>
    <t>FOOD PREPARATIONS</t>
  </si>
  <si>
    <t>OIL OF LINSEED</t>
  </si>
  <si>
    <t>OIL OF HEMPSEED</t>
  </si>
  <si>
    <t>OIL OF VEGETABLE ORIGIN NES</t>
  </si>
  <si>
    <t>MARGARINE</t>
  </si>
  <si>
    <t>OILS BOILED</t>
  </si>
  <si>
    <t>OILS HYDROGENATED</t>
  </si>
  <si>
    <t>ANIMALS FATS</t>
  </si>
  <si>
    <t>FAT OF CATTLE</t>
  </si>
  <si>
    <t>CATTLE BUTCHER FAT</t>
  </si>
  <si>
    <t>BUTTER OF COW MILK</t>
  </si>
  <si>
    <t>GHEE FROM COW MILK</t>
  </si>
  <si>
    <t>FAT OF BUFFALO</t>
  </si>
  <si>
    <t>BUTTER OF BUFFALO MILK</t>
  </si>
  <si>
    <t>GHEE FROM BUFFALO MILK</t>
  </si>
  <si>
    <t>FAT OF SHEEP</t>
  </si>
  <si>
    <t>BUTTER OF SHEEP MILK</t>
  </si>
  <si>
    <t>Calories (kcal)</t>
  </si>
  <si>
    <t>Protein</t>
  </si>
  <si>
    <t>Fat</t>
  </si>
  <si>
    <t>x</t>
  </si>
  <si>
    <t>FAO Production 2013-2023</t>
  </si>
  <si>
    <t>https://www.fao.org/4/x9892e/X9892e05.htm</t>
  </si>
  <si>
    <t>FAO Food Compostion Tables</t>
  </si>
  <si>
    <t>grams/100grams</t>
  </si>
  <si>
    <t>kcal/100grams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</si>
</sst>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
    <numFmt numFmtId="166" formatCode="0.0000"/>
  </numFmts>
  <fonts count="3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
      <b/>
      <sz val="12"/>
      <color theme="1"/>
      <name val="Calibri"/>
      <family val="2"/>
      <scheme val="minor"/>
    </font>
    <font>
      <i/>
      <sz val="11"/>
      <color theme="0" tint="-0.499984740745262"/>
      <name val="Calibri"/>
      <family val="2"/>
      <scheme val="minor"/>
    </font>
    <font>
      <sz val="11"/>
      <color theme="0" tint="-0.499984740745262"/>
      <name val="Calibri"/>
      <family val="2"/>
      <scheme val="minor"/>
    </font>
    <font>
      <sz val="11"/>
      <color rgb="FFC00000"/>
      <name val="Calibri"/>
      <family val="2"/>
      <scheme val="minor"/>
    </font>
    <font>
      <sz val="11"/>
      <name val="Calibri"/>
      <family val="2"/>
      <scheme val="minor"/>
    </font>
    <font>
      <sz val="11"/>
      <color theme="1" tint="0.499984740745262"/>
      <name val="Calibri"/>
      <family val="2"/>
      <scheme val="minor"/>
    </font>
    <font>
      <sz val="11"/>
      <color theme="5" tint="0.39997558519241921"/>
      <name val="Calibri"/>
      <family val="2"/>
      <scheme val="minor"/>
    </font>
    <font>
      <i/>
      <sz val="11"/>
      <color theme="1"/>
      <name val="Calibri"/>
      <family val="2"/>
      <scheme val="minor"/>
    </font>
    <font>
      <sz val="11"/>
      <color theme="2" tint="-0.499984740745262"/>
      <name val="Calibri"/>
      <family val="2"/>
      <scheme val="minor"/>
    </font>
    <font>
      <sz val="11"/>
      <color theme="1" tint="0.34998626667073579"/>
      <name val="Calibri"/>
      <family val="2"/>
      <scheme val="minor"/>
    </font>
    <font>
      <b/>
      <sz val="11"/>
      <color indexed="8"/>
      <name val="Calibri"/>
      <family val="2"/>
    </font>
    <font>
      <sz val="9"/>
      <color indexed="81"/>
      <name val="Tahoma"/>
      <charset val="1"/>
    </font>
    <font>
      <u/>
      <sz val="11"/>
      <color theme="10"/>
      <name val="Calibri"/>
      <family val="2"/>
      <scheme val="minor"/>
    </font>
    <font>
      <b/>
      <sz val="9"/>
      <color indexed="81"/>
      <name val="Tahoma"/>
      <charset val="1"/>
    </font>
    <font>
      <sz val="10"/>
      <color rgb="FF000000"/>
      <name val="Arial"/>
      <family val="2"/>
    </font>
    <font>
      <b/>
      <sz val="10"/>
      <color rgb="FF000000"/>
      <name val="Arial"/>
      <family val="2"/>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5" tint="0.79998168889431442"/>
        <bgColor indexed="64"/>
      </patternFill>
    </fill>
    <fill>
      <patternFill patternType="solid">
        <fgColor rgb="FFFF0000"/>
        <bgColor indexed="64"/>
      </patternFill>
    </fill>
    <fill>
      <patternFill patternType="solid">
        <fgColor theme="9" tint="0.59999389629810485"/>
        <bgColor indexed="64"/>
      </patternFill>
    </fill>
    <fill>
      <patternFill patternType="solid">
        <fgColor rgb="FFFFFFFF"/>
        <bgColor indexed="64"/>
      </patternFill>
    </fill>
  </fills>
  <borders count="3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dashed">
        <color indexed="64"/>
      </left>
      <right/>
      <top/>
      <bottom style="thin">
        <color indexed="64"/>
      </bottom>
      <diagonal/>
    </border>
    <border>
      <left style="dashed">
        <color indexed="64"/>
      </left>
      <right/>
      <top style="thin">
        <color indexed="64"/>
      </top>
      <bottom style="thin">
        <color indexed="64"/>
      </bottom>
      <diagonal/>
    </border>
    <border>
      <left/>
      <right/>
      <top/>
      <bottom style="thin">
        <color theme="4" tint="0.39997558519241921"/>
      </bottom>
      <diagonal/>
    </border>
    <border>
      <left style="dashed">
        <color indexed="64"/>
      </left>
      <right style="dashed">
        <color indexed="64"/>
      </right>
      <top/>
      <bottom/>
      <diagonal/>
    </border>
    <border>
      <left style="dashed">
        <color indexed="64"/>
      </left>
      <right style="dashed">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2" fillId="0" borderId="0" applyNumberFormat="0" applyFill="0" applyBorder="0" applyAlignment="0" applyProtection="0"/>
  </cellStyleXfs>
  <cellXfs count="197">
    <xf numFmtId="0" fontId="0" fillId="0" borderId="0" xfId="0"/>
    <xf numFmtId="0" fontId="16" fillId="33" borderId="18" xfId="0" applyFont="1" applyFill="1" applyBorder="1"/>
    <xf numFmtId="0" fontId="0" fillId="0" borderId="18" xfId="0" applyBorder="1"/>
    <xf numFmtId="0" fontId="16" fillId="34" borderId="18" xfId="0" applyFont="1" applyFill="1" applyBorder="1"/>
    <xf numFmtId="0" fontId="0" fillId="35" borderId="0" xfId="0" applyFill="1"/>
    <xf numFmtId="0" fontId="16" fillId="35" borderId="18" xfId="0" applyFont="1" applyFill="1" applyBorder="1"/>
    <xf numFmtId="0" fontId="0" fillId="35" borderId="10" xfId="0" applyFill="1" applyBorder="1"/>
    <xf numFmtId="0" fontId="0" fillId="35" borderId="11" xfId="0" applyFill="1" applyBorder="1"/>
    <xf numFmtId="0" fontId="16" fillId="33" borderId="19" xfId="0" applyFont="1" applyFill="1" applyBorder="1"/>
    <xf numFmtId="0" fontId="21" fillId="35" borderId="0" xfId="0" applyFont="1" applyFill="1" applyAlignment="1">
      <alignment horizontal="right"/>
    </xf>
    <xf numFmtId="0" fontId="0" fillId="33" borderId="0" xfId="0" applyFill="1" applyAlignment="1">
      <alignment horizontal="right"/>
    </xf>
    <xf numFmtId="0" fontId="0" fillId="33" borderId="12" xfId="0" applyFill="1" applyBorder="1" applyAlignment="1">
      <alignment horizontal="right"/>
    </xf>
    <xf numFmtId="0" fontId="22" fillId="33" borderId="0" xfId="0" applyFont="1" applyFill="1" applyAlignment="1">
      <alignment horizontal="right"/>
    </xf>
    <xf numFmtId="0" fontId="22" fillId="33" borderId="12" xfId="0" applyFont="1" applyFill="1" applyBorder="1" applyAlignment="1">
      <alignment horizontal="right"/>
    </xf>
    <xf numFmtId="0" fontId="0" fillId="33" borderId="10" xfId="0" applyFill="1" applyBorder="1" applyAlignment="1">
      <alignment horizontal="right"/>
    </xf>
    <xf numFmtId="0" fontId="0" fillId="33" borderId="13" xfId="0" applyFill="1" applyBorder="1" applyAlignment="1">
      <alignment horizontal="right"/>
    </xf>
    <xf numFmtId="0" fontId="0" fillId="33" borderId="14" xfId="0" applyFill="1" applyBorder="1" applyAlignment="1">
      <alignment horizontal="right"/>
    </xf>
    <xf numFmtId="0" fontId="22" fillId="33" borderId="10" xfId="0" applyFont="1" applyFill="1" applyBorder="1" applyAlignment="1">
      <alignment horizontal="right"/>
    </xf>
    <xf numFmtId="0" fontId="0" fillId="33" borderId="11" xfId="0" applyFill="1" applyBorder="1" applyAlignment="1">
      <alignment horizontal="right"/>
    </xf>
    <xf numFmtId="0" fontId="16" fillId="36" borderId="20" xfId="0" applyFont="1" applyFill="1" applyBorder="1"/>
    <xf numFmtId="0" fontId="16" fillId="36" borderId="18" xfId="0" applyFont="1" applyFill="1" applyBorder="1"/>
    <xf numFmtId="0" fontId="16" fillId="36" borderId="19" xfId="0" applyFont="1" applyFill="1" applyBorder="1"/>
    <xf numFmtId="0" fontId="0" fillId="34" borderId="0" xfId="0" applyFill="1" applyAlignment="1">
      <alignment horizontal="right"/>
    </xf>
    <xf numFmtId="0" fontId="0" fillId="34" borderId="10" xfId="0" applyFill="1" applyBorder="1" applyAlignment="1">
      <alignment horizontal="right"/>
    </xf>
    <xf numFmtId="0" fontId="22" fillId="34" borderId="0" xfId="0" applyFont="1" applyFill="1" applyAlignment="1">
      <alignment horizontal="right"/>
    </xf>
    <xf numFmtId="0" fontId="22" fillId="34" borderId="16" xfId="0" applyFont="1" applyFill="1" applyBorder="1" applyAlignment="1">
      <alignment horizontal="right"/>
    </xf>
    <xf numFmtId="0" fontId="22" fillId="34" borderId="10" xfId="0" applyFont="1" applyFill="1" applyBorder="1" applyAlignment="1">
      <alignment horizontal="right"/>
    </xf>
    <xf numFmtId="0" fontId="0" fillId="36" borderId="15" xfId="0" applyFill="1" applyBorder="1" applyAlignment="1">
      <alignment horizontal="right"/>
    </xf>
    <xf numFmtId="0" fontId="0" fillId="36" borderId="0" xfId="0" applyFill="1" applyAlignment="1">
      <alignment horizontal="right"/>
    </xf>
    <xf numFmtId="0" fontId="0" fillId="36" borderId="12" xfId="0" applyFill="1" applyBorder="1" applyAlignment="1">
      <alignment horizontal="right"/>
    </xf>
    <xf numFmtId="0" fontId="0" fillId="36" borderId="17" xfId="0" applyFill="1" applyBorder="1" applyAlignment="1">
      <alignment horizontal="right"/>
    </xf>
    <xf numFmtId="0" fontId="0" fillId="36" borderId="11" xfId="0" applyFill="1" applyBorder="1" applyAlignment="1">
      <alignment horizontal="right"/>
    </xf>
    <xf numFmtId="0" fontId="0" fillId="36" borderId="14" xfId="0" applyFill="1" applyBorder="1" applyAlignment="1">
      <alignment horizontal="right"/>
    </xf>
    <xf numFmtId="0" fontId="22" fillId="34" borderId="0" xfId="0" applyFont="1" applyFill="1"/>
    <xf numFmtId="2" fontId="22" fillId="34" borderId="0" xfId="0" applyNumberFormat="1" applyFont="1" applyFill="1" applyAlignment="1">
      <alignment horizontal="right"/>
    </xf>
    <xf numFmtId="2" fontId="22" fillId="34" borderId="0" xfId="0" applyNumberFormat="1" applyFont="1" applyFill="1"/>
    <xf numFmtId="2" fontId="22" fillId="34" borderId="10" xfId="0" applyNumberFormat="1" applyFont="1" applyFill="1" applyBorder="1" applyAlignment="1">
      <alignment horizontal="right"/>
    </xf>
    <xf numFmtId="2" fontId="0" fillId="34" borderId="0" xfId="0" applyNumberFormat="1" applyFill="1" applyAlignment="1">
      <alignment horizontal="right"/>
    </xf>
    <xf numFmtId="164" fontId="0" fillId="36" borderId="15" xfId="0" applyNumberFormat="1" applyFill="1" applyBorder="1" applyAlignment="1">
      <alignment horizontal="right"/>
    </xf>
    <xf numFmtId="164" fontId="0" fillId="36" borderId="0" xfId="0" applyNumberFormat="1" applyFill="1" applyAlignment="1">
      <alignment horizontal="right"/>
    </xf>
    <xf numFmtId="164" fontId="22" fillId="36" borderId="0" xfId="0" applyNumberFormat="1" applyFont="1" applyFill="1" applyAlignment="1">
      <alignment horizontal="right"/>
    </xf>
    <xf numFmtId="164" fontId="0" fillId="36" borderId="10" xfId="0" applyNumberFormat="1" applyFill="1" applyBorder="1" applyAlignment="1">
      <alignment horizontal="right"/>
    </xf>
    <xf numFmtId="164" fontId="0" fillId="36" borderId="16" xfId="0" applyNumberFormat="1" applyFill="1" applyBorder="1" applyAlignment="1">
      <alignment horizontal="right"/>
    </xf>
    <xf numFmtId="164" fontId="22" fillId="36" borderId="15" xfId="0" applyNumberFormat="1" applyFont="1" applyFill="1" applyBorder="1" applyAlignment="1">
      <alignment horizontal="right"/>
    </xf>
    <xf numFmtId="164" fontId="23" fillId="36" borderId="15" xfId="0" applyNumberFormat="1" applyFont="1" applyFill="1" applyBorder="1" applyAlignment="1">
      <alignment horizontal="right"/>
    </xf>
    <xf numFmtId="164" fontId="0" fillId="36" borderId="12" xfId="0" applyNumberFormat="1" applyFill="1" applyBorder="1" applyAlignment="1">
      <alignment horizontal="right"/>
    </xf>
    <xf numFmtId="164" fontId="22" fillId="36" borderId="12" xfId="0" applyNumberFormat="1" applyFont="1" applyFill="1" applyBorder="1" applyAlignment="1">
      <alignment horizontal="right"/>
    </xf>
    <xf numFmtId="164" fontId="0" fillId="36" borderId="13" xfId="0" applyNumberFormat="1" applyFill="1" applyBorder="1" applyAlignment="1">
      <alignment horizontal="right"/>
    </xf>
    <xf numFmtId="2" fontId="0" fillId="0" borderId="0" xfId="0" applyNumberFormat="1"/>
    <xf numFmtId="1" fontId="0" fillId="0" borderId="0" xfId="0" applyNumberFormat="1"/>
    <xf numFmtId="0" fontId="0" fillId="34" borderId="0" xfId="0" applyFill="1"/>
    <xf numFmtId="0" fontId="0" fillId="34" borderId="10" xfId="0" applyFill="1" applyBorder="1"/>
    <xf numFmtId="1" fontId="0" fillId="34" borderId="10" xfId="0" applyNumberFormat="1" applyFill="1" applyBorder="1"/>
    <xf numFmtId="1" fontId="0" fillId="34" borderId="0" xfId="0" applyNumberFormat="1" applyFill="1" applyAlignment="1">
      <alignment horizontal="right"/>
    </xf>
    <xf numFmtId="0" fontId="16" fillId="34" borderId="18" xfId="0" applyFont="1" applyFill="1" applyBorder="1" applyAlignment="1">
      <alignment horizontal="center"/>
    </xf>
    <xf numFmtId="0" fontId="24" fillId="34" borderId="0" xfId="0" applyFont="1" applyFill="1" applyAlignment="1">
      <alignment horizontal="right"/>
    </xf>
    <xf numFmtId="0" fontId="25" fillId="34" borderId="0" xfId="0" applyFont="1" applyFill="1" applyAlignment="1">
      <alignment horizontal="right"/>
    </xf>
    <xf numFmtId="1" fontId="25" fillId="34" borderId="0" xfId="0" applyNumberFormat="1" applyFont="1" applyFill="1" applyAlignment="1">
      <alignment horizontal="right"/>
    </xf>
    <xf numFmtId="1" fontId="22" fillId="34" borderId="0" xfId="0" applyNumberFormat="1" applyFont="1" applyFill="1"/>
    <xf numFmtId="1" fontId="22" fillId="34" borderId="0" xfId="0" applyNumberFormat="1" applyFont="1" applyFill="1" applyAlignment="1">
      <alignment horizontal="right"/>
    </xf>
    <xf numFmtId="1" fontId="22" fillId="34" borderId="10" xfId="0" applyNumberFormat="1" applyFont="1" applyFill="1" applyBorder="1" applyAlignment="1">
      <alignment horizontal="right"/>
    </xf>
    <xf numFmtId="1" fontId="23" fillId="34" borderId="0" xfId="0" applyNumberFormat="1" applyFont="1" applyFill="1" applyAlignment="1">
      <alignment horizontal="right"/>
    </xf>
    <xf numFmtId="0" fontId="24" fillId="35" borderId="0" xfId="0" applyFont="1" applyFill="1" applyAlignment="1">
      <alignment horizontal="left"/>
    </xf>
    <xf numFmtId="0" fontId="24" fillId="33" borderId="0" xfId="0" applyFont="1" applyFill="1" applyAlignment="1">
      <alignment horizontal="right"/>
    </xf>
    <xf numFmtId="0" fontId="24" fillId="33" borderId="12" xfId="0" applyFont="1" applyFill="1" applyBorder="1" applyAlignment="1">
      <alignment horizontal="right"/>
    </xf>
    <xf numFmtId="0" fontId="24" fillId="0" borderId="0" xfId="0" applyFont="1"/>
    <xf numFmtId="0" fontId="25" fillId="35" borderId="0" xfId="0" applyFont="1" applyFill="1"/>
    <xf numFmtId="0" fontId="25" fillId="33" borderId="0" xfId="0" applyFont="1" applyFill="1" applyAlignment="1">
      <alignment horizontal="right"/>
    </xf>
    <xf numFmtId="0" fontId="25" fillId="33" borderId="12" xfId="0" applyFont="1" applyFill="1" applyBorder="1" applyAlignment="1">
      <alignment horizontal="right"/>
    </xf>
    <xf numFmtId="164" fontId="25" fillId="36" borderId="15" xfId="0" applyNumberFormat="1" applyFont="1" applyFill="1" applyBorder="1" applyAlignment="1">
      <alignment horizontal="right"/>
    </xf>
    <xf numFmtId="164" fontId="25" fillId="36" borderId="0" xfId="0" applyNumberFormat="1" applyFont="1" applyFill="1" applyAlignment="1">
      <alignment horizontal="right"/>
    </xf>
    <xf numFmtId="164" fontId="25" fillId="36" borderId="12" xfId="0" applyNumberFormat="1" applyFont="1" applyFill="1" applyBorder="1" applyAlignment="1">
      <alignment horizontal="right"/>
    </xf>
    <xf numFmtId="0" fontId="25" fillId="0" borderId="0" xfId="0" applyFont="1"/>
    <xf numFmtId="164" fontId="24" fillId="34" borderId="0" xfId="0" applyNumberFormat="1" applyFont="1" applyFill="1" applyAlignment="1">
      <alignment horizontal="right"/>
    </xf>
    <xf numFmtId="164" fontId="23" fillId="34" borderId="0" xfId="0" applyNumberFormat="1" applyFont="1" applyFill="1" applyAlignment="1">
      <alignment horizontal="right"/>
    </xf>
    <xf numFmtId="1" fontId="0" fillId="33" borderId="0" xfId="0" applyNumberFormat="1" applyFill="1" applyAlignment="1">
      <alignment horizontal="right"/>
    </xf>
    <xf numFmtId="1" fontId="24" fillId="33" borderId="0" xfId="0" applyNumberFormat="1" applyFont="1" applyFill="1" applyAlignment="1">
      <alignment horizontal="right"/>
    </xf>
    <xf numFmtId="1" fontId="23" fillId="34" borderId="0" xfId="0" applyNumberFormat="1" applyFont="1" applyFill="1"/>
    <xf numFmtId="1" fontId="23" fillId="34" borderId="10" xfId="0" applyNumberFormat="1" applyFont="1" applyFill="1" applyBorder="1"/>
    <xf numFmtId="1" fontId="26" fillId="34" borderId="0" xfId="0" applyNumberFormat="1" applyFont="1" applyFill="1"/>
    <xf numFmtId="1" fontId="26" fillId="34" borderId="10" xfId="0" applyNumberFormat="1" applyFont="1" applyFill="1" applyBorder="1"/>
    <xf numFmtId="164" fontId="23" fillId="36" borderId="0" xfId="0" applyNumberFormat="1" applyFont="1" applyFill="1"/>
    <xf numFmtId="164" fontId="23" fillId="36" borderId="12" xfId="0" applyNumberFormat="1" applyFont="1" applyFill="1" applyBorder="1"/>
    <xf numFmtId="0" fontId="16" fillId="0" borderId="23" xfId="0" applyFont="1" applyBorder="1"/>
    <xf numFmtId="0" fontId="16" fillId="0" borderId="24" xfId="0" applyFont="1" applyBorder="1"/>
    <xf numFmtId="0" fontId="0" fillId="0" borderId="23" xfId="0" applyBorder="1"/>
    <xf numFmtId="0" fontId="0" fillId="0" borderId="24" xfId="0" applyBorder="1"/>
    <xf numFmtId="0" fontId="0" fillId="0" borderId="25" xfId="0" applyBorder="1"/>
    <xf numFmtId="0" fontId="0" fillId="0" borderId="26" xfId="0" applyBorder="1"/>
    <xf numFmtId="0" fontId="16" fillId="0" borderId="0" xfId="0" applyFont="1"/>
    <xf numFmtId="0" fontId="27" fillId="0" borderId="0" xfId="0" applyFont="1"/>
    <xf numFmtId="0" fontId="0" fillId="37" borderId="0" xfId="0" applyFill="1"/>
    <xf numFmtId="164" fontId="0" fillId="0" borderId="0" xfId="0" applyNumberFormat="1"/>
    <xf numFmtId="165" fontId="0" fillId="0" borderId="23" xfId="0" applyNumberFormat="1" applyBorder="1"/>
    <xf numFmtId="165" fontId="0" fillId="0" borderId="25" xfId="0" applyNumberFormat="1" applyBorder="1"/>
    <xf numFmtId="165" fontId="0" fillId="0" borderId="24" xfId="0" applyNumberFormat="1" applyBorder="1"/>
    <xf numFmtId="165" fontId="0" fillId="0" borderId="26" xfId="0" applyNumberFormat="1" applyBorder="1"/>
    <xf numFmtId="0" fontId="20" fillId="34" borderId="0" xfId="0" applyFont="1" applyFill="1" applyAlignment="1">
      <alignment horizontal="center"/>
    </xf>
    <xf numFmtId="164" fontId="25" fillId="34" borderId="0" xfId="0" applyNumberFormat="1" applyFont="1" applyFill="1" applyAlignment="1">
      <alignment horizontal="right"/>
    </xf>
    <xf numFmtId="164" fontId="24" fillId="34" borderId="10" xfId="0" applyNumberFormat="1" applyFont="1" applyFill="1" applyBorder="1" applyAlignment="1">
      <alignment horizontal="right"/>
    </xf>
    <xf numFmtId="164" fontId="25" fillId="34" borderId="10" xfId="0" applyNumberFormat="1" applyFont="1" applyFill="1" applyBorder="1" applyAlignment="1">
      <alignment horizontal="right"/>
    </xf>
    <xf numFmtId="164" fontId="23" fillId="34" borderId="10" xfId="0" applyNumberFormat="1" applyFont="1" applyFill="1" applyBorder="1" applyAlignment="1">
      <alignment horizontal="right"/>
    </xf>
    <xf numFmtId="164" fontId="26" fillId="34" borderId="0" xfId="0" applyNumberFormat="1" applyFont="1" applyFill="1" applyAlignment="1">
      <alignment horizontal="right"/>
    </xf>
    <xf numFmtId="2" fontId="23" fillId="34" borderId="0" xfId="0" applyNumberFormat="1" applyFont="1" applyFill="1" applyAlignment="1">
      <alignment horizontal="right"/>
    </xf>
    <xf numFmtId="2" fontId="24" fillId="0" borderId="0" xfId="0" applyNumberFormat="1" applyFont="1" applyAlignment="1">
      <alignment horizontal="right"/>
    </xf>
    <xf numFmtId="0" fontId="28" fillId="0" borderId="0" xfId="0" applyFont="1"/>
    <xf numFmtId="166" fontId="0" fillId="0" borderId="0" xfId="0" applyNumberFormat="1"/>
    <xf numFmtId="2" fontId="29" fillId="0" borderId="0" xfId="0" applyNumberFormat="1" applyFont="1"/>
    <xf numFmtId="2" fontId="23" fillId="0" borderId="0" xfId="0" applyNumberFormat="1" applyFont="1"/>
    <xf numFmtId="2" fontId="25" fillId="0" borderId="0" xfId="0" applyNumberFormat="1" applyFont="1"/>
    <xf numFmtId="0" fontId="20" fillId="33" borderId="0" xfId="0" applyFont="1" applyFill="1" applyAlignment="1">
      <alignment horizontal="center"/>
    </xf>
    <xf numFmtId="165" fontId="25" fillId="33" borderId="0" xfId="0" applyNumberFormat="1" applyFont="1" applyFill="1" applyAlignment="1">
      <alignment horizontal="right"/>
    </xf>
    <xf numFmtId="165" fontId="24" fillId="33" borderId="0" xfId="0" applyNumberFormat="1" applyFont="1" applyFill="1" applyAlignment="1">
      <alignment horizontal="right"/>
    </xf>
    <xf numFmtId="0" fontId="21" fillId="35" borderId="0" xfId="0" applyFont="1" applyFill="1" applyAlignment="1">
      <alignment horizontal="left"/>
    </xf>
    <xf numFmtId="0" fontId="0" fillId="35" borderId="0" xfId="0" applyFill="1" applyAlignment="1">
      <alignment horizontal="left"/>
    </xf>
    <xf numFmtId="0" fontId="0" fillId="35" borderId="10" xfId="0" applyFill="1" applyBorder="1" applyAlignment="1">
      <alignment horizontal="left"/>
    </xf>
    <xf numFmtId="0" fontId="0" fillId="38" borderId="0" xfId="0" applyFill="1"/>
    <xf numFmtId="2" fontId="24" fillId="0" borderId="0" xfId="0" applyNumberFormat="1" applyFont="1"/>
    <xf numFmtId="2" fontId="22" fillId="0" borderId="0" xfId="0" applyNumberFormat="1" applyFont="1"/>
    <xf numFmtId="0" fontId="0" fillId="0" borderId="0" xfId="0" applyAlignment="1">
      <alignment horizontal="center"/>
    </xf>
    <xf numFmtId="49" fontId="0" fillId="0" borderId="0" xfId="0" applyNumberFormat="1"/>
    <xf numFmtId="0" fontId="14" fillId="0" borderId="0" xfId="0" applyFont="1"/>
    <xf numFmtId="2" fontId="0" fillId="0" borderId="0" xfId="0" applyNumberFormat="1" applyAlignment="1">
      <alignment horizontal="center"/>
    </xf>
    <xf numFmtId="2" fontId="0" fillId="38" borderId="0" xfId="0" applyNumberFormat="1" applyFill="1" applyAlignment="1">
      <alignment horizontal="center"/>
    </xf>
    <xf numFmtId="2" fontId="0" fillId="0" borderId="23" xfId="0" applyNumberFormat="1" applyBorder="1"/>
    <xf numFmtId="2" fontId="0" fillId="0" borderId="24" xfId="0" applyNumberFormat="1" applyBorder="1"/>
    <xf numFmtId="0" fontId="0" fillId="0" borderId="10" xfId="0" applyBorder="1"/>
    <xf numFmtId="2" fontId="0" fillId="0" borderId="10" xfId="0" applyNumberFormat="1" applyBorder="1"/>
    <xf numFmtId="165" fontId="0" fillId="0" borderId="27" xfId="0" applyNumberFormat="1" applyBorder="1"/>
    <xf numFmtId="165" fontId="0" fillId="0" borderId="28" xfId="0" applyNumberFormat="1" applyBorder="1"/>
    <xf numFmtId="3" fontId="16" fillId="0" borderId="0" xfId="0" applyNumberFormat="1" applyFont="1"/>
    <xf numFmtId="0" fontId="16" fillId="0" borderId="0" xfId="0" applyFont="1" applyAlignment="1">
      <alignment horizontal="left" indent="5"/>
    </xf>
    <xf numFmtId="0" fontId="0" fillId="0" borderId="10" xfId="0" applyBorder="1" applyAlignment="1">
      <alignment horizontal="left" vertical="center"/>
    </xf>
    <xf numFmtId="0" fontId="0" fillId="0" borderId="30" xfId="0" applyBorder="1" applyAlignment="1">
      <alignment vertical="center"/>
    </xf>
    <xf numFmtId="0" fontId="16" fillId="0" borderId="10" xfId="0" applyFont="1" applyBorder="1" applyAlignment="1">
      <alignment vertical="center"/>
    </xf>
    <xf numFmtId="0" fontId="16" fillId="39" borderId="31" xfId="0" applyFont="1" applyFill="1" applyBorder="1"/>
    <xf numFmtId="0" fontId="16" fillId="39" borderId="0" xfId="0" applyFont="1" applyFill="1"/>
    <xf numFmtId="0" fontId="16" fillId="0" borderId="0" xfId="0" applyFont="1" applyAlignment="1">
      <alignment horizontal="center" vertical="center" wrapText="1"/>
    </xf>
    <xf numFmtId="0" fontId="0" fillId="0" borderId="0" xfId="0" applyAlignment="1">
      <alignment vertical="center" wrapText="1"/>
    </xf>
    <xf numFmtId="0" fontId="16" fillId="0" borderId="0" xfId="0" applyFont="1" applyAlignment="1">
      <alignment vertical="center" wrapText="1"/>
    </xf>
    <xf numFmtId="0" fontId="0" fillId="40" borderId="0" xfId="0" applyFill="1"/>
    <xf numFmtId="0" fontId="16" fillId="40" borderId="18" xfId="0" applyFont="1" applyFill="1" applyBorder="1"/>
    <xf numFmtId="1" fontId="23" fillId="40" borderId="0" xfId="0" applyNumberFormat="1" applyFont="1" applyFill="1"/>
    <xf numFmtId="1" fontId="26" fillId="40" borderId="0" xfId="0" applyNumberFormat="1" applyFont="1" applyFill="1"/>
    <xf numFmtId="0" fontId="0" fillId="33" borderId="0" xfId="0" applyFill="1"/>
    <xf numFmtId="0" fontId="32" fillId="0" borderId="0" xfId="42"/>
    <xf numFmtId="0" fontId="0" fillId="41" borderId="0" xfId="0" applyFill="1"/>
    <xf numFmtId="0" fontId="24" fillId="33" borderId="0" xfId="0" applyFont="1" applyFill="1"/>
    <xf numFmtId="0" fontId="0" fillId="36" borderId="0" xfId="0" applyFill="1"/>
    <xf numFmtId="0" fontId="16" fillId="0" borderId="11" xfId="0" applyFont="1" applyBorder="1"/>
    <xf numFmtId="0" fontId="0" fillId="0" borderId="11" xfId="0" applyBorder="1"/>
    <xf numFmtId="0" fontId="0" fillId="40" borderId="11" xfId="0" applyFill="1" applyBorder="1"/>
    <xf numFmtId="0" fontId="0" fillId="42" borderId="11" xfId="0" applyFill="1" applyBorder="1"/>
    <xf numFmtId="0" fontId="0" fillId="42" borderId="0" xfId="0" applyFill="1"/>
    <xf numFmtId="0" fontId="16" fillId="40" borderId="0" xfId="0" applyFont="1" applyFill="1"/>
    <xf numFmtId="0" fontId="0" fillId="0" borderId="0" xfId="0" applyAlignment="1">
      <alignment vertical="center"/>
    </xf>
    <xf numFmtId="3" fontId="0" fillId="0" borderId="0" xfId="0" applyNumberFormat="1" applyAlignment="1">
      <alignment vertical="center"/>
    </xf>
    <xf numFmtId="3" fontId="0" fillId="38" borderId="0" xfId="0" applyNumberFormat="1" applyFill="1" applyAlignment="1">
      <alignment vertical="center"/>
    </xf>
    <xf numFmtId="3" fontId="0" fillId="0" borderId="32" xfId="0" applyNumberFormat="1" applyBorder="1" applyAlignment="1">
      <alignment vertical="center"/>
    </xf>
    <xf numFmtId="3" fontId="0" fillId="38" borderId="32" xfId="0" applyNumberFormat="1" applyFill="1" applyBorder="1" applyAlignment="1">
      <alignment vertical="center"/>
    </xf>
    <xf numFmtId="0" fontId="0" fillId="0" borderId="15" xfId="0" applyBorder="1"/>
    <xf numFmtId="0" fontId="0" fillId="0" borderId="20" xfId="0" applyBorder="1" applyAlignment="1">
      <alignment vertical="center"/>
    </xf>
    <xf numFmtId="0" fontId="0" fillId="0" borderId="16" xfId="0" applyBorder="1" applyAlignment="1">
      <alignment horizontal="left" vertical="center"/>
    </xf>
    <xf numFmtId="1" fontId="0" fillId="0" borderId="15" xfId="0" applyNumberFormat="1" applyBorder="1"/>
    <xf numFmtId="0" fontId="16" fillId="0" borderId="15" xfId="0" applyFont="1" applyBorder="1" applyAlignment="1">
      <alignment horizontal="center" vertical="center" wrapText="1"/>
    </xf>
    <xf numFmtId="0" fontId="0" fillId="0" borderId="15" xfId="0" applyBorder="1" applyAlignment="1">
      <alignment vertical="center" wrapText="1"/>
    </xf>
    <xf numFmtId="0" fontId="0" fillId="0" borderId="33" xfId="0" applyBorder="1" applyAlignment="1">
      <alignment vertical="center"/>
    </xf>
    <xf numFmtId="0" fontId="16" fillId="0" borderId="29" xfId="0" applyFont="1" applyBorder="1" applyAlignment="1">
      <alignment vertical="center"/>
    </xf>
    <xf numFmtId="0" fontId="0" fillId="0" borderId="32" xfId="0" applyBorder="1" applyAlignment="1">
      <alignment vertical="center"/>
    </xf>
    <xf numFmtId="3" fontId="16" fillId="0" borderId="33" xfId="0" applyNumberFormat="1" applyFont="1" applyBorder="1" applyAlignment="1">
      <alignment vertical="center"/>
    </xf>
    <xf numFmtId="0" fontId="35" fillId="43" borderId="34" xfId="0" applyFont="1" applyFill="1" applyBorder="1" applyAlignment="1">
      <alignment vertical="center" wrapText="1"/>
    </xf>
    <xf numFmtId="0" fontId="35" fillId="43" borderId="34" xfId="0" applyFont="1" applyFill="1" applyBorder="1" applyAlignment="1">
      <alignment horizontal="center" vertical="center" wrapText="1"/>
    </xf>
    <xf numFmtId="0" fontId="34" fillId="43" borderId="34" xfId="0" applyFont="1" applyFill="1" applyBorder="1" applyAlignment="1">
      <alignment vertical="center" wrapText="1"/>
    </xf>
    <xf numFmtId="0" fontId="34" fillId="43" borderId="34" xfId="0" applyFont="1" applyFill="1" applyBorder="1" applyAlignment="1">
      <alignment horizontal="center" vertical="center" wrapText="1"/>
    </xf>
    <xf numFmtId="0" fontId="34" fillId="43" borderId="34" xfId="0" applyFont="1" applyFill="1" applyBorder="1" applyAlignment="1">
      <alignment horizontal="right" vertical="center" wrapText="1"/>
    </xf>
    <xf numFmtId="3" fontId="16" fillId="0" borderId="0" xfId="0" applyNumberFormat="1" applyFont="1" applyAlignment="1">
      <alignment vertical="center"/>
    </xf>
    <xf numFmtId="0" fontId="34" fillId="0" borderId="34" xfId="0" applyFont="1" applyBorder="1" applyAlignment="1">
      <alignment vertical="center" wrapText="1"/>
    </xf>
    <xf numFmtId="0" fontId="34" fillId="0" borderId="34" xfId="0" applyFont="1" applyBorder="1" applyAlignment="1">
      <alignment horizontal="right" vertical="center" wrapText="1"/>
    </xf>
    <xf numFmtId="0" fontId="35" fillId="43" borderId="0" xfId="0" applyFont="1" applyFill="1" applyAlignment="1">
      <alignment horizontal="center" vertical="center" wrapText="1"/>
    </xf>
    <xf numFmtId="0" fontId="16" fillId="35" borderId="0" xfId="0" applyFont="1" applyFill="1"/>
    <xf numFmtId="0" fontId="16" fillId="0" borderId="10" xfId="0" applyFont="1" applyBorder="1" applyAlignment="1">
      <alignment horizontal="center"/>
    </xf>
    <xf numFmtId="0" fontId="20" fillId="36" borderId="15" xfId="0" applyFont="1" applyFill="1" applyBorder="1" applyAlignment="1">
      <alignment horizontal="center"/>
    </xf>
    <xf numFmtId="0" fontId="20" fillId="36" borderId="0" xfId="0" applyFont="1" applyFill="1" applyAlignment="1">
      <alignment horizontal="center"/>
    </xf>
    <xf numFmtId="0" fontId="20" fillId="36" borderId="12" xfId="0" applyFont="1" applyFill="1" applyBorder="1" applyAlignment="1">
      <alignment horizontal="center"/>
    </xf>
    <xf numFmtId="0" fontId="20" fillId="33" borderId="0" xfId="0" applyFont="1" applyFill="1" applyAlignment="1">
      <alignment horizontal="center"/>
    </xf>
    <xf numFmtId="0" fontId="20" fillId="33" borderId="12" xfId="0" applyFont="1" applyFill="1" applyBorder="1" applyAlignment="1">
      <alignment horizontal="center"/>
    </xf>
    <xf numFmtId="0" fontId="20" fillId="34" borderId="16" xfId="0" applyFont="1" applyFill="1" applyBorder="1" applyAlignment="1">
      <alignment horizontal="center"/>
    </xf>
    <xf numFmtId="0" fontId="20" fillId="34" borderId="10" xfId="0" applyFont="1" applyFill="1"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16" fillId="0" borderId="21" xfId="0" applyFont="1" applyBorder="1" applyAlignment="1">
      <alignment horizontal="center"/>
    </xf>
    <xf numFmtId="0" fontId="16" fillId="0" borderId="22" xfId="0" applyFont="1" applyBorder="1" applyAlignment="1">
      <alignment horizontal="center"/>
    </xf>
    <xf numFmtId="0" fontId="16" fillId="0" borderId="23" xfId="0" applyFont="1" applyBorder="1" applyAlignment="1">
      <alignment horizontal="center" wrapText="1"/>
    </xf>
    <xf numFmtId="0" fontId="0" fillId="0" borderId="0" xfId="0" applyAlignment="1">
      <alignment horizontal="center"/>
    </xf>
    <xf numFmtId="0" fontId="0" fillId="0" borderId="0" xfId="0" applyAlignment="1">
      <alignment horizontal="center" wrapText="1"/>
    </xf>
    <xf numFmtId="49" fontId="0" fillId="0" borderId="0" xfId="0" applyNumberFormat="1" applyAlignment="1">
      <alignment horizontal="center"/>
    </xf>
    <xf numFmtId="0" fontId="0" fillId="0" borderId="12" xfId="0" applyBorder="1" applyAlignment="1">
      <alignment horizont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'Model Input'!$Y$3</c:f>
              <c:strCache>
                <c:ptCount val="1"/>
                <c:pt idx="0">
                  <c:v>Flexitarian Diet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05-49F6-B66B-E233CE72C9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05-49F6-B66B-E233CE72C9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05-49F6-B66B-E233CE72C94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E05-49F6-B66B-E233CE72C94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E05-49F6-B66B-E233CE72C94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E05-49F6-B66B-E233CE72C94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E05-49F6-B66B-E233CE72C94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1E05-49F6-B66B-E233CE72C94C}"/>
              </c:ext>
            </c:extLst>
          </c:dPt>
          <c:cat>
            <c:strRef>
              <c:f>'Model Input'!$A$4:$A$11</c:f>
              <c:strCache>
                <c:ptCount val="8"/>
                <c:pt idx="0">
                  <c:v>PasMeat</c:v>
                </c:pt>
                <c:pt idx="1">
                  <c:v>CropMeat</c:v>
                </c:pt>
                <c:pt idx="2">
                  <c:v>Dairy</c:v>
                </c:pt>
                <c:pt idx="3">
                  <c:v>Eggs</c:v>
                </c:pt>
                <c:pt idx="4">
                  <c:v>Pulses</c:v>
                </c:pt>
                <c:pt idx="5">
                  <c:v>Grains</c:v>
                </c:pt>
                <c:pt idx="6">
                  <c:v>VegFruits</c:v>
                </c:pt>
                <c:pt idx="7">
                  <c:v>OtherCrops</c:v>
                </c:pt>
              </c:strCache>
            </c:strRef>
          </c:cat>
          <c:val>
            <c:numRef>
              <c:f>'Model Input'!$Y$4:$Y$11</c:f>
              <c:numCache>
                <c:formatCode>General</c:formatCode>
                <c:ptCount val="8"/>
                <c:pt idx="0">
                  <c:v>0.45</c:v>
                </c:pt>
                <c:pt idx="1">
                  <c:v>2.52</c:v>
                </c:pt>
                <c:pt idx="2">
                  <c:v>7.98</c:v>
                </c:pt>
                <c:pt idx="3">
                  <c:v>0.76</c:v>
                </c:pt>
                <c:pt idx="4">
                  <c:v>7.06</c:v>
                </c:pt>
                <c:pt idx="5">
                  <c:v>29.988</c:v>
                </c:pt>
                <c:pt idx="6">
                  <c:v>12.061999999999999</c:v>
                </c:pt>
                <c:pt idx="7">
                  <c:v>38.43</c:v>
                </c:pt>
              </c:numCache>
            </c:numRef>
          </c:val>
          <c:extLst>
            <c:ext xmlns:c16="http://schemas.microsoft.com/office/drawing/2014/chart" uri="{C3380CC4-5D6E-409C-BE32-E72D297353CC}">
              <c16:uniqueId val="{00000000-BA16-4DAC-8AEF-BC527A90B160}"/>
            </c:ext>
          </c:extLst>
        </c:ser>
        <c:ser>
          <c:idx val="2"/>
          <c:order val="1"/>
          <c:tx>
            <c:v>Healthy</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1-1E05-49F6-B66B-E233CE72C9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3-1E05-49F6-B66B-E233CE72C9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5-1E05-49F6-B66B-E233CE72C94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7-1E05-49F6-B66B-E233CE72C94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9-1E05-49F6-B66B-E233CE72C94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B-1E05-49F6-B66B-E233CE72C94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D-1E05-49F6-B66B-E233CE72C94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1F-1E05-49F6-B66B-E233CE72C94C}"/>
              </c:ext>
            </c:extLst>
          </c:dPt>
          <c:cat>
            <c:strRef>
              <c:f>'Model Input'!$A$4:$A$11</c:f>
              <c:strCache>
                <c:ptCount val="8"/>
                <c:pt idx="0">
                  <c:v>PasMeat</c:v>
                </c:pt>
                <c:pt idx="1">
                  <c:v>CropMeat</c:v>
                </c:pt>
                <c:pt idx="2">
                  <c:v>Dairy</c:v>
                </c:pt>
                <c:pt idx="3">
                  <c:v>Eggs</c:v>
                </c:pt>
                <c:pt idx="4">
                  <c:v>Pulses</c:v>
                </c:pt>
                <c:pt idx="5">
                  <c:v>Grains</c:v>
                </c:pt>
                <c:pt idx="6">
                  <c:v>VegFruits</c:v>
                </c:pt>
                <c:pt idx="7">
                  <c:v>OtherCrops</c:v>
                </c:pt>
              </c:strCache>
            </c:strRef>
          </c:cat>
          <c:val>
            <c:numRef>
              <c:f>'Model Input'!$AA$4:$AA$11</c:f>
              <c:numCache>
                <c:formatCode>General</c:formatCode>
                <c:ptCount val="8"/>
                <c:pt idx="0">
                  <c:v>1.34</c:v>
                </c:pt>
                <c:pt idx="1">
                  <c:v>4.09</c:v>
                </c:pt>
                <c:pt idx="2">
                  <c:v>7.78</c:v>
                </c:pt>
                <c:pt idx="3">
                  <c:v>0.74</c:v>
                </c:pt>
                <c:pt idx="4">
                  <c:v>6.88</c:v>
                </c:pt>
                <c:pt idx="5">
                  <c:v>29.2315</c:v>
                </c:pt>
                <c:pt idx="6">
                  <c:v>11.7585</c:v>
                </c:pt>
                <c:pt idx="7">
                  <c:v>37.450000000000003</c:v>
                </c:pt>
              </c:numCache>
            </c:numRef>
          </c:val>
          <c:extLst>
            <c:ext xmlns:c16="http://schemas.microsoft.com/office/drawing/2014/chart" uri="{C3380CC4-5D6E-409C-BE32-E72D297353CC}">
              <c16:uniqueId val="{00000002-BA16-4DAC-8AEF-BC527A90B160}"/>
            </c:ext>
          </c:extLst>
        </c:ser>
        <c:ser>
          <c:idx val="1"/>
          <c:order val="2"/>
          <c:tx>
            <c:v>World Average</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1-1E05-49F6-B66B-E233CE72C9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3-1E05-49F6-B66B-E233CE72C9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5-1E05-49F6-B66B-E233CE72C94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7-1E05-49F6-B66B-E233CE72C94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29-1E05-49F6-B66B-E233CE72C94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B-1E05-49F6-B66B-E233CE72C94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D-1E05-49F6-B66B-E233CE72C94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F-1E05-49F6-B66B-E233CE72C94C}"/>
              </c:ext>
            </c:extLst>
          </c:dPt>
          <c:cat>
            <c:strRef>
              <c:f>'Model Input'!$A$4:$A$11</c:f>
              <c:strCache>
                <c:ptCount val="8"/>
                <c:pt idx="0">
                  <c:v>PasMeat</c:v>
                </c:pt>
                <c:pt idx="1">
                  <c:v>CropMeat</c:v>
                </c:pt>
                <c:pt idx="2">
                  <c:v>Dairy</c:v>
                </c:pt>
                <c:pt idx="3">
                  <c:v>Eggs</c:v>
                </c:pt>
                <c:pt idx="4">
                  <c:v>Pulses</c:v>
                </c:pt>
                <c:pt idx="5">
                  <c:v>Grains</c:v>
                </c:pt>
                <c:pt idx="6">
                  <c:v>VegFruits</c:v>
                </c:pt>
                <c:pt idx="7">
                  <c:v>OtherCrops</c:v>
                </c:pt>
              </c:strCache>
            </c:strRef>
          </c:cat>
          <c:val>
            <c:numRef>
              <c:f>'Model Input'!$Z$4:$Z$11</c:f>
              <c:numCache>
                <c:formatCode>General</c:formatCode>
                <c:ptCount val="8"/>
                <c:pt idx="0">
                  <c:v>1.77</c:v>
                </c:pt>
                <c:pt idx="1">
                  <c:v>7.54</c:v>
                </c:pt>
                <c:pt idx="2">
                  <c:v>6.92</c:v>
                </c:pt>
                <c:pt idx="3">
                  <c:v>1.25</c:v>
                </c:pt>
                <c:pt idx="4">
                  <c:v>2.36</c:v>
                </c:pt>
                <c:pt idx="5">
                  <c:v>46.11</c:v>
                </c:pt>
                <c:pt idx="6">
                  <c:v>12.77</c:v>
                </c:pt>
                <c:pt idx="7">
                  <c:v>20.399999999999999</c:v>
                </c:pt>
              </c:numCache>
            </c:numRef>
          </c:val>
          <c:extLst>
            <c:ext xmlns:c16="http://schemas.microsoft.com/office/drawing/2014/chart" uri="{C3380CC4-5D6E-409C-BE32-E72D297353CC}">
              <c16:uniqueId val="{00000001-BA16-4DAC-8AEF-BC527A90B16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Sheet1!$E$39:$E$44</c:f>
              <c:numCache>
                <c:formatCode>General</c:formatCode>
                <c:ptCount val="6"/>
                <c:pt idx="0">
                  <c:v>1043086.78450025</c:v>
                </c:pt>
                <c:pt idx="1">
                  <c:v>1004937.97850023</c:v>
                </c:pt>
                <c:pt idx="2">
                  <c:v>1011233.32315164</c:v>
                </c:pt>
                <c:pt idx="3">
                  <c:v>1028433.1229571101</c:v>
                </c:pt>
                <c:pt idx="4">
                  <c:v>1034649.3648125801</c:v>
                </c:pt>
                <c:pt idx="5">
                  <c:v>1035878.80248976</c:v>
                </c:pt>
              </c:numCache>
            </c:numRef>
          </c:val>
          <c:smooth val="0"/>
          <c:extLst>
            <c:ext xmlns:c16="http://schemas.microsoft.com/office/drawing/2014/chart" uri="{C3380CC4-5D6E-409C-BE32-E72D297353CC}">
              <c16:uniqueId val="{00000000-D194-4EF2-94BB-D9F058F05BFD}"/>
            </c:ext>
          </c:extLst>
        </c:ser>
        <c:dLbls>
          <c:showLegendKey val="0"/>
          <c:showVal val="0"/>
          <c:showCatName val="0"/>
          <c:showSerName val="0"/>
          <c:showPercent val="0"/>
          <c:showBubbleSize val="0"/>
        </c:dLbls>
        <c:smooth val="0"/>
        <c:axId val="-154311120"/>
        <c:axId val="-154307312"/>
      </c:lineChart>
      <c:catAx>
        <c:axId val="-15431112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307312"/>
        <c:crosses val="autoZero"/>
        <c:auto val="1"/>
        <c:lblAlgn val="ctr"/>
        <c:lblOffset val="100"/>
        <c:noMultiLvlLbl val="0"/>
      </c:catAx>
      <c:valAx>
        <c:axId val="-154307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311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31</xdr:col>
      <xdr:colOff>0</xdr:colOff>
      <xdr:row>3</xdr:row>
      <xdr:rowOff>123825</xdr:rowOff>
    </xdr:from>
    <xdr:to>
      <xdr:col>39</xdr:col>
      <xdr:colOff>457200</xdr:colOff>
      <xdr:row>18</xdr:row>
      <xdr:rowOff>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0</xdr:colOff>
      <xdr:row>0</xdr:row>
      <xdr:rowOff>0</xdr:rowOff>
    </xdr:from>
    <xdr:to>
      <xdr:col>21</xdr:col>
      <xdr:colOff>0</xdr:colOff>
      <xdr:row>40</xdr:row>
      <xdr:rowOff>47454</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6048375" y="0"/>
          <a:ext cx="7315200" cy="766745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47625</xdr:colOff>
      <xdr:row>33</xdr:row>
      <xdr:rowOff>114300</xdr:rowOff>
    </xdr:from>
    <xdr:to>
      <xdr:col>18</xdr:col>
      <xdr:colOff>352425</xdr:colOff>
      <xdr:row>48</xdr:row>
      <xdr:rowOff>0</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hyperlink" Target="https://www.fao.org/faostat/e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36"/>
  <sheetViews>
    <sheetView zoomScale="85" zoomScaleNormal="85" workbookViewId="0">
      <pane xSplit="1" topLeftCell="P1" activePane="topRight" state="frozen"/>
      <selection pane="topRight" activeCell="Q9" sqref="Q9"/>
    </sheetView>
  </sheetViews>
  <sheetFormatPr defaultRowHeight="14.4" x14ac:dyDescent="0.3"/>
  <cols>
    <col min="1" max="1" width="20.109375" bestFit="1" customWidth="1"/>
    <col min="2" max="2" width="14.21875" customWidth="1"/>
    <col min="3" max="6" width="14.88671875" customWidth="1"/>
    <col min="7" max="7" width="16.88671875" customWidth="1"/>
    <col min="8" max="9" width="15.5546875" customWidth="1"/>
    <col min="10" max="10" width="19" customWidth="1"/>
    <col min="11" max="11" width="18.77734375" customWidth="1"/>
    <col min="12" max="12" width="13.5546875" customWidth="1"/>
    <col min="13" max="13" width="17.77734375" customWidth="1"/>
    <col min="14" max="14" width="14.88671875" customWidth="1"/>
    <col min="15" max="15" width="22.88671875" customWidth="1"/>
    <col min="16" max="16" width="19.77734375" customWidth="1"/>
    <col min="17" max="18" width="17.88671875" customWidth="1"/>
    <col min="19" max="19" width="18.44140625" customWidth="1"/>
    <col min="20" max="20" width="12.77734375" customWidth="1"/>
    <col min="21" max="21" width="15.21875" customWidth="1"/>
    <col min="22" max="22" width="15" customWidth="1"/>
    <col min="23" max="23" width="14.5546875" customWidth="1"/>
    <col min="24" max="24" width="21" customWidth="1"/>
    <col min="25" max="25" width="41.6640625" customWidth="1"/>
    <col min="27" max="27" width="13.109375" customWidth="1"/>
  </cols>
  <sheetData>
    <row r="1" spans="1:28" ht="15.6" x14ac:dyDescent="0.3">
      <c r="A1" s="4"/>
      <c r="B1" s="184" t="s">
        <v>33</v>
      </c>
      <c r="C1" s="184"/>
      <c r="D1" s="184"/>
      <c r="E1" s="185"/>
      <c r="F1" s="110"/>
      <c r="G1" s="181" t="s">
        <v>40</v>
      </c>
      <c r="H1" s="182"/>
      <c r="I1" s="183"/>
      <c r="J1" s="186" t="s">
        <v>32</v>
      </c>
      <c r="K1" s="187"/>
      <c r="L1" s="187"/>
      <c r="M1" s="187"/>
      <c r="N1" s="187"/>
      <c r="O1" s="187"/>
      <c r="P1" s="187"/>
      <c r="Q1" s="187"/>
      <c r="R1" s="97"/>
      <c r="S1" s="50"/>
      <c r="T1" s="154" t="s">
        <v>327</v>
      </c>
      <c r="U1" s="180" t="s">
        <v>326</v>
      </c>
      <c r="V1" s="180"/>
      <c r="W1" s="180"/>
      <c r="X1" s="180"/>
      <c r="Y1" s="180" t="s">
        <v>326</v>
      </c>
      <c r="Z1" s="180"/>
      <c r="AA1" s="180"/>
      <c r="AB1" s="180"/>
    </row>
    <row r="2" spans="1:28" s="2" customFormat="1" x14ac:dyDescent="0.3">
      <c r="A2" s="5" t="s">
        <v>0</v>
      </c>
      <c r="B2" s="1" t="s">
        <v>1</v>
      </c>
      <c r="C2" s="8" t="s">
        <v>2</v>
      </c>
      <c r="D2" s="1" t="s">
        <v>34</v>
      </c>
      <c r="E2" s="1" t="s">
        <v>35</v>
      </c>
      <c r="F2" s="1" t="s">
        <v>102</v>
      </c>
      <c r="G2" s="19" t="s">
        <v>3</v>
      </c>
      <c r="H2" s="20" t="s">
        <v>4</v>
      </c>
      <c r="I2" s="21" t="s">
        <v>17</v>
      </c>
      <c r="J2" s="3" t="s">
        <v>28</v>
      </c>
      <c r="K2" s="3" t="s">
        <v>41</v>
      </c>
      <c r="L2" s="3" t="s">
        <v>96</v>
      </c>
      <c r="M2" s="3" t="s">
        <v>27</v>
      </c>
      <c r="N2" s="3" t="s">
        <v>30</v>
      </c>
      <c r="O2" s="54" t="s">
        <v>45</v>
      </c>
      <c r="P2" s="54" t="s">
        <v>46</v>
      </c>
      <c r="Q2" s="54" t="s">
        <v>44</v>
      </c>
      <c r="R2" s="54" t="s">
        <v>93</v>
      </c>
      <c r="S2" s="3" t="s">
        <v>49</v>
      </c>
      <c r="T2" s="141"/>
      <c r="U2" s="2" t="s">
        <v>98</v>
      </c>
      <c r="V2" s="2" t="s">
        <v>99</v>
      </c>
      <c r="W2" s="2" t="s">
        <v>101</v>
      </c>
      <c r="X2" s="2" t="s">
        <v>121</v>
      </c>
    </row>
    <row r="3" spans="1:28" s="72" customFormat="1" x14ac:dyDescent="0.3">
      <c r="A3" s="66" t="s">
        <v>5</v>
      </c>
      <c r="B3" s="67">
        <f>452+28</f>
        <v>480</v>
      </c>
      <c r="C3" s="68">
        <v>0</v>
      </c>
      <c r="D3" s="67">
        <f>SUM(D5:D10)</f>
        <v>695</v>
      </c>
      <c r="E3" s="67">
        <f>SUM(E5:E10)</f>
        <v>390</v>
      </c>
      <c r="F3" s="111">
        <f>100*E3/$E$31</f>
        <v>15.028901734104046</v>
      </c>
      <c r="G3" s="69"/>
      <c r="H3" s="70"/>
      <c r="I3" s="71"/>
      <c r="J3" s="56"/>
      <c r="K3" s="56" t="s">
        <v>31</v>
      </c>
      <c r="L3" s="56"/>
      <c r="M3" s="56"/>
      <c r="N3" s="56"/>
      <c r="O3" s="56"/>
      <c r="P3" s="56"/>
      <c r="Q3" s="57"/>
      <c r="R3" s="98">
        <f>Q3/1000000</f>
        <v>0</v>
      </c>
      <c r="S3" s="77"/>
      <c r="T3" s="142"/>
      <c r="X3" s="109"/>
    </row>
    <row r="4" spans="1:28" x14ac:dyDescent="0.3">
      <c r="A4" s="4" t="s">
        <v>47</v>
      </c>
      <c r="B4" s="75">
        <f>0.24*B3</f>
        <v>115.19999999999999</v>
      </c>
      <c r="C4" s="11">
        <v>0</v>
      </c>
      <c r="D4" s="10">
        <f>D5+D6</f>
        <v>97</v>
      </c>
      <c r="E4" s="10">
        <f>E5+E6</f>
        <v>46</v>
      </c>
      <c r="F4" s="112">
        <f t="shared" ref="F4:F28" si="0">100*E4/$E$31</f>
        <v>1.7726396917148362</v>
      </c>
      <c r="G4" s="38">
        <f>G5</f>
        <v>0.5</v>
      </c>
      <c r="H4" s="39">
        <f>H5</f>
        <v>12.125</v>
      </c>
      <c r="I4" s="45">
        <f>I5</f>
        <v>12.625</v>
      </c>
      <c r="J4" s="22">
        <f>J5+J6</f>
        <v>84731677</v>
      </c>
      <c r="K4" s="24" t="s">
        <v>31</v>
      </c>
      <c r="L4" s="74">
        <f>1/(R4*G4)</f>
        <v>1.2767123287671269</v>
      </c>
      <c r="M4" s="22">
        <f>M5+M6</f>
        <v>1339491220</v>
      </c>
      <c r="N4" s="74">
        <f>SUMPRODUCT(N5:N6,M5:M6)/SUM(M5:M6)</f>
        <v>6.3290555768704473E-2</v>
      </c>
      <c r="O4" s="22">
        <f>O5</f>
        <v>40</v>
      </c>
      <c r="P4" s="22">
        <f>P5</f>
        <v>9.32</v>
      </c>
      <c r="Q4" s="53">
        <f>Q5</f>
        <v>1566523.60515021</v>
      </c>
      <c r="R4" s="73">
        <f>Q4/1000000</f>
        <v>1.5665236051502101</v>
      </c>
      <c r="S4" s="77">
        <f t="shared" ref="S4:S28" si="1">J4*Q4/1000000</f>
        <v>132734172.12446313</v>
      </c>
      <c r="T4" s="142">
        <f>'FAOProduction(Agg)2013-2020'!P7</f>
        <v>89090747.032727256</v>
      </c>
      <c r="U4" s="108">
        <f>SUMPRODUCT(U5:U6,$J$5:$J$6)/SUM($J$5:$J$6)</f>
        <v>2.888112648826719</v>
      </c>
      <c r="V4" s="108">
        <f>SUMPRODUCT(V5:V6,$J$5:$J$6)/SUM($J$5:$J$6)</f>
        <v>0.16352450595306875</v>
      </c>
      <c r="W4" s="48">
        <f>1/(H4*R4)</f>
        <v>5.2647931083180492E-2</v>
      </c>
      <c r="X4" s="48">
        <f>SUMPRODUCT(X5:X6,J5:J6)/SUM(J5:J6)</f>
        <v>32.583399407756325</v>
      </c>
    </row>
    <row r="5" spans="1:28" x14ac:dyDescent="0.3">
      <c r="A5" s="9" t="s">
        <v>14</v>
      </c>
      <c r="B5" s="12" t="s">
        <v>31</v>
      </c>
      <c r="C5" s="13">
        <v>0</v>
      </c>
      <c r="D5" s="12">
        <v>94</v>
      </c>
      <c r="E5" s="12">
        <v>36</v>
      </c>
      <c r="F5" s="111">
        <f t="shared" si="0"/>
        <v>1.3872832369942196</v>
      </c>
      <c r="G5" s="43">
        <v>0.5</v>
      </c>
      <c r="H5" s="40">
        <f>I5-G5</f>
        <v>12.125</v>
      </c>
      <c r="I5" s="46">
        <v>12.625</v>
      </c>
      <c r="J5" s="24">
        <v>69799812</v>
      </c>
      <c r="K5" s="24" t="s">
        <v>31</v>
      </c>
      <c r="L5" s="102">
        <f t="shared" ref="L5:L12" si="2">1/(R5*G5)</f>
        <v>1.2767123287671269</v>
      </c>
      <c r="M5" s="24">
        <v>328209569</v>
      </c>
      <c r="N5" s="24">
        <v>0.2127</v>
      </c>
      <c r="O5" s="33">
        <v>40</v>
      </c>
      <c r="P5" s="33">
        <v>9.32</v>
      </c>
      <c r="Q5" s="58">
        <v>1566523.60515021</v>
      </c>
      <c r="R5" s="98">
        <f t="shared" ref="R5:R28" si="3">Q5/1000000</f>
        <v>1.5665236051502101</v>
      </c>
      <c r="S5" s="79">
        <f t="shared" si="1"/>
        <v>109343053.1330469</v>
      </c>
      <c r="T5" s="143">
        <f>'FAOProduction(Agg)2013-2020'!P8</f>
        <v>72330136.62999998</v>
      </c>
      <c r="U5" s="72">
        <v>2.8</v>
      </c>
      <c r="V5" s="72">
        <v>0.16</v>
      </c>
      <c r="W5" s="109">
        <f t="shared" ref="W5:W12" si="4">1/(H5*R5)</f>
        <v>5.2647931083180492E-2</v>
      </c>
      <c r="X5" s="118">
        <v>32.49</v>
      </c>
    </row>
    <row r="6" spans="1:28" x14ac:dyDescent="0.3">
      <c r="A6" s="9" t="s">
        <v>29</v>
      </c>
      <c r="B6" s="12" t="s">
        <v>31</v>
      </c>
      <c r="C6" s="13">
        <v>0</v>
      </c>
      <c r="D6" s="12">
        <v>3</v>
      </c>
      <c r="E6" s="12">
        <v>10</v>
      </c>
      <c r="F6" s="111">
        <f t="shared" si="0"/>
        <v>0.38535645472061658</v>
      </c>
      <c r="G6" s="43" t="s">
        <v>31</v>
      </c>
      <c r="H6" s="40" t="s">
        <v>31</v>
      </c>
      <c r="I6" s="46"/>
      <c r="J6" s="24">
        <v>14931865</v>
      </c>
      <c r="K6" s="24" t="s">
        <v>31</v>
      </c>
      <c r="L6" s="98"/>
      <c r="M6" s="24">
        <v>1011281651</v>
      </c>
      <c r="N6" s="24">
        <v>1.4800000000000001E-2</v>
      </c>
      <c r="O6" s="24"/>
      <c r="P6" s="24"/>
      <c r="Q6" s="59"/>
      <c r="R6" s="98">
        <f t="shared" si="3"/>
        <v>0</v>
      </c>
      <c r="S6" s="77"/>
      <c r="T6" s="142">
        <f>'FAOProduction(Agg)2013-2020'!P9</f>
        <v>16760610.402727274</v>
      </c>
      <c r="U6" s="72">
        <v>3.3</v>
      </c>
      <c r="V6" s="72">
        <v>0.18</v>
      </c>
      <c r="W6" s="48"/>
      <c r="X6" s="118">
        <v>33.020000000000003</v>
      </c>
    </row>
    <row r="7" spans="1:28" s="65" customFormat="1" x14ac:dyDescent="0.3">
      <c r="A7" s="62" t="s">
        <v>48</v>
      </c>
      <c r="B7" s="76">
        <f>0.76*B3+B10</f>
        <v>392.8</v>
      </c>
      <c r="C7" s="64">
        <v>0</v>
      </c>
      <c r="D7" s="63">
        <f>SUM(D8:D10)</f>
        <v>299</v>
      </c>
      <c r="E7" s="64">
        <f>SUM(E8:E10)</f>
        <v>172</v>
      </c>
      <c r="F7" s="112">
        <f t="shared" si="0"/>
        <v>6.628131021194605</v>
      </c>
      <c r="G7" s="81">
        <f>SUMPRODUCT(G8:G10, S8:S10)/SUM(S8:S10)</f>
        <v>0.99036032987009592</v>
      </c>
      <c r="H7" s="81">
        <f>SUMPRODUCT(H8:H10, S8:S10)/SUM(S8:S10)</f>
        <v>0.12720277726506907</v>
      </c>
      <c r="I7" s="82">
        <f>G7+H7</f>
        <v>1.117563107135165</v>
      </c>
      <c r="J7" s="55">
        <f>SUM(J8:J10)</f>
        <v>393318603</v>
      </c>
      <c r="K7" s="55" t="s">
        <v>31</v>
      </c>
      <c r="L7" s="74">
        <f>1/(R7*G7)</f>
        <v>0.65327998456062986</v>
      </c>
      <c r="M7" s="55">
        <f>SUM(M8:M10)</f>
        <v>71769185073</v>
      </c>
      <c r="N7" s="55"/>
      <c r="O7" s="55">
        <f>SUM(O8:O10)</f>
        <v>217</v>
      </c>
      <c r="P7" s="55">
        <f>SUM(P8:P10)</f>
        <v>49.989999999999995</v>
      </c>
      <c r="Q7" s="61">
        <f>SUMPRODUCT(Q8:Q10,J8:J10)/SUM(J8:J10)</f>
        <v>1545636.6668226973</v>
      </c>
      <c r="R7" s="73">
        <f t="shared" si="3"/>
        <v>1.5456366668226973</v>
      </c>
      <c r="S7" s="77">
        <f t="shared" si="1"/>
        <v>607927654.54027975</v>
      </c>
      <c r="T7" s="142">
        <f>'FAOProduction(Agg)2013-2020'!P10</f>
        <v>415716822.37</v>
      </c>
      <c r="U7" s="108">
        <f>SUMPRODUCT(U8:U10,$J$8:$J$10)/SUM($J$8:$J$10)</f>
        <v>1.4845577672566359</v>
      </c>
      <c r="V7" s="108">
        <f>SUMPRODUCT(V8:V10,$J$8:$J$10)/SUM($J$8:$J$10)</f>
        <v>9.4823988796416708E-2</v>
      </c>
      <c r="W7" s="48">
        <f>1/(H7*R7)</f>
        <v>5.0862299936957696</v>
      </c>
      <c r="X7" s="117">
        <f>SUMPRODUCT(X8:X10,J8:J10)/SUM(J8:J10)</f>
        <v>1.3164263009192065</v>
      </c>
    </row>
    <row r="8" spans="1:28" x14ac:dyDescent="0.3">
      <c r="A8" s="9" t="s">
        <v>15</v>
      </c>
      <c r="B8" s="12" t="s">
        <v>31</v>
      </c>
      <c r="C8" s="13">
        <v>0</v>
      </c>
      <c r="D8" s="12">
        <v>165</v>
      </c>
      <c r="E8" s="12">
        <v>46</v>
      </c>
      <c r="F8" s="111">
        <f t="shared" si="0"/>
        <v>1.7726396917148362</v>
      </c>
      <c r="G8" s="43">
        <v>1.375</v>
      </c>
      <c r="H8" s="40">
        <f>I8-G8</f>
        <v>0.375</v>
      </c>
      <c r="I8" s="46">
        <v>1.75</v>
      </c>
      <c r="J8" s="24">
        <v>120301673</v>
      </c>
      <c r="K8" s="24" t="s">
        <v>31</v>
      </c>
      <c r="L8" s="102">
        <f t="shared" si="2"/>
        <v>0.50623720370643976</v>
      </c>
      <c r="M8" s="24">
        <f>70291018*1000</f>
        <v>70291018000</v>
      </c>
      <c r="N8" s="24">
        <v>1.7114999999999999E-3</v>
      </c>
      <c r="O8" s="33">
        <v>59</v>
      </c>
      <c r="P8" s="33">
        <v>14.99</v>
      </c>
      <c r="Q8" s="58">
        <v>1436624.4162775183</v>
      </c>
      <c r="R8" s="98">
        <f t="shared" si="3"/>
        <v>1.4366244162775184</v>
      </c>
      <c r="S8" s="79">
        <f t="shared" si="1"/>
        <v>172828320.75083387</v>
      </c>
      <c r="T8" s="143">
        <f>'FAOProduction(Agg)2013-2020'!P11</f>
        <v>127724962.21181817</v>
      </c>
      <c r="U8" s="109">
        <v>2.4274598064831499</v>
      </c>
      <c r="V8" s="109">
        <v>0.13321237173729303</v>
      </c>
      <c r="W8" s="109">
        <f t="shared" si="4"/>
        <v>1.856203080256946</v>
      </c>
      <c r="X8" s="118">
        <v>1.41</v>
      </c>
    </row>
    <row r="9" spans="1:28" x14ac:dyDescent="0.3">
      <c r="A9" s="9" t="s">
        <v>16</v>
      </c>
      <c r="B9" s="12" t="s">
        <v>31</v>
      </c>
      <c r="C9" s="13">
        <v>0</v>
      </c>
      <c r="D9" s="12">
        <v>113</v>
      </c>
      <c r="E9" s="12">
        <v>100</v>
      </c>
      <c r="F9" s="111">
        <f t="shared" si="0"/>
        <v>3.8535645472061657</v>
      </c>
      <c r="G9" s="43">
        <v>0.71250000000000002</v>
      </c>
      <c r="H9" s="40">
        <f>I9-G9</f>
        <v>3.7499999999999978E-2</v>
      </c>
      <c r="I9" s="46">
        <v>0.75</v>
      </c>
      <c r="J9" s="24">
        <v>118168709</v>
      </c>
      <c r="K9" s="24" t="s">
        <v>31</v>
      </c>
      <c r="L9" s="102">
        <f t="shared" si="2"/>
        <v>0.49677884503570013</v>
      </c>
      <c r="M9" s="24">
        <v>1478167073</v>
      </c>
      <c r="N9" s="24">
        <v>7.9899999999999999E-2</v>
      </c>
      <c r="O9" s="33">
        <v>124</v>
      </c>
      <c r="P9" s="33">
        <v>16.02</v>
      </c>
      <c r="Q9" s="58">
        <v>2825218.4769038702</v>
      </c>
      <c r="R9" s="98">
        <f t="shared" si="3"/>
        <v>2.8252184769038702</v>
      </c>
      <c r="S9" s="79">
        <f t="shared" si="1"/>
        <v>333852420.05867666</v>
      </c>
      <c r="T9" s="143">
        <f>'FAOProduction(Agg)2013-2020'!P12</f>
        <v>117502314.70363636</v>
      </c>
      <c r="U9" s="72">
        <v>2.4700000000000002</v>
      </c>
      <c r="V9" s="72">
        <v>0.18</v>
      </c>
      <c r="W9" s="109">
        <f t="shared" si="4"/>
        <v>9.4387980556783084</v>
      </c>
      <c r="X9" s="118">
        <v>2.92</v>
      </c>
    </row>
    <row r="10" spans="1:28" x14ac:dyDescent="0.3">
      <c r="A10" s="9" t="s">
        <v>8</v>
      </c>
      <c r="B10" s="12">
        <v>28</v>
      </c>
      <c r="C10" s="13">
        <v>0</v>
      </c>
      <c r="D10" s="12">
        <v>21</v>
      </c>
      <c r="E10" s="12">
        <v>26</v>
      </c>
      <c r="F10" s="111">
        <f t="shared" si="0"/>
        <v>1.0019267822736031</v>
      </c>
      <c r="G10" s="43">
        <v>1.25</v>
      </c>
      <c r="H10" s="40">
        <v>0</v>
      </c>
      <c r="I10" s="46">
        <v>1.25</v>
      </c>
      <c r="J10" s="24">
        <v>154848221</v>
      </c>
      <c r="K10" s="24" t="s">
        <v>31</v>
      </c>
      <c r="L10" s="102">
        <f>1/(R10*G10)</f>
        <v>1.223529411764706</v>
      </c>
      <c r="M10" s="24" t="s">
        <v>31</v>
      </c>
      <c r="N10" s="24" t="s">
        <v>31</v>
      </c>
      <c r="O10" s="33">
        <v>34</v>
      </c>
      <c r="P10" s="33">
        <v>18.98</v>
      </c>
      <c r="Q10" s="58">
        <v>653846.15384615376</v>
      </c>
      <c r="R10" s="98">
        <f t="shared" si="3"/>
        <v>0.65384615384615374</v>
      </c>
      <c r="S10" s="79">
        <f t="shared" si="1"/>
        <v>101246913.73076922</v>
      </c>
      <c r="T10" s="143">
        <f>'FAOProduction(Agg)2013-2020'!P13</f>
        <v>170489545.45454547</v>
      </c>
      <c r="V10" s="49"/>
      <c r="W10" s="48"/>
      <c r="X10" s="118">
        <v>0.02</v>
      </c>
    </row>
    <row r="11" spans="1:28" x14ac:dyDescent="0.3">
      <c r="A11" s="4" t="s">
        <v>6</v>
      </c>
      <c r="B11" s="10">
        <f>385+127</f>
        <v>512</v>
      </c>
      <c r="C11" s="11">
        <f>473+127</f>
        <v>600</v>
      </c>
      <c r="D11" s="10">
        <v>306</v>
      </c>
      <c r="E11" s="10">
        <v>119</v>
      </c>
      <c r="F11" s="112">
        <f t="shared" si="0"/>
        <v>4.5857418111753372</v>
      </c>
      <c r="G11" s="38">
        <v>0.2</v>
      </c>
      <c r="H11" s="39">
        <f>I11-G11</f>
        <v>1.8</v>
      </c>
      <c r="I11" s="45">
        <v>2</v>
      </c>
      <c r="J11" s="22">
        <v>798476317</v>
      </c>
      <c r="K11" s="22" t="s">
        <v>31</v>
      </c>
      <c r="L11" s="74">
        <f>1/(R11*G11)</f>
        <v>6.4239003235354852</v>
      </c>
      <c r="M11" s="22">
        <v>798308405</v>
      </c>
      <c r="N11" s="22">
        <v>1.0002</v>
      </c>
      <c r="O11" s="50">
        <v>199</v>
      </c>
      <c r="P11" s="50">
        <v>93.32</v>
      </c>
      <c r="Q11" s="53">
        <v>778343.33476210898</v>
      </c>
      <c r="R11" s="73">
        <f t="shared" si="3"/>
        <v>0.77834333476210893</v>
      </c>
      <c r="S11" s="77">
        <f t="shared" si="1"/>
        <v>621488719.30234683</v>
      </c>
      <c r="T11" s="142">
        <f>'FAOProduction(Agg)2013-2020'!P14</f>
        <v>873717474.42363632</v>
      </c>
      <c r="U11">
        <v>0.51</v>
      </c>
      <c r="V11">
        <v>0.09</v>
      </c>
      <c r="W11" s="48">
        <f>1/(H11*R11)</f>
        <v>0.71376670261505382</v>
      </c>
      <c r="X11" s="48">
        <v>1.22</v>
      </c>
    </row>
    <row r="12" spans="1:28" x14ac:dyDescent="0.3">
      <c r="A12" s="6" t="s">
        <v>7</v>
      </c>
      <c r="B12" s="14">
        <v>55</v>
      </c>
      <c r="C12" s="15">
        <v>73</v>
      </c>
      <c r="D12" s="14">
        <v>45</v>
      </c>
      <c r="E12" s="14">
        <v>31</v>
      </c>
      <c r="F12" s="112">
        <f t="shared" si="0"/>
        <v>1.1946050096339114</v>
      </c>
      <c r="G12" s="42">
        <v>0.875</v>
      </c>
      <c r="H12" s="41">
        <f>I12-G12</f>
        <v>0.375</v>
      </c>
      <c r="I12" s="47">
        <v>1.25</v>
      </c>
      <c r="J12" s="23">
        <v>80753612</v>
      </c>
      <c r="K12" s="23" t="s">
        <v>31</v>
      </c>
      <c r="L12" s="101">
        <f t="shared" si="2"/>
        <v>0.7993041965644706</v>
      </c>
      <c r="M12" s="23">
        <f>7883195*1000</f>
        <v>7883195000</v>
      </c>
      <c r="N12" s="23">
        <v>1.0243800000000001E-2</v>
      </c>
      <c r="O12" s="51">
        <v>36</v>
      </c>
      <c r="P12" s="51">
        <v>9.19</v>
      </c>
      <c r="Q12" s="52">
        <v>1429815.0163220891</v>
      </c>
      <c r="R12" s="99">
        <f t="shared" si="3"/>
        <v>1.4298150163220891</v>
      </c>
      <c r="S12" s="78">
        <f t="shared" si="1"/>
        <v>115462727.05984765</v>
      </c>
      <c r="T12" s="142">
        <f>'FAOProduction(Agg)2013-2020'!P15</f>
        <v>86322230.36636363</v>
      </c>
      <c r="U12">
        <v>2.0099999999999998</v>
      </c>
      <c r="V12">
        <v>0.2</v>
      </c>
      <c r="W12" s="48">
        <f t="shared" si="4"/>
        <v>1.865043125317098</v>
      </c>
      <c r="X12" s="48">
        <v>1.58</v>
      </c>
    </row>
    <row r="13" spans="1:28" x14ac:dyDescent="0.3">
      <c r="A13" s="4" t="s">
        <v>12</v>
      </c>
      <c r="B13" s="10">
        <v>40</v>
      </c>
      <c r="C13" s="11">
        <v>70</v>
      </c>
      <c r="D13" s="10">
        <v>40</v>
      </c>
      <c r="E13" s="10">
        <v>58</v>
      </c>
      <c r="F13" s="112">
        <f t="shared" si="0"/>
        <v>2.235067437379576</v>
      </c>
      <c r="G13" s="38">
        <v>0.4325</v>
      </c>
      <c r="H13" s="39" t="s">
        <v>31</v>
      </c>
      <c r="I13" s="45">
        <f>G13</f>
        <v>0.4325</v>
      </c>
      <c r="J13" s="22">
        <v>81799807</v>
      </c>
      <c r="K13" s="22">
        <v>82382029</v>
      </c>
      <c r="L13" s="37">
        <v>0.992932657679504</v>
      </c>
      <c r="M13" s="22" t="s">
        <v>31</v>
      </c>
      <c r="N13" s="22" t="s">
        <v>31</v>
      </c>
      <c r="O13" s="53">
        <v>68</v>
      </c>
      <c r="P13" s="37">
        <v>7.21</v>
      </c>
      <c r="Q13" s="53">
        <v>3442441.0540915392</v>
      </c>
      <c r="R13" s="73">
        <f t="shared" si="3"/>
        <v>3.4424410540915393</v>
      </c>
      <c r="S13" s="77">
        <f t="shared" si="1"/>
        <v>281591013.83356452</v>
      </c>
      <c r="T13" s="142">
        <f>'FAOProduction(Agg)2013-2020'!P16</f>
        <v>87114217.88181819</v>
      </c>
      <c r="U13" s="108">
        <v>3.6032740677493287</v>
      </c>
      <c r="V13" s="108">
        <v>0.37011384745687714</v>
      </c>
      <c r="X13" s="48">
        <v>0.23</v>
      </c>
    </row>
    <row r="14" spans="1:28" x14ac:dyDescent="0.3">
      <c r="A14" s="4" t="s">
        <v>21</v>
      </c>
      <c r="B14" s="10">
        <v>849</v>
      </c>
      <c r="C14" s="11">
        <v>1132</v>
      </c>
      <c r="D14" s="10">
        <f>SUM(D15:D18)</f>
        <v>937</v>
      </c>
      <c r="E14" s="10">
        <f>SUM(E15:E18)</f>
        <v>1186</v>
      </c>
      <c r="F14" s="112">
        <f t="shared" si="0"/>
        <v>45.703275529865124</v>
      </c>
      <c r="G14" s="44">
        <f>SUMPRODUCT(G15:G17,J15:J17)/SUM(J15:J17)</f>
        <v>0.1000666421124924</v>
      </c>
      <c r="H14" s="39" t="s">
        <v>31</v>
      </c>
      <c r="I14" s="45">
        <f t="shared" ref="I14:I28" si="5">G14</f>
        <v>0.1000666421124924</v>
      </c>
      <c r="J14" s="22">
        <v>2848661914</v>
      </c>
      <c r="K14" s="22">
        <v>718130478</v>
      </c>
      <c r="L14" s="37">
        <v>3.9667748428301599</v>
      </c>
      <c r="M14" s="22" t="s">
        <v>31</v>
      </c>
      <c r="N14" s="22" t="s">
        <v>31</v>
      </c>
      <c r="O14" s="53">
        <v>1292</v>
      </c>
      <c r="P14" s="37">
        <v>147.06</v>
      </c>
      <c r="Q14" s="53">
        <v>3206718.3462532298</v>
      </c>
      <c r="R14" s="73">
        <f t="shared" si="3"/>
        <v>3.2067183462532296</v>
      </c>
      <c r="S14" s="77">
        <f t="shared" si="1"/>
        <v>9134856421.8966408</v>
      </c>
      <c r="T14" s="142">
        <f>'FAOProduction(Agg)2013-2020'!P17</f>
        <v>2949808064.4127274</v>
      </c>
      <c r="U14" s="108">
        <f>SUMPRODUCT(U15:U18,$J$15:$J$18)/SUM($J$15:$J$18)</f>
        <v>1.5536536662911273</v>
      </c>
      <c r="V14" s="108">
        <f>SUMPRODUCT(V15:V18,$J$15:$J$18)/SUM($J$15:$J$18)</f>
        <v>0.22922442466438647</v>
      </c>
      <c r="X14" s="48">
        <f>SUMPRODUCT(X15:X18,J15:J18)/SUM(J15:J18)</f>
        <v>0.46849690478573225</v>
      </c>
    </row>
    <row r="15" spans="1:28" x14ac:dyDescent="0.3">
      <c r="A15" s="9" t="s">
        <v>18</v>
      </c>
      <c r="B15" s="12" t="s">
        <v>31</v>
      </c>
      <c r="C15" s="13" t="s">
        <v>31</v>
      </c>
      <c r="D15" s="12">
        <v>432</v>
      </c>
      <c r="E15" s="12">
        <v>442</v>
      </c>
      <c r="F15" s="111">
        <f t="shared" si="0"/>
        <v>17.032755298651253</v>
      </c>
      <c r="G15" s="43">
        <v>0.12</v>
      </c>
      <c r="H15" s="40" t="s">
        <v>31</v>
      </c>
      <c r="I15" s="46">
        <f t="shared" si="5"/>
        <v>0.12</v>
      </c>
      <c r="J15" s="33">
        <v>749460077</v>
      </c>
      <c r="K15" s="33">
        <v>220107551</v>
      </c>
      <c r="L15" s="35">
        <v>3.4049999999999998</v>
      </c>
      <c r="M15" s="24" t="s">
        <v>31</v>
      </c>
      <c r="N15" s="24" t="s">
        <v>31</v>
      </c>
      <c r="O15" s="59">
        <v>527</v>
      </c>
      <c r="P15" s="34">
        <v>65.430000000000007</v>
      </c>
      <c r="Q15" s="59">
        <v>2939859.3917163378</v>
      </c>
      <c r="R15" s="98">
        <f t="shared" si="3"/>
        <v>2.9398593917163378</v>
      </c>
      <c r="S15" s="79">
        <f t="shared" si="1"/>
        <v>2203307246.0848999</v>
      </c>
      <c r="T15" s="143">
        <f>'FAOProduction(Agg)2013-2020'!P18</f>
        <v>758442905.32818186</v>
      </c>
      <c r="U15" s="105">
        <v>1.94</v>
      </c>
      <c r="V15" s="105">
        <v>0.36</v>
      </c>
      <c r="X15" s="118">
        <v>0.23</v>
      </c>
    </row>
    <row r="16" spans="1:28" x14ac:dyDescent="0.3">
      <c r="A16" s="9" t="s">
        <v>19</v>
      </c>
      <c r="B16" s="12" t="s">
        <v>31</v>
      </c>
      <c r="C16" s="13" t="s">
        <v>31</v>
      </c>
      <c r="D16" s="12">
        <v>268</v>
      </c>
      <c r="E16" s="12">
        <v>493</v>
      </c>
      <c r="F16" s="111">
        <f t="shared" si="0"/>
        <v>18.998073217726397</v>
      </c>
      <c r="G16" s="43">
        <v>0.08</v>
      </c>
      <c r="H16" s="40" t="s">
        <v>31</v>
      </c>
      <c r="I16" s="46">
        <f t="shared" si="5"/>
        <v>0.08</v>
      </c>
      <c r="J16" s="33">
        <v>740961445</v>
      </c>
      <c r="K16" s="33">
        <v>159807722</v>
      </c>
      <c r="L16" s="35">
        <v>4.6365999999999996</v>
      </c>
      <c r="M16" s="24" t="s">
        <v>31</v>
      </c>
      <c r="N16" s="24" t="s">
        <v>31</v>
      </c>
      <c r="O16" s="33">
        <v>541</v>
      </c>
      <c r="P16" s="33">
        <v>53.92</v>
      </c>
      <c r="Q16" s="58">
        <v>3662184.7181008896</v>
      </c>
      <c r="R16" s="98">
        <f t="shared" si="3"/>
        <v>3.6621847181008897</v>
      </c>
      <c r="S16" s="79">
        <f t="shared" si="1"/>
        <v>2713537680.5809531</v>
      </c>
      <c r="T16" s="143">
        <f>'FAOProduction(Agg)2013-2020'!P19</f>
        <v>760863070.41272724</v>
      </c>
      <c r="U16" s="105">
        <v>1.0900000000000001</v>
      </c>
      <c r="V16" s="105">
        <v>0.1</v>
      </c>
      <c r="X16" s="118">
        <v>1.18</v>
      </c>
    </row>
    <row r="17" spans="1:27" x14ac:dyDescent="0.3">
      <c r="A17" s="9" t="s">
        <v>20</v>
      </c>
      <c r="B17" s="12" t="s">
        <v>31</v>
      </c>
      <c r="C17" s="13" t="s">
        <v>31</v>
      </c>
      <c r="D17" s="12">
        <v>140</v>
      </c>
      <c r="E17" s="12">
        <v>146</v>
      </c>
      <c r="F17" s="111">
        <f t="shared" si="0"/>
        <v>5.6262042389210016</v>
      </c>
      <c r="G17" s="43">
        <v>0.1</v>
      </c>
      <c r="H17" s="40" t="s">
        <v>31</v>
      </c>
      <c r="I17" s="46">
        <f t="shared" si="5"/>
        <v>0.1</v>
      </c>
      <c r="J17" s="33">
        <v>1060107470</v>
      </c>
      <c r="K17" s="33">
        <v>187959116</v>
      </c>
      <c r="L17" s="35">
        <v>5.6401000000000003</v>
      </c>
      <c r="M17" s="24" t="s">
        <v>31</v>
      </c>
      <c r="N17" s="24" t="s">
        <v>31</v>
      </c>
      <c r="O17" s="59">
        <v>147</v>
      </c>
      <c r="P17" s="34">
        <v>17.89</v>
      </c>
      <c r="Q17" s="59">
        <v>2999161.5427613193</v>
      </c>
      <c r="R17" s="98">
        <f t="shared" si="3"/>
        <v>2.9991615427613194</v>
      </c>
      <c r="S17" s="79">
        <f t="shared" si="1"/>
        <v>3179433555.217999</v>
      </c>
      <c r="T17" s="143">
        <f>'FAOProduction(Agg)2013-2020'!P20</f>
        <v>1125799963.5518181</v>
      </c>
      <c r="U17" s="105">
        <v>1.51</v>
      </c>
      <c r="V17" s="105">
        <v>0.21</v>
      </c>
      <c r="W17" s="48"/>
      <c r="X17" s="118">
        <v>0.19</v>
      </c>
      <c r="Y17" s="49"/>
      <c r="Z17" s="49"/>
      <c r="AA17" s="49"/>
    </row>
    <row r="18" spans="1:27" x14ac:dyDescent="0.3">
      <c r="A18" s="9" t="s">
        <v>37</v>
      </c>
      <c r="B18" s="12"/>
      <c r="C18" s="13"/>
      <c r="D18" s="12">
        <v>97</v>
      </c>
      <c r="E18" s="12">
        <v>105</v>
      </c>
      <c r="F18" s="111">
        <f t="shared" si="0"/>
        <v>4.0462427745664744</v>
      </c>
      <c r="G18" s="43"/>
      <c r="H18" s="40" t="s">
        <v>31</v>
      </c>
      <c r="I18" s="46"/>
      <c r="J18" s="24">
        <f>J14-SUM(J15:J17)</f>
        <v>298132922</v>
      </c>
      <c r="K18" s="24">
        <f>K14-SUM(K15:K17)</f>
        <v>150256089</v>
      </c>
      <c r="L18" s="34">
        <f>J18/K18</f>
        <v>1.9841653272367552</v>
      </c>
      <c r="M18" s="24" t="s">
        <v>31</v>
      </c>
      <c r="N18" s="24" t="s">
        <v>31</v>
      </c>
      <c r="O18" s="33">
        <v>42</v>
      </c>
      <c r="P18" s="33">
        <v>5.4</v>
      </c>
      <c r="Q18" s="58">
        <v>2838888.8888888885</v>
      </c>
      <c r="R18" s="98">
        <f t="shared" si="3"/>
        <v>2.8388888888888886</v>
      </c>
      <c r="S18" s="79">
        <f t="shared" si="1"/>
        <v>846366239.67777765</v>
      </c>
      <c r="T18" s="143">
        <f>'FAOProduction(Agg)2013-2020'!P21</f>
        <v>304702125.12000012</v>
      </c>
      <c r="U18" s="105">
        <v>1.89</v>
      </c>
      <c r="V18" s="105">
        <v>0.28999999999999998</v>
      </c>
      <c r="W18" s="48"/>
      <c r="X18" s="118">
        <v>0.28999999999999998</v>
      </c>
    </row>
    <row r="19" spans="1:27" x14ac:dyDescent="0.3">
      <c r="A19" s="4" t="s">
        <v>13</v>
      </c>
      <c r="B19" s="10">
        <f>SUM(B20:B22)</f>
        <v>269</v>
      </c>
      <c r="C19" s="11">
        <f>SUM(C20:C22)</f>
        <v>277</v>
      </c>
      <c r="D19" s="10">
        <f>SUM(D20:D22)</f>
        <v>201</v>
      </c>
      <c r="E19" s="10">
        <f>SUM(E20:E22)</f>
        <v>267</v>
      </c>
      <c r="F19" s="112">
        <f t="shared" si="0"/>
        <v>10.289017341040463</v>
      </c>
      <c r="G19" s="44">
        <f>SUMPRODUCT(G20:G22,J20:J22)/SUM(J20:J22)</f>
        <v>0.210535429081257</v>
      </c>
      <c r="H19" s="39" t="s">
        <v>31</v>
      </c>
      <c r="I19" s="45">
        <f t="shared" si="5"/>
        <v>0.210535429081257</v>
      </c>
      <c r="J19" s="22">
        <f>SUM(J20:J22)</f>
        <v>2787200980</v>
      </c>
      <c r="K19" s="22">
        <f>SUM(K20:K22)</f>
        <v>184164175</v>
      </c>
      <c r="L19" s="37">
        <f>J19/K19</f>
        <v>15.134327726877391</v>
      </c>
      <c r="M19" s="22" t="s">
        <v>31</v>
      </c>
      <c r="N19" s="22" t="s">
        <v>31</v>
      </c>
      <c r="O19" s="53">
        <f>SUM(O20:O22)</f>
        <v>333</v>
      </c>
      <c r="P19" s="53">
        <f>SUM(P20:P22)</f>
        <v>281.70999999999998</v>
      </c>
      <c r="Q19" s="61">
        <f>SUMPRODUCT(Q20:Q22,J20:J22)/SUM(J20:J22)</f>
        <v>483048.80897582095</v>
      </c>
      <c r="R19" s="73">
        <f t="shared" si="3"/>
        <v>0.48304880897582098</v>
      </c>
      <c r="S19" s="77">
        <f t="shared" si="1"/>
        <v>1346354113.7652409</v>
      </c>
      <c r="T19" s="142">
        <f>'FAOProduction(Agg)2013-2020'!P22</f>
        <v>2855573821.4754548</v>
      </c>
      <c r="U19" s="108">
        <f>SUMPRODUCT(U20:U22,$J$20:$J$22)/SUM($J$20:$J$22)</f>
        <v>0.20773422761537641</v>
      </c>
      <c r="V19" s="108">
        <f>SUMPRODUCT(V20:V22,$J$20:$J$22)/SUM($J$20:$J$22)</f>
        <v>3.7189414421836625E-2</v>
      </c>
      <c r="X19" s="48">
        <f>SUMPRODUCT(X20:X22,J20:J22)/SUM(J20:J22)</f>
        <v>7.2355585182809462E-2</v>
      </c>
    </row>
    <row r="20" spans="1:27" x14ac:dyDescent="0.3">
      <c r="A20" s="9" t="s">
        <v>22</v>
      </c>
      <c r="B20" s="12">
        <v>147</v>
      </c>
      <c r="C20" s="13">
        <v>155</v>
      </c>
      <c r="D20" s="12">
        <v>138</v>
      </c>
      <c r="E20" s="12">
        <v>149</v>
      </c>
      <c r="F20" s="111">
        <f t="shared" si="0"/>
        <v>5.7418111753371868</v>
      </c>
      <c r="G20" s="43">
        <v>0.25</v>
      </c>
      <c r="H20" s="40" t="s">
        <v>31</v>
      </c>
      <c r="I20" s="46">
        <f t="shared" si="5"/>
        <v>0.25</v>
      </c>
      <c r="J20" s="24">
        <v>1075203877</v>
      </c>
      <c r="K20" s="24">
        <v>57003435</v>
      </c>
      <c r="L20" s="34">
        <v>18.862089223219598</v>
      </c>
      <c r="M20" s="24" t="s">
        <v>31</v>
      </c>
      <c r="N20" s="24" t="s">
        <v>31</v>
      </c>
      <c r="O20" s="59">
        <v>95</v>
      </c>
      <c r="P20" s="34">
        <v>140.47999999999999</v>
      </c>
      <c r="Q20" s="59">
        <v>246832.2892938497</v>
      </c>
      <c r="R20" s="98">
        <f t="shared" si="3"/>
        <v>0.2468322892938497</v>
      </c>
      <c r="S20" s="79">
        <f t="shared" si="1"/>
        <v>265395034.41753277</v>
      </c>
      <c r="T20" s="143">
        <f>'FAOProduction(Agg)2013-2020'!P23</f>
        <v>1115305413.1918185</v>
      </c>
      <c r="U20" s="48">
        <v>0.23849215418007405</v>
      </c>
      <c r="V20" s="48">
        <v>3.759706457251237E-2</v>
      </c>
      <c r="X20" s="118">
        <v>0.06</v>
      </c>
    </row>
    <row r="21" spans="1:27" x14ac:dyDescent="0.3">
      <c r="A21" s="9" t="s">
        <v>23</v>
      </c>
      <c r="B21" s="12">
        <v>122</v>
      </c>
      <c r="C21" s="13">
        <v>122</v>
      </c>
      <c r="D21" s="12"/>
      <c r="E21" s="12"/>
      <c r="F21" s="111">
        <f t="shared" si="0"/>
        <v>0</v>
      </c>
      <c r="G21" s="43">
        <v>0.25</v>
      </c>
      <c r="H21" s="40" t="s">
        <v>31</v>
      </c>
      <c r="I21" s="46">
        <f t="shared" si="5"/>
        <v>0.25</v>
      </c>
      <c r="J21" s="24">
        <v>865876405</v>
      </c>
      <c r="K21" s="24">
        <v>65235907</v>
      </c>
      <c r="L21" s="34">
        <v>13.273003240377999</v>
      </c>
      <c r="M21" s="24" t="s">
        <v>31</v>
      </c>
      <c r="N21" s="24" t="s">
        <v>31</v>
      </c>
      <c r="O21" s="59">
        <v>97</v>
      </c>
      <c r="P21" s="34">
        <v>77.87</v>
      </c>
      <c r="Q21" s="59">
        <v>454668.0364710415</v>
      </c>
      <c r="R21" s="98">
        <f t="shared" si="3"/>
        <v>0.45466803647104148</v>
      </c>
      <c r="S21" s="79">
        <f t="shared" si="1"/>
        <v>393686324.88795429</v>
      </c>
      <c r="T21" s="143">
        <f>'FAOProduction(Agg)2013-2020'!P24</f>
        <v>874800887.81545448</v>
      </c>
      <c r="U21" s="48">
        <v>0.12782935451417407</v>
      </c>
      <c r="V21" s="48">
        <v>1.8579743981208218E-2</v>
      </c>
      <c r="X21" s="118">
        <v>0.09</v>
      </c>
    </row>
    <row r="22" spans="1:27" x14ac:dyDescent="0.3">
      <c r="A22" s="9" t="s">
        <v>24</v>
      </c>
      <c r="B22" s="12" t="s">
        <v>31</v>
      </c>
      <c r="C22" s="13" t="s">
        <v>31</v>
      </c>
      <c r="D22" s="12">
        <v>63</v>
      </c>
      <c r="E22" s="12">
        <v>118</v>
      </c>
      <c r="F22" s="111">
        <f t="shared" si="0"/>
        <v>4.5472061657032752</v>
      </c>
      <c r="G22" s="43">
        <v>0.12</v>
      </c>
      <c r="H22" s="40" t="s">
        <v>31</v>
      </c>
      <c r="I22" s="46">
        <f t="shared" si="5"/>
        <v>0.12</v>
      </c>
      <c r="J22" s="24">
        <v>846120698</v>
      </c>
      <c r="K22" s="24">
        <v>61924833</v>
      </c>
      <c r="L22" s="34">
        <v>13.6636734732897</v>
      </c>
      <c r="M22" s="24" t="s">
        <v>31</v>
      </c>
      <c r="N22" s="24" t="s">
        <v>31</v>
      </c>
      <c r="O22" s="59">
        <v>141</v>
      </c>
      <c r="P22" s="34">
        <v>63.36</v>
      </c>
      <c r="Q22" s="59">
        <v>812263.25757575757</v>
      </c>
      <c r="R22" s="98">
        <f t="shared" si="3"/>
        <v>0.81226325757575757</v>
      </c>
      <c r="S22" s="79">
        <f t="shared" si="1"/>
        <v>687272754.45975375</v>
      </c>
      <c r="T22" s="143">
        <f>'FAOProduction(Agg)2013-2020'!P25</f>
        <v>865467520.46818173</v>
      </c>
      <c r="U22" s="48">
        <v>0.250419275336554</v>
      </c>
      <c r="V22" s="48">
        <v>5.5715574523997252E-2</v>
      </c>
      <c r="X22" s="118">
        <v>7.0000000000000007E-2</v>
      </c>
    </row>
    <row r="23" spans="1:27" x14ac:dyDescent="0.3">
      <c r="A23" s="4" t="s">
        <v>80</v>
      </c>
      <c r="B23" s="10">
        <f>SUM(B24:B28)</f>
        <v>1328</v>
      </c>
      <c r="C23" s="11">
        <f>SUM(C24:C28)</f>
        <v>1381</v>
      </c>
      <c r="D23" s="10">
        <f>SUM(D24:D28)</f>
        <v>965</v>
      </c>
      <c r="E23" s="11">
        <f>SUM(E24:E28)</f>
        <v>544</v>
      </c>
      <c r="F23" s="112">
        <f>100*E23/$E$31</f>
        <v>20.96339113680154</v>
      </c>
      <c r="G23" s="44">
        <f>SUMPRODUCT(G24:G28,J24:J28)/SUM(J24:J28)</f>
        <v>9.0523495541134993E-2</v>
      </c>
      <c r="H23" s="39" t="s">
        <v>31</v>
      </c>
      <c r="I23" s="45">
        <f t="shared" si="5"/>
        <v>9.0523495541134993E-2</v>
      </c>
      <c r="J23" s="22">
        <f>SUM(J24:J28)-J25</f>
        <v>3145460691</v>
      </c>
      <c r="K23" s="22">
        <f>SUM(K24:K28)</f>
        <v>348364134</v>
      </c>
      <c r="L23" s="103">
        <f>J23/K23</f>
        <v>9.0292323003607482</v>
      </c>
      <c r="M23" s="22" t="s">
        <v>31</v>
      </c>
      <c r="N23" s="22" t="s">
        <v>31</v>
      </c>
      <c r="O23" s="53">
        <f>SUM(O24:O28)</f>
        <v>587</v>
      </c>
      <c r="P23" s="53">
        <f>SUM(P24:P28)</f>
        <v>50.45</v>
      </c>
      <c r="Q23" s="61">
        <f>SUMPRODUCT(Q24:Q28,J24:J28)/SUM(J24:J28)</f>
        <v>1526048.0167554147</v>
      </c>
      <c r="R23" s="73">
        <f>Q23/1000000</f>
        <v>1.5260480167554147</v>
      </c>
      <c r="S23" s="77">
        <f>J23*Q23/1000000</f>
        <v>4800124049.2826662</v>
      </c>
      <c r="T23" s="142">
        <f>'FAOProduction(Agg)2013-2020'!P26</f>
        <v>2857333387.9009089</v>
      </c>
      <c r="U23" s="108">
        <f>(U24*$J$24+$J$26*U26+$J$28*U28)/($J$24+$J$26+$J$28)</f>
        <v>1.1313346140510341</v>
      </c>
      <c r="V23" s="108">
        <f>(V24*$J$24+$J$26*V26+$J$28*V28)/($J$24+$J$26+$J$28)</f>
        <v>0.15952961000631619</v>
      </c>
      <c r="X23" s="48">
        <f>SUMPRODUCT(X24:X28,J24:J28)/SUM(J24:J28)</f>
        <v>0.29572304994050513</v>
      </c>
    </row>
    <row r="24" spans="1:27" x14ac:dyDescent="0.3">
      <c r="A24" s="9" t="s">
        <v>25</v>
      </c>
      <c r="B24" s="12">
        <v>71</v>
      </c>
      <c r="C24" s="13">
        <v>95</v>
      </c>
      <c r="D24" s="12">
        <f>54+45+1+5</f>
        <v>105</v>
      </c>
      <c r="E24" s="12">
        <f>37+20+13+0</f>
        <v>70</v>
      </c>
      <c r="F24" s="111">
        <f t="shared" si="0"/>
        <v>2.6974951830443161</v>
      </c>
      <c r="G24" s="43">
        <v>0.2</v>
      </c>
      <c r="H24" s="40" t="s">
        <v>31</v>
      </c>
      <c r="I24" s="46">
        <f t="shared" si="5"/>
        <v>0.2</v>
      </c>
      <c r="J24" s="24">
        <v>959622175</v>
      </c>
      <c r="K24" s="24">
        <v>305261053</v>
      </c>
      <c r="L24" s="34">
        <v>3.1436115599063901</v>
      </c>
      <c r="M24" s="24" t="s">
        <v>31</v>
      </c>
      <c r="N24" s="24" t="s">
        <v>31</v>
      </c>
      <c r="O24" s="59">
        <v>60</v>
      </c>
      <c r="P24" s="34">
        <v>7.42</v>
      </c>
      <c r="Q24" s="59">
        <v>2951482.4797843699</v>
      </c>
      <c r="R24" s="98">
        <f>Q24/1000000</f>
        <v>2.9514824797843699</v>
      </c>
      <c r="S24" s="79">
        <f t="shared" si="1"/>
        <v>2832308036.7250705</v>
      </c>
      <c r="T24" s="143">
        <f>'FAOProduction(Agg)2013-2020'!P27</f>
        <v>634156467.94818175</v>
      </c>
      <c r="U24" s="107">
        <v>3.4804146776027065</v>
      </c>
      <c r="V24" s="107">
        <v>0.48312111777152017</v>
      </c>
      <c r="X24" s="118">
        <v>0.46</v>
      </c>
    </row>
    <row r="25" spans="1:27" x14ac:dyDescent="0.3">
      <c r="A25" s="9" t="s">
        <v>9</v>
      </c>
      <c r="B25" s="12">
        <v>548</v>
      </c>
      <c r="C25" s="13">
        <v>570</v>
      </c>
      <c r="D25" s="12">
        <f>29+1+56+395+6</f>
        <v>487</v>
      </c>
      <c r="E25" s="12">
        <f>38+50+29+71+27</f>
        <v>215</v>
      </c>
      <c r="F25" s="111">
        <f t="shared" si="0"/>
        <v>8.2851637764932562</v>
      </c>
      <c r="G25" s="43"/>
      <c r="H25" s="40" t="s">
        <v>31</v>
      </c>
      <c r="I25" s="46">
        <f t="shared" si="5"/>
        <v>0</v>
      </c>
      <c r="J25" s="24">
        <v>172654906</v>
      </c>
      <c r="K25" s="24" t="s">
        <v>31</v>
      </c>
      <c r="L25" s="34"/>
      <c r="M25" s="24" t="s">
        <v>31</v>
      </c>
      <c r="N25" s="24" t="s">
        <v>31</v>
      </c>
      <c r="O25" s="59">
        <v>271</v>
      </c>
      <c r="P25" s="34">
        <v>11.37</v>
      </c>
      <c r="Q25" s="59">
        <v>8699648.1970096752</v>
      </c>
      <c r="R25" s="98">
        <f t="shared" si="3"/>
        <v>8.699648197009676</v>
      </c>
      <c r="S25" s="79">
        <f t="shared" si="1"/>
        <v>1502036941.6877749</v>
      </c>
      <c r="T25" s="143">
        <f>'FAOProduction(Agg)2013-2020'!P28</f>
        <v>229976276.94272727</v>
      </c>
      <c r="U25" s="107"/>
      <c r="V25" s="107"/>
      <c r="X25" s="118">
        <v>0.67</v>
      </c>
    </row>
    <row r="26" spans="1:27" x14ac:dyDescent="0.3">
      <c r="A26" s="9" t="s">
        <v>26</v>
      </c>
      <c r="B26" s="12">
        <v>686</v>
      </c>
      <c r="C26" s="13">
        <v>686</v>
      </c>
      <c r="D26" s="12">
        <v>253</v>
      </c>
      <c r="E26" s="12">
        <v>194</v>
      </c>
      <c r="F26" s="111">
        <f t="shared" si="0"/>
        <v>7.4759152215799611</v>
      </c>
      <c r="G26" s="43">
        <v>0.05</v>
      </c>
      <c r="H26" s="40" t="s">
        <v>31</v>
      </c>
      <c r="I26" s="46">
        <f t="shared" si="5"/>
        <v>0.05</v>
      </c>
      <c r="J26" s="33">
        <v>2168859749</v>
      </c>
      <c r="K26" s="33">
        <v>31456494</v>
      </c>
      <c r="L26" s="34">
        <f>J26/K26</f>
        <v>68.947917368032179</v>
      </c>
      <c r="M26" s="24" t="s">
        <v>31</v>
      </c>
      <c r="N26" s="24" t="s">
        <v>31</v>
      </c>
      <c r="O26" s="24">
        <v>240</v>
      </c>
      <c r="P26" s="24">
        <v>29.32</v>
      </c>
      <c r="Q26">
        <v>316703</v>
      </c>
      <c r="R26" s="98">
        <f>Q26/1000000</f>
        <v>0.31670300000000001</v>
      </c>
      <c r="S26" s="79">
        <f t="shared" si="1"/>
        <v>686884389.08754694</v>
      </c>
      <c r="T26" s="143">
        <f>'FAOProduction(Agg)2013-2020'!P29</f>
        <v>2176334168.5754547</v>
      </c>
      <c r="U26" s="107">
        <v>8.0433888406308385E-2</v>
      </c>
      <c r="V26" s="107">
        <v>1.5108472101577095E-2</v>
      </c>
      <c r="X26" s="118">
        <v>0.19</v>
      </c>
    </row>
    <row r="27" spans="1:27" x14ac:dyDescent="0.3">
      <c r="A27" s="9" t="s">
        <v>36</v>
      </c>
      <c r="B27" s="12"/>
      <c r="C27" s="13"/>
      <c r="D27" s="12">
        <f>54+66</f>
        <v>120</v>
      </c>
      <c r="E27" s="12">
        <f>28+37</f>
        <v>65</v>
      </c>
      <c r="F27" s="111">
        <f t="shared" si="0"/>
        <v>2.5048169556840079</v>
      </c>
      <c r="G27" s="43"/>
      <c r="H27" s="40" t="s">
        <v>31</v>
      </c>
      <c r="I27" s="46"/>
      <c r="J27" s="24"/>
      <c r="K27" s="24"/>
      <c r="L27" s="34"/>
      <c r="M27" s="24" t="s">
        <v>31</v>
      </c>
      <c r="N27" s="24" t="s">
        <v>31</v>
      </c>
      <c r="O27" s="24"/>
      <c r="P27" s="24"/>
      <c r="Q27" s="59"/>
      <c r="R27" s="98">
        <f t="shared" si="3"/>
        <v>0</v>
      </c>
      <c r="S27" s="79">
        <f t="shared" si="1"/>
        <v>0</v>
      </c>
      <c r="T27" s="143">
        <f>'FAOProduction(Agg)2013-2020'!P30</f>
        <v>31628175.432727274</v>
      </c>
      <c r="U27" s="107"/>
      <c r="V27" s="107"/>
      <c r="X27" s="48"/>
    </row>
    <row r="28" spans="1:27" x14ac:dyDescent="0.3">
      <c r="A28" s="9" t="s">
        <v>10</v>
      </c>
      <c r="B28" s="12">
        <v>23</v>
      </c>
      <c r="C28" s="13">
        <v>30</v>
      </c>
      <c r="D28" s="17"/>
      <c r="E28" s="12"/>
      <c r="F28" s="111">
        <f t="shared" si="0"/>
        <v>0</v>
      </c>
      <c r="G28" s="43"/>
      <c r="H28" s="40" t="s">
        <v>31</v>
      </c>
      <c r="I28" s="46">
        <f t="shared" si="5"/>
        <v>0</v>
      </c>
      <c r="J28" s="25">
        <v>16978767</v>
      </c>
      <c r="K28" s="26">
        <v>11646587</v>
      </c>
      <c r="L28" s="36">
        <v>1.4578319811632301</v>
      </c>
      <c r="M28" s="26" t="s">
        <v>31</v>
      </c>
      <c r="N28" s="26" t="s">
        <v>31</v>
      </c>
      <c r="O28" s="60">
        <v>16</v>
      </c>
      <c r="P28" s="36">
        <v>2.34</v>
      </c>
      <c r="Q28" s="60">
        <v>2495726.4957264955</v>
      </c>
      <c r="R28" s="100">
        <f t="shared" si="3"/>
        <v>2.4957264957264953</v>
      </c>
      <c r="S28" s="80">
        <f t="shared" si="1"/>
        <v>42374358.666666664</v>
      </c>
      <c r="T28" s="143">
        <f>'FAOProduction(Agg)2013-2020'!P31</f>
        <v>15214575.944545455</v>
      </c>
      <c r="U28" s="107">
        <v>2.6053500246602912</v>
      </c>
      <c r="V28" s="107">
        <v>0.3187641653301736</v>
      </c>
      <c r="X28" s="118">
        <v>0.71</v>
      </c>
    </row>
    <row r="29" spans="1:27" x14ac:dyDescent="0.3">
      <c r="A29" s="7" t="s">
        <v>38</v>
      </c>
      <c r="B29" s="18">
        <f>SUM(B11:B12,B3)</f>
        <v>1047</v>
      </c>
      <c r="C29" s="16">
        <f>SUM(C11:C12,C3)</f>
        <v>673</v>
      </c>
      <c r="D29" s="18">
        <f>SUM(D11:D12,D3)</f>
        <v>1046</v>
      </c>
      <c r="E29" s="18">
        <f>SUM(E11:E12,E3)</f>
        <v>540</v>
      </c>
      <c r="F29" s="18"/>
      <c r="G29" s="30"/>
      <c r="H29" s="31"/>
      <c r="I29" s="32"/>
      <c r="J29" s="22">
        <f>SUM(J3,J11,J12)</f>
        <v>879229929</v>
      </c>
      <c r="K29" s="22" t="s">
        <v>31</v>
      </c>
      <c r="L29" s="22" t="s">
        <v>31</v>
      </c>
      <c r="M29" s="22" t="s">
        <v>31</v>
      </c>
      <c r="N29" s="22" t="s">
        <v>31</v>
      </c>
      <c r="O29" s="22"/>
      <c r="P29" s="22"/>
      <c r="Q29" s="22"/>
      <c r="R29" s="57"/>
      <c r="S29" s="77"/>
      <c r="T29" s="142"/>
    </row>
    <row r="30" spans="1:27" x14ac:dyDescent="0.3">
      <c r="A30" s="4" t="s">
        <v>39</v>
      </c>
      <c r="B30" s="10">
        <f>B13+B14+B19+B23</f>
        <v>2486</v>
      </c>
      <c r="C30" s="11">
        <f>C13+C14+C19+C23</f>
        <v>2860</v>
      </c>
      <c r="D30" s="10">
        <f>D13+D14+D19+D23</f>
        <v>2143</v>
      </c>
      <c r="E30" s="10">
        <f>E13+E14+E19+E23</f>
        <v>2055</v>
      </c>
      <c r="F30" s="10"/>
      <c r="G30" s="27"/>
      <c r="H30" s="28"/>
      <c r="I30" s="29"/>
      <c r="J30" s="22">
        <f>SUM(J13,J14,J19,J23)</f>
        <v>8863123392</v>
      </c>
      <c r="K30" s="22">
        <f>SUM(K13,K14,K19,K23)</f>
        <v>1333040816</v>
      </c>
      <c r="L30" s="37">
        <f>J30/K30</f>
        <v>6.6488012112001229</v>
      </c>
      <c r="M30" s="22" t="s">
        <v>31</v>
      </c>
      <c r="N30" s="22" t="s">
        <v>31</v>
      </c>
      <c r="O30" s="22"/>
      <c r="P30" s="22"/>
      <c r="Q30" s="22"/>
      <c r="R30" s="57"/>
      <c r="S30" s="77"/>
      <c r="T30" s="142"/>
    </row>
    <row r="31" spans="1:27" x14ac:dyDescent="0.3">
      <c r="A31" s="4" t="s">
        <v>11</v>
      </c>
      <c r="B31" s="10">
        <f>SUM(B29:B30)</f>
        <v>3533</v>
      </c>
      <c r="C31" s="11">
        <f>SUM(C29:C30)</f>
        <v>3533</v>
      </c>
      <c r="D31" s="10">
        <f>SUM(D29:D30)</f>
        <v>3189</v>
      </c>
      <c r="E31" s="10">
        <f>SUM(E29:E30)</f>
        <v>2595</v>
      </c>
      <c r="F31" s="10"/>
      <c r="G31" s="27"/>
      <c r="H31" s="28"/>
      <c r="I31" s="29"/>
      <c r="J31" s="22">
        <f>SUM(J29:J30)</f>
        <v>9742353321</v>
      </c>
      <c r="K31" s="22"/>
      <c r="L31" s="22"/>
      <c r="M31" s="22" t="s">
        <v>31</v>
      </c>
      <c r="N31" s="22" t="s">
        <v>31</v>
      </c>
      <c r="O31" s="22"/>
      <c r="P31" s="22"/>
      <c r="Q31" s="22"/>
      <c r="R31" s="22"/>
      <c r="S31" s="77"/>
      <c r="T31" s="142"/>
    </row>
    <row r="34" spans="1:11" x14ac:dyDescent="0.3">
      <c r="J34" t="s">
        <v>120</v>
      </c>
      <c r="K34">
        <f>J12/J7</f>
        <v>0.20531348221024776</v>
      </c>
    </row>
    <row r="35" spans="1:11" x14ac:dyDescent="0.3">
      <c r="A35" t="s">
        <v>42</v>
      </c>
    </row>
    <row r="36" spans="1:11" x14ac:dyDescent="0.3">
      <c r="A36" t="s">
        <v>43</v>
      </c>
    </row>
  </sheetData>
  <mergeCells count="5">
    <mergeCell ref="U1:X1"/>
    <mergeCell ref="Y1:AB1"/>
    <mergeCell ref="G1:I1"/>
    <mergeCell ref="B1:E1"/>
    <mergeCell ref="J1:Q1"/>
  </mergeCell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
  <sheetViews>
    <sheetView workbookViewId="0">
      <selection activeCell="E7" sqref="E7"/>
    </sheetView>
  </sheetViews>
  <sheetFormatPr defaultRowHeight="14.4" x14ac:dyDescent="0.3"/>
  <cols>
    <col min="1" max="1" width="19" bestFit="1" customWidth="1"/>
    <col min="2" max="2" width="16.88671875" bestFit="1" customWidth="1"/>
    <col min="3" max="3" width="15.5546875" bestFit="1" customWidth="1"/>
    <col min="4" max="4" width="22.21875" bestFit="1" customWidth="1"/>
    <col min="5" max="5" width="14.5546875" bestFit="1" customWidth="1"/>
  </cols>
  <sheetData>
    <row r="1" spans="1:5" x14ac:dyDescent="0.3">
      <c r="A1" s="5" t="s">
        <v>0</v>
      </c>
      <c r="B1" s="19" t="s">
        <v>3</v>
      </c>
      <c r="C1" s="20" t="s">
        <v>4</v>
      </c>
      <c r="D1" s="3" t="s">
        <v>96</v>
      </c>
      <c r="E1" s="2" t="s">
        <v>104</v>
      </c>
    </row>
    <row r="2" spans="1:5" x14ac:dyDescent="0.3">
      <c r="A2" s="113" t="s">
        <v>14</v>
      </c>
      <c r="B2" s="43">
        <v>0.5</v>
      </c>
      <c r="C2" s="40">
        <v>12.125</v>
      </c>
      <c r="D2" s="102">
        <v>1.2767123287671234</v>
      </c>
      <c r="E2" s="109">
        <v>5.264793108318034E-2</v>
      </c>
    </row>
    <row r="3" spans="1:5" x14ac:dyDescent="0.3">
      <c r="A3" s="113" t="s">
        <v>29</v>
      </c>
      <c r="B3" s="43">
        <v>0.5</v>
      </c>
      <c r="C3" s="40">
        <v>12.125</v>
      </c>
      <c r="D3" s="102">
        <v>1.2767123287671234</v>
      </c>
      <c r="E3" s="109">
        <v>5.264793108318034E-2</v>
      </c>
    </row>
    <row r="4" spans="1:5" x14ac:dyDescent="0.3">
      <c r="A4" s="113" t="s">
        <v>15</v>
      </c>
      <c r="B4" s="43">
        <v>1.375</v>
      </c>
      <c r="C4" s="40">
        <v>0.375</v>
      </c>
      <c r="D4" s="102">
        <v>0.50623720370643976</v>
      </c>
      <c r="E4" s="109">
        <v>1.856203080256946</v>
      </c>
    </row>
    <row r="5" spans="1:5" x14ac:dyDescent="0.3">
      <c r="A5" s="113" t="s">
        <v>16</v>
      </c>
      <c r="B5" s="43">
        <v>0.71250000000000002</v>
      </c>
      <c r="C5" s="40">
        <v>3.7499999999999978E-2</v>
      </c>
      <c r="D5" s="102">
        <v>0.49677884503570013</v>
      </c>
      <c r="E5" s="109">
        <v>9.4387980556783084</v>
      </c>
    </row>
    <row r="6" spans="1:5" x14ac:dyDescent="0.3">
      <c r="A6" s="113" t="s">
        <v>8</v>
      </c>
      <c r="B6" s="43">
        <v>1.25</v>
      </c>
      <c r="C6" s="40">
        <v>0</v>
      </c>
      <c r="D6" s="102">
        <v>1.223529411764706</v>
      </c>
      <c r="E6" s="48">
        <v>0</v>
      </c>
    </row>
    <row r="7" spans="1:5" x14ac:dyDescent="0.3">
      <c r="A7" s="114" t="s">
        <v>6</v>
      </c>
      <c r="B7" s="38">
        <v>0.2</v>
      </c>
      <c r="C7" s="39">
        <v>1.8</v>
      </c>
      <c r="D7" s="74">
        <v>6.4239003235354852</v>
      </c>
      <c r="E7" s="48">
        <v>0.71376670261505382</v>
      </c>
    </row>
    <row r="8" spans="1:5" x14ac:dyDescent="0.3">
      <c r="A8" s="115" t="s">
        <v>7</v>
      </c>
      <c r="B8" s="42">
        <v>0.875</v>
      </c>
      <c r="C8" s="41">
        <v>0.375</v>
      </c>
      <c r="D8" s="101">
        <v>0.7993041965644706</v>
      </c>
      <c r="E8" s="48">
        <v>1.865043125317098</v>
      </c>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S96"/>
  <sheetViews>
    <sheetView tabSelected="1" topLeftCell="N1" workbookViewId="0">
      <selection activeCell="T4" sqref="T4"/>
    </sheetView>
  </sheetViews>
  <sheetFormatPr defaultRowHeight="14.4" x14ac:dyDescent="0.3"/>
  <cols>
    <col min="1" max="1" width="13" customWidth="1"/>
    <col min="3" max="3" width="10.77734375" customWidth="1"/>
    <col min="7" max="7" width="12" bestFit="1" customWidth="1"/>
    <col min="8" max="8" width="19.77734375" customWidth="1"/>
    <col min="9" max="9" width="14.109375" customWidth="1"/>
    <col min="10" max="10" width="19.44140625" customWidth="1"/>
    <col min="11" max="11" width="16.5546875" customWidth="1"/>
    <col min="12" max="12" width="15.21875" customWidth="1"/>
    <col min="13" max="13" width="12.109375" customWidth="1"/>
    <col min="14" max="14" width="9.109375" customWidth="1"/>
    <col min="15" max="15" width="15.44140625" customWidth="1"/>
    <col min="16" max="16" width="9.109375" customWidth="1"/>
    <col min="17" max="17" width="13.109375" customWidth="1"/>
    <col min="18" max="21" width="9.109375" customWidth="1"/>
    <col min="22" max="22" width="18.44140625" customWidth="1"/>
    <col min="24" max="24" width="12.88671875" bestFit="1" customWidth="1"/>
    <col min="25" max="25" width="14.77734375" bestFit="1" customWidth="1"/>
    <col min="26" max="26" width="14.109375" customWidth="1"/>
    <col min="27" max="27" width="13.77734375" customWidth="1"/>
    <col min="29" max="44" width="7.77734375" bestFit="1" customWidth="1"/>
    <col min="45" max="45" width="8.109375" bestFit="1" customWidth="1"/>
  </cols>
  <sheetData>
    <row r="1" spans="1:28" ht="15" thickBot="1" x14ac:dyDescent="0.35"/>
    <row r="2" spans="1:28" x14ac:dyDescent="0.3">
      <c r="B2" s="188" t="s">
        <v>86</v>
      </c>
      <c r="C2" s="189"/>
      <c r="D2" s="190" t="s">
        <v>87</v>
      </c>
      <c r="E2" s="191"/>
      <c r="F2" s="190" t="s">
        <v>88</v>
      </c>
      <c r="G2" s="191"/>
      <c r="H2" s="192" t="s">
        <v>94</v>
      </c>
      <c r="I2" s="89"/>
    </row>
    <row r="3" spans="1:28" x14ac:dyDescent="0.3">
      <c r="B3" s="85" t="s">
        <v>79</v>
      </c>
      <c r="C3" s="86" t="s">
        <v>50</v>
      </c>
      <c r="D3" s="83" t="s">
        <v>1</v>
      </c>
      <c r="E3" s="84" t="s">
        <v>50</v>
      </c>
      <c r="F3" s="83" t="s">
        <v>1</v>
      </c>
      <c r="G3" s="84" t="s">
        <v>50</v>
      </c>
      <c r="H3" s="192"/>
      <c r="I3" s="89" t="s">
        <v>95</v>
      </c>
      <c r="J3" s="89" t="s">
        <v>97</v>
      </c>
      <c r="K3" s="89" t="s">
        <v>100</v>
      </c>
      <c r="L3" s="89" t="s">
        <v>99</v>
      </c>
      <c r="M3" s="89" t="s">
        <v>103</v>
      </c>
      <c r="N3" s="89" t="s">
        <v>105</v>
      </c>
      <c r="O3" s="89" t="s">
        <v>106</v>
      </c>
      <c r="P3" s="89" t="s">
        <v>107</v>
      </c>
      <c r="Q3" s="89" t="s">
        <v>118</v>
      </c>
      <c r="R3" s="89" t="s">
        <v>119</v>
      </c>
      <c r="V3" s="89" t="s">
        <v>157</v>
      </c>
      <c r="X3" t="s">
        <v>155</v>
      </c>
      <c r="Y3" t="s">
        <v>122</v>
      </c>
      <c r="Z3" t="s">
        <v>156</v>
      </c>
      <c r="AA3" t="s">
        <v>182</v>
      </c>
      <c r="AB3" t="s">
        <v>183</v>
      </c>
    </row>
    <row r="4" spans="1:28" x14ac:dyDescent="0.3">
      <c r="A4" t="s">
        <v>82</v>
      </c>
      <c r="B4" s="85">
        <v>115.19999999999999</v>
      </c>
      <c r="C4" s="86">
        <v>0</v>
      </c>
      <c r="D4" s="93">
        <f>100*B4/SUM($B$4:$B$11)</f>
        <v>3.2350463352990726</v>
      </c>
      <c r="E4" s="95">
        <f>100*C4/SUM($C$4:$C$11)</f>
        <v>0</v>
      </c>
      <c r="F4" s="93">
        <v>2.2999999999999998</v>
      </c>
      <c r="G4" s="95">
        <v>0</v>
      </c>
      <c r="H4" s="92">
        <v>1.2</v>
      </c>
      <c r="I4" s="48">
        <v>0.2</v>
      </c>
      <c r="J4" s="104">
        <v>1.2767123287671234</v>
      </c>
      <c r="K4" s="106">
        <v>2.8899999999999999E-2</v>
      </c>
      <c r="L4" s="106">
        <v>1.6000000000000001E-3</v>
      </c>
      <c r="M4" s="48">
        <v>1.8</v>
      </c>
      <c r="V4" s="48">
        <v>1.8</v>
      </c>
      <c r="W4">
        <f>$G$12*G4+$F$12*F4</f>
        <v>1.8399999999999999</v>
      </c>
      <c r="X4">
        <v>32.58</v>
      </c>
      <c r="Y4">
        <v>0.45</v>
      </c>
      <c r="Z4">
        <v>1.77</v>
      </c>
      <c r="AA4">
        <v>1.34</v>
      </c>
      <c r="AB4">
        <v>0</v>
      </c>
    </row>
    <row r="5" spans="1:28" x14ac:dyDescent="0.3">
      <c r="A5" t="s">
        <v>83</v>
      </c>
      <c r="B5" s="85">
        <v>392.8</v>
      </c>
      <c r="C5" s="86">
        <v>0</v>
      </c>
      <c r="D5" s="93">
        <f t="shared" ref="D5:D11" si="0">100*B5/SUM($B$4:$B$11)</f>
        <v>11.030609379387812</v>
      </c>
      <c r="E5" s="95">
        <f t="shared" ref="E5:E10" si="1">100*C5/SUM($C$4:$C$11)</f>
        <v>0</v>
      </c>
      <c r="F5" s="93">
        <v>7.2</v>
      </c>
      <c r="G5" s="95">
        <v>0</v>
      </c>
      <c r="H5" s="92">
        <v>1.5456366668226973</v>
      </c>
      <c r="I5" s="48">
        <v>0.2</v>
      </c>
      <c r="J5" s="104">
        <v>0.65327998456062986</v>
      </c>
      <c r="K5" s="106">
        <v>1.4800000000000001E-2</v>
      </c>
      <c r="L5" s="106">
        <v>8.9999999999999998E-4</v>
      </c>
      <c r="M5" s="48">
        <v>5.7</v>
      </c>
      <c r="V5" s="48">
        <v>6.7</v>
      </c>
      <c r="W5">
        <f t="shared" ref="W5:W11" si="2">$G$12*G5+$F$12*F5</f>
        <v>5.7600000000000007</v>
      </c>
      <c r="X5">
        <v>1.32</v>
      </c>
      <c r="Y5">
        <v>2.52</v>
      </c>
      <c r="Z5">
        <v>7.54</v>
      </c>
      <c r="AA5">
        <v>4.09</v>
      </c>
      <c r="AB5">
        <v>0</v>
      </c>
    </row>
    <row r="6" spans="1:28" x14ac:dyDescent="0.3">
      <c r="A6" t="s">
        <v>6</v>
      </c>
      <c r="B6" s="85">
        <v>512</v>
      </c>
      <c r="C6" s="86">
        <v>600</v>
      </c>
      <c r="D6" s="93">
        <f t="shared" si="0"/>
        <v>14.377983712440326</v>
      </c>
      <c r="E6" s="95">
        <f t="shared" si="1"/>
        <v>16.982734220209455</v>
      </c>
      <c r="F6" s="93">
        <v>6.7</v>
      </c>
      <c r="G6" s="95">
        <v>7</v>
      </c>
      <c r="H6" s="92">
        <v>0.6</v>
      </c>
      <c r="I6" s="48">
        <v>0.2</v>
      </c>
      <c r="J6" s="104">
        <v>6.4239003235354852</v>
      </c>
      <c r="K6" s="106">
        <v>5.1000000000000004E-3</v>
      </c>
      <c r="L6" s="106">
        <v>8.9999999999999998E-4</v>
      </c>
      <c r="M6" s="48">
        <v>6.8</v>
      </c>
      <c r="V6" s="48">
        <v>4</v>
      </c>
      <c r="W6">
        <f t="shared" si="2"/>
        <v>6.7600000000000007</v>
      </c>
      <c r="X6">
        <v>1.22</v>
      </c>
      <c r="Y6">
        <v>7.98</v>
      </c>
      <c r="Z6">
        <v>6.92</v>
      </c>
      <c r="AA6">
        <v>7.78</v>
      </c>
      <c r="AB6">
        <v>0</v>
      </c>
    </row>
    <row r="7" spans="1:28" x14ac:dyDescent="0.3">
      <c r="A7" t="s">
        <v>7</v>
      </c>
      <c r="B7" s="85">
        <v>55</v>
      </c>
      <c r="C7" s="86">
        <v>73</v>
      </c>
      <c r="D7" s="93">
        <f t="shared" si="0"/>
        <v>1.5445099691098005</v>
      </c>
      <c r="E7" s="95">
        <f t="shared" si="1"/>
        <v>2.0662326634588171</v>
      </c>
      <c r="F7" s="93">
        <v>1</v>
      </c>
      <c r="G7" s="95">
        <v>2</v>
      </c>
      <c r="H7" s="92">
        <v>1.4298150163220891</v>
      </c>
      <c r="I7" s="48">
        <v>0.2</v>
      </c>
      <c r="J7" s="104">
        <v>0.7993041965644706</v>
      </c>
      <c r="K7" s="106">
        <v>2.01E-2</v>
      </c>
      <c r="L7" s="106">
        <v>2E-3</v>
      </c>
      <c r="M7" s="48">
        <v>1.2</v>
      </c>
      <c r="V7" s="48">
        <v>1.2</v>
      </c>
      <c r="W7">
        <f t="shared" si="2"/>
        <v>1.2000000000000002</v>
      </c>
      <c r="X7">
        <v>1.58</v>
      </c>
      <c r="Y7">
        <v>0.76</v>
      </c>
      <c r="Z7">
        <v>1.25</v>
      </c>
      <c r="AA7">
        <v>0.74</v>
      </c>
      <c r="AB7">
        <v>0</v>
      </c>
    </row>
    <row r="8" spans="1:28" x14ac:dyDescent="0.3">
      <c r="A8" t="s">
        <v>12</v>
      </c>
      <c r="B8" s="85">
        <v>40</v>
      </c>
      <c r="C8" s="86">
        <v>70</v>
      </c>
      <c r="D8" s="93">
        <f t="shared" si="0"/>
        <v>1.1232799775344005</v>
      </c>
      <c r="E8" s="95">
        <f t="shared" si="1"/>
        <v>1.9813189923577696</v>
      </c>
      <c r="F8" s="93">
        <v>2</v>
      </c>
      <c r="G8" s="95">
        <v>3.8</v>
      </c>
      <c r="H8" s="92">
        <v>3.4424410540915393</v>
      </c>
      <c r="I8" s="48">
        <v>0.2</v>
      </c>
      <c r="J8" s="104">
        <v>0.992932657679504</v>
      </c>
      <c r="K8" s="106">
        <v>3.5999999999999997E-2</v>
      </c>
      <c r="L8" s="106">
        <v>3.7000000000000002E-3</v>
      </c>
      <c r="M8" s="48">
        <v>2.2999999999999998</v>
      </c>
      <c r="N8">
        <v>1.4E-2</v>
      </c>
      <c r="O8">
        <f>0.8*U8</f>
        <v>9.4079999999999995</v>
      </c>
      <c r="P8">
        <v>0.19</v>
      </c>
      <c r="Q8">
        <v>0.21099999999999999</v>
      </c>
      <c r="U8">
        <v>11.76</v>
      </c>
      <c r="V8" s="48">
        <v>2.2999999999999998</v>
      </c>
      <c r="W8">
        <f t="shared" si="2"/>
        <v>2.3600000000000003</v>
      </c>
      <c r="X8">
        <v>0.23</v>
      </c>
      <c r="Y8">
        <v>7.06</v>
      </c>
      <c r="Z8">
        <v>2.36</v>
      </c>
      <c r="AA8">
        <v>6.88</v>
      </c>
      <c r="AB8">
        <v>10</v>
      </c>
    </row>
    <row r="9" spans="1:28" x14ac:dyDescent="0.3">
      <c r="A9" t="s">
        <v>81</v>
      </c>
      <c r="B9" s="85">
        <v>849</v>
      </c>
      <c r="C9" s="86">
        <v>1132</v>
      </c>
      <c r="D9" s="93">
        <f t="shared" si="0"/>
        <v>23.841617523167649</v>
      </c>
      <c r="E9" s="95">
        <f t="shared" si="1"/>
        <v>32.040758562128502</v>
      </c>
      <c r="F9" s="93">
        <v>46.8</v>
      </c>
      <c r="G9" s="95">
        <v>52</v>
      </c>
      <c r="H9" s="92">
        <v>3.2067183462532296</v>
      </c>
      <c r="I9" s="48">
        <v>0.3</v>
      </c>
      <c r="J9" s="104">
        <v>3.9667748428301599</v>
      </c>
      <c r="K9" s="106">
        <v>1.55E-2</v>
      </c>
      <c r="L9" s="106">
        <v>2.3E-3</v>
      </c>
      <c r="M9" s="48">
        <v>48</v>
      </c>
      <c r="N9">
        <v>0.71499999999999997</v>
      </c>
      <c r="O9">
        <f>0.8*U9</f>
        <v>9.2799999999999994</v>
      </c>
      <c r="P9">
        <v>0.24</v>
      </c>
      <c r="Q9">
        <v>0.39600000000000002</v>
      </c>
      <c r="U9">
        <v>11.6</v>
      </c>
      <c r="V9" s="48">
        <v>54</v>
      </c>
      <c r="W9">
        <f t="shared" si="2"/>
        <v>47.839999999999996</v>
      </c>
      <c r="X9">
        <v>0.47</v>
      </c>
      <c r="Y9">
        <v>29.988</v>
      </c>
      <c r="Z9">
        <v>46.11</v>
      </c>
      <c r="AA9">
        <v>29.2315</v>
      </c>
      <c r="AB9">
        <v>30</v>
      </c>
    </row>
    <row r="10" spans="1:28" x14ac:dyDescent="0.3">
      <c r="A10" t="s">
        <v>84</v>
      </c>
      <c r="B10" s="85">
        <v>269</v>
      </c>
      <c r="C10" s="86">
        <v>277</v>
      </c>
      <c r="D10" s="93">
        <f t="shared" si="0"/>
        <v>7.554057848918843</v>
      </c>
      <c r="E10" s="95">
        <f t="shared" si="1"/>
        <v>7.8403622983300307</v>
      </c>
      <c r="F10" s="93">
        <v>8</v>
      </c>
      <c r="G10" s="95">
        <v>9.1999999999999993</v>
      </c>
      <c r="H10" s="92">
        <v>0.48304880897582098</v>
      </c>
      <c r="I10" s="48">
        <v>0.45</v>
      </c>
      <c r="J10" s="104">
        <v>15.134327726877391</v>
      </c>
      <c r="K10" s="106">
        <v>2.0999999999999999E-3</v>
      </c>
      <c r="L10" s="106">
        <v>4.0000000000000002E-4</v>
      </c>
      <c r="M10" s="48">
        <v>8.1999999999999993</v>
      </c>
      <c r="N10">
        <v>0.223</v>
      </c>
      <c r="O10">
        <f>0.8*U10</f>
        <v>9.4480000000000004</v>
      </c>
      <c r="P10">
        <v>0.16</v>
      </c>
      <c r="Q10">
        <v>9.6000000000000002E-2</v>
      </c>
      <c r="U10">
        <v>11.81</v>
      </c>
      <c r="V10" s="48">
        <v>10</v>
      </c>
      <c r="W10">
        <f t="shared" si="2"/>
        <v>8.24</v>
      </c>
      <c r="X10">
        <v>7.0000000000000007E-2</v>
      </c>
      <c r="Y10">
        <v>12.061999999999999</v>
      </c>
      <c r="Z10">
        <v>12.77</v>
      </c>
      <c r="AA10">
        <v>11.7585</v>
      </c>
      <c r="AB10">
        <v>20</v>
      </c>
    </row>
    <row r="11" spans="1:28" ht="15" thickBot="1" x14ac:dyDescent="0.35">
      <c r="A11" t="s">
        <v>85</v>
      </c>
      <c r="B11" s="87">
        <v>1328</v>
      </c>
      <c r="C11" s="88">
        <v>1381</v>
      </c>
      <c r="D11" s="94">
        <f t="shared" si="0"/>
        <v>37.292895254142095</v>
      </c>
      <c r="E11" s="96">
        <f>100*C11/SUM($C$4:$C$11)</f>
        <v>39.088593263515428</v>
      </c>
      <c r="F11" s="94">
        <v>26</v>
      </c>
      <c r="G11" s="96">
        <v>26</v>
      </c>
      <c r="H11" s="92">
        <v>0.8</v>
      </c>
      <c r="I11" s="48">
        <v>0.2</v>
      </c>
      <c r="J11" s="104">
        <v>9.0292323003607482</v>
      </c>
      <c r="K11" s="106">
        <v>1.1299999999999999E-2</v>
      </c>
      <c r="L11" s="106">
        <v>1.6000000000000001E-3</v>
      </c>
      <c r="M11" s="48">
        <v>26</v>
      </c>
      <c r="N11">
        <v>4.8000000000000001E-2</v>
      </c>
      <c r="O11">
        <f>0.8*U11</f>
        <v>9.3439999999999994</v>
      </c>
      <c r="P11">
        <v>0.08</v>
      </c>
      <c r="Q11">
        <v>3.1E-2</v>
      </c>
      <c r="U11">
        <v>11.68</v>
      </c>
      <c r="V11" s="48">
        <v>20</v>
      </c>
      <c r="W11">
        <f t="shared" si="2"/>
        <v>26</v>
      </c>
      <c r="X11">
        <v>0.3</v>
      </c>
      <c r="Y11">
        <v>38.43</v>
      </c>
      <c r="Z11">
        <v>20.399999999999999</v>
      </c>
      <c r="AA11">
        <v>37.450000000000003</v>
      </c>
      <c r="AB11">
        <v>40</v>
      </c>
    </row>
    <row r="12" spans="1:28" x14ac:dyDescent="0.3">
      <c r="B12" t="s">
        <v>74</v>
      </c>
      <c r="D12">
        <v>2196</v>
      </c>
      <c r="F12" s="93">
        <v>0.8</v>
      </c>
      <c r="G12" s="95">
        <v>0.2</v>
      </c>
      <c r="H12" s="92">
        <v>1.52604801675541</v>
      </c>
    </row>
    <row r="13" spans="1:28" x14ac:dyDescent="0.3">
      <c r="H13">
        <f>250*0.6/D12</f>
        <v>6.8306010928961755E-2</v>
      </c>
    </row>
    <row r="14" spans="1:28" x14ac:dyDescent="0.3">
      <c r="A14" s="89" t="s">
        <v>89</v>
      </c>
    </row>
    <row r="15" spans="1:28" x14ac:dyDescent="0.3">
      <c r="B15" s="50" t="s">
        <v>51</v>
      </c>
      <c r="C15" s="50" t="s">
        <v>52</v>
      </c>
      <c r="D15" s="50" t="s">
        <v>53</v>
      </c>
      <c r="E15" s="50" t="s">
        <v>54</v>
      </c>
      <c r="F15" s="50" t="s">
        <v>55</v>
      </c>
      <c r="G15" s="50" t="s">
        <v>56</v>
      </c>
      <c r="H15" s="50" t="s">
        <v>57</v>
      </c>
      <c r="I15" s="50" t="s">
        <v>58</v>
      </c>
      <c r="J15" s="50" t="s">
        <v>59</v>
      </c>
      <c r="K15" s="50" t="s">
        <v>60</v>
      </c>
      <c r="L15" s="50" t="s">
        <v>61</v>
      </c>
      <c r="M15" s="50" t="s">
        <v>62</v>
      </c>
      <c r="N15" s="50" t="s">
        <v>63</v>
      </c>
      <c r="O15" s="50" t="s">
        <v>64</v>
      </c>
      <c r="P15" s="50" t="s">
        <v>65</v>
      </c>
      <c r="Q15" s="50" t="s">
        <v>66</v>
      </c>
      <c r="R15" s="50" t="s">
        <v>67</v>
      </c>
      <c r="S15" s="50" t="s">
        <v>68</v>
      </c>
      <c r="T15" s="50" t="s">
        <v>69</v>
      </c>
      <c r="U15" s="50" t="s">
        <v>70</v>
      </c>
      <c r="V15" s="50" t="s">
        <v>71</v>
      </c>
    </row>
    <row r="16" spans="1:28" x14ac:dyDescent="0.3">
      <c r="A16" s="50" t="s">
        <v>72</v>
      </c>
      <c r="B16" s="49">
        <v>1345.52211302211</v>
      </c>
      <c r="C16" s="49">
        <v>1699.6068796068794</v>
      </c>
      <c r="D16" s="49">
        <v>2251.9791154791151</v>
      </c>
      <c r="E16" s="49">
        <v>2931.8218673218671</v>
      </c>
      <c r="F16" s="49">
        <v>2974.3120393120389</v>
      </c>
      <c r="G16" s="49">
        <v>2761.861179361179</v>
      </c>
      <c r="H16" s="49">
        <v>2761.861179361179</v>
      </c>
      <c r="I16" s="49">
        <v>2761.861179361179</v>
      </c>
      <c r="J16" s="49">
        <v>2761.861179361179</v>
      </c>
      <c r="K16" s="49">
        <v>2549.4103194103191</v>
      </c>
      <c r="L16" s="49">
        <v>2549.4103194103191</v>
      </c>
      <c r="M16" s="49">
        <v>2549.4103194103191</v>
      </c>
      <c r="N16" s="49">
        <v>2549.4103194103191</v>
      </c>
      <c r="O16" s="49">
        <v>2336.9594594594591</v>
      </c>
      <c r="P16" s="49">
        <v>2336.9594594594591</v>
      </c>
      <c r="Q16" s="49">
        <v>2336.9594594594591</v>
      </c>
      <c r="R16" s="49">
        <v>2336.9594594594591</v>
      </c>
      <c r="S16" s="49">
        <v>2336.9594594594591</v>
      </c>
      <c r="T16" s="49">
        <v>2336.9594594594591</v>
      </c>
      <c r="U16" s="49">
        <v>2336.9594594594591</v>
      </c>
      <c r="V16" s="49">
        <v>2336.9594594594591</v>
      </c>
    </row>
    <row r="17" spans="1:45" x14ac:dyDescent="0.3">
      <c r="A17" s="50" t="s">
        <v>73</v>
      </c>
      <c r="B17" s="49">
        <v>1274.7051597051595</v>
      </c>
      <c r="C17" s="49">
        <v>1614.6265356265355</v>
      </c>
      <c r="D17" s="49">
        <v>2039.5282555282554</v>
      </c>
      <c r="E17" s="49">
        <v>2166.9987714987715</v>
      </c>
      <c r="F17" s="49">
        <v>2336.9594594594591</v>
      </c>
      <c r="G17" s="49">
        <v>2124.5085995085992</v>
      </c>
      <c r="H17" s="49">
        <v>2124.5085995085992</v>
      </c>
      <c r="I17" s="49">
        <v>2124.5085995085992</v>
      </c>
      <c r="J17" s="49">
        <v>2124.5085995085992</v>
      </c>
      <c r="K17" s="49">
        <v>2124.5085995085992</v>
      </c>
      <c r="L17" s="49">
        <v>1912.0577395577393</v>
      </c>
      <c r="M17" s="49">
        <v>1912.0577395577393</v>
      </c>
      <c r="N17" s="49">
        <v>1912.0577395577393</v>
      </c>
      <c r="O17" s="49">
        <v>1912.0577395577393</v>
      </c>
      <c r="P17" s="49">
        <v>1912.0577395577393</v>
      </c>
      <c r="Q17" s="49">
        <v>1912.0577395577393</v>
      </c>
      <c r="R17" s="49">
        <v>1912.0577395577393</v>
      </c>
      <c r="S17" s="49">
        <v>1912.0577395577393</v>
      </c>
      <c r="T17" s="49">
        <v>1912.0577395577393</v>
      </c>
      <c r="U17" s="49">
        <v>1912.0577395577393</v>
      </c>
      <c r="V17" s="49">
        <v>1912.0577395577393</v>
      </c>
    </row>
    <row r="19" spans="1:45" x14ac:dyDescent="0.3">
      <c r="A19" s="89" t="s">
        <v>75</v>
      </c>
      <c r="D19" t="s">
        <v>76</v>
      </c>
    </row>
    <row r="20" spans="1:45" x14ac:dyDescent="0.3">
      <c r="A20" s="89" t="s">
        <v>90</v>
      </c>
      <c r="X20" s="89" t="s">
        <v>185</v>
      </c>
    </row>
    <row r="21" spans="1:45" x14ac:dyDescent="0.3">
      <c r="A21" s="90" t="s">
        <v>82</v>
      </c>
      <c r="B21" s="91" t="s">
        <v>51</v>
      </c>
      <c r="C21" s="91" t="s">
        <v>52</v>
      </c>
      <c r="D21" s="91" t="s">
        <v>53</v>
      </c>
      <c r="E21" s="91" t="s">
        <v>54</v>
      </c>
      <c r="F21" s="91" t="s">
        <v>55</v>
      </c>
      <c r="G21" s="91" t="s">
        <v>56</v>
      </c>
      <c r="H21" s="91" t="s">
        <v>57</v>
      </c>
      <c r="I21" s="91" t="s">
        <v>58</v>
      </c>
      <c r="J21" s="91" t="s">
        <v>59</v>
      </c>
      <c r="K21" s="91" t="s">
        <v>60</v>
      </c>
      <c r="L21" s="91" t="s">
        <v>61</v>
      </c>
      <c r="M21" s="91" t="s">
        <v>62</v>
      </c>
      <c r="N21" s="91" t="s">
        <v>63</v>
      </c>
      <c r="O21" s="91" t="s">
        <v>64</v>
      </c>
      <c r="P21" s="91" t="s">
        <v>65</v>
      </c>
      <c r="Q21" s="91" t="s">
        <v>66</v>
      </c>
      <c r="R21" s="91" t="s">
        <v>67</v>
      </c>
      <c r="S21" s="91" t="s">
        <v>68</v>
      </c>
      <c r="T21" s="91" t="s">
        <v>69</v>
      </c>
      <c r="U21" s="91" t="s">
        <v>70</v>
      </c>
      <c r="V21" s="91" t="s">
        <v>71</v>
      </c>
      <c r="X21" s="90" t="s">
        <v>82</v>
      </c>
      <c r="Y21" s="91" t="s">
        <v>51</v>
      </c>
      <c r="Z21" s="91" t="s">
        <v>52</v>
      </c>
      <c r="AA21" s="91" t="s">
        <v>53</v>
      </c>
      <c r="AB21" s="91" t="s">
        <v>54</v>
      </c>
      <c r="AC21" s="91" t="s">
        <v>55</v>
      </c>
      <c r="AD21" s="91" t="s">
        <v>56</v>
      </c>
      <c r="AE21" s="91" t="s">
        <v>57</v>
      </c>
      <c r="AF21" s="91" t="s">
        <v>58</v>
      </c>
      <c r="AG21" s="91" t="s">
        <v>59</v>
      </c>
      <c r="AH21" s="91" t="s">
        <v>60</v>
      </c>
      <c r="AI21" s="91" t="s">
        <v>61</v>
      </c>
      <c r="AJ21" s="91" t="s">
        <v>62</v>
      </c>
      <c r="AK21" s="91" t="s">
        <v>63</v>
      </c>
      <c r="AL21" s="91" t="s">
        <v>64</v>
      </c>
      <c r="AM21" s="91" t="s">
        <v>65</v>
      </c>
      <c r="AN21" s="91" t="s">
        <v>66</v>
      </c>
      <c r="AO21" s="91" t="s">
        <v>67</v>
      </c>
      <c r="AP21" s="91" t="s">
        <v>68</v>
      </c>
      <c r="AQ21" s="91" t="s">
        <v>69</v>
      </c>
      <c r="AR21" s="91" t="s">
        <v>70</v>
      </c>
      <c r="AS21" s="91" t="s">
        <v>71</v>
      </c>
    </row>
    <row r="22" spans="1:45" x14ac:dyDescent="0.3">
      <c r="A22" s="91" t="s">
        <v>77</v>
      </c>
      <c r="B22" s="92">
        <f>$F$4*B16/(100*$D$12)</f>
        <v>1.4092444717444684E-2</v>
      </c>
      <c r="C22" s="92">
        <f t="shared" ref="C22:V22" si="3">$F$4*C16/(100*$D$12)</f>
        <v>1.7800982800982797E-2</v>
      </c>
      <c r="D22" s="92">
        <f t="shared" si="3"/>
        <v>2.3586302211302205E-2</v>
      </c>
      <c r="E22" s="92">
        <f t="shared" si="3"/>
        <v>3.0706695331695327E-2</v>
      </c>
      <c r="F22" s="92">
        <f t="shared" si="3"/>
        <v>3.1151719901719898E-2</v>
      </c>
      <c r="G22" s="92">
        <f t="shared" si="3"/>
        <v>2.8926597051597044E-2</v>
      </c>
      <c r="H22" s="92">
        <f t="shared" si="3"/>
        <v>2.8926597051597044E-2</v>
      </c>
      <c r="I22" s="92">
        <f t="shared" si="3"/>
        <v>2.8926597051597044E-2</v>
      </c>
      <c r="J22" s="92">
        <f t="shared" si="3"/>
        <v>2.8926597051597044E-2</v>
      </c>
      <c r="K22" s="92">
        <f t="shared" si="3"/>
        <v>2.6701474201474194E-2</v>
      </c>
      <c r="L22" s="92">
        <f t="shared" si="3"/>
        <v>2.6701474201474194E-2</v>
      </c>
      <c r="M22" s="92">
        <f t="shared" si="3"/>
        <v>2.6701474201474194E-2</v>
      </c>
      <c r="N22" s="92">
        <f t="shared" si="3"/>
        <v>2.6701474201474194E-2</v>
      </c>
      <c r="O22" s="92">
        <f t="shared" si="3"/>
        <v>2.4476351351351348E-2</v>
      </c>
      <c r="P22" s="92">
        <f t="shared" si="3"/>
        <v>2.4476351351351348E-2</v>
      </c>
      <c r="Q22" s="92">
        <f t="shared" si="3"/>
        <v>2.4476351351351348E-2</v>
      </c>
      <c r="R22" s="92">
        <f t="shared" si="3"/>
        <v>2.4476351351351348E-2</v>
      </c>
      <c r="S22" s="92">
        <f t="shared" si="3"/>
        <v>2.4476351351351348E-2</v>
      </c>
      <c r="T22" s="92">
        <f t="shared" si="3"/>
        <v>2.4476351351351348E-2</v>
      </c>
      <c r="U22" s="92">
        <f t="shared" si="3"/>
        <v>2.4476351351351348E-2</v>
      </c>
      <c r="V22" s="92">
        <f t="shared" si="3"/>
        <v>2.4476351351351348E-2</v>
      </c>
      <c r="X22" s="91" t="s">
        <v>77</v>
      </c>
      <c r="Y22" s="92">
        <f>$Y$4*B16/(100*$D$12)</f>
        <v>2.7572174447174388E-3</v>
      </c>
      <c r="Z22" s="92">
        <f t="shared" ref="Z22:AS22" si="4">$Y$4*C16/(100*$D$12)</f>
        <v>3.4828009828009824E-3</v>
      </c>
      <c r="AA22" s="92">
        <f t="shared" si="4"/>
        <v>4.6147113022113016E-3</v>
      </c>
      <c r="AB22" s="92">
        <f t="shared" si="4"/>
        <v>6.0078316953316958E-3</v>
      </c>
      <c r="AC22" s="92">
        <f t="shared" si="4"/>
        <v>6.0949017199017188E-3</v>
      </c>
      <c r="AD22" s="92">
        <f t="shared" si="4"/>
        <v>5.659551597051597E-3</v>
      </c>
      <c r="AE22" s="92">
        <f t="shared" si="4"/>
        <v>5.659551597051597E-3</v>
      </c>
      <c r="AF22" s="92">
        <f t="shared" si="4"/>
        <v>5.659551597051597E-3</v>
      </c>
      <c r="AG22" s="92">
        <f t="shared" si="4"/>
        <v>5.659551597051597E-3</v>
      </c>
      <c r="AH22" s="92">
        <f t="shared" si="4"/>
        <v>5.2242014742014736E-3</v>
      </c>
      <c r="AI22" s="92">
        <f t="shared" si="4"/>
        <v>5.2242014742014736E-3</v>
      </c>
      <c r="AJ22" s="92">
        <f t="shared" si="4"/>
        <v>5.2242014742014736E-3</v>
      </c>
      <c r="AK22" s="92">
        <f t="shared" si="4"/>
        <v>5.2242014742014736E-3</v>
      </c>
      <c r="AL22" s="92">
        <f t="shared" si="4"/>
        <v>4.788851351351351E-3</v>
      </c>
      <c r="AM22" s="92">
        <f t="shared" si="4"/>
        <v>4.788851351351351E-3</v>
      </c>
      <c r="AN22" s="92">
        <f t="shared" si="4"/>
        <v>4.788851351351351E-3</v>
      </c>
      <c r="AO22" s="92">
        <f t="shared" si="4"/>
        <v>4.788851351351351E-3</v>
      </c>
      <c r="AP22" s="92">
        <f t="shared" si="4"/>
        <v>4.788851351351351E-3</v>
      </c>
      <c r="AQ22" s="92">
        <f t="shared" si="4"/>
        <v>4.788851351351351E-3</v>
      </c>
      <c r="AR22" s="92">
        <f t="shared" si="4"/>
        <v>4.788851351351351E-3</v>
      </c>
      <c r="AS22" s="92">
        <f t="shared" si="4"/>
        <v>4.788851351351351E-3</v>
      </c>
    </row>
    <row r="23" spans="1:45" x14ac:dyDescent="0.3">
      <c r="A23" s="91" t="s">
        <v>78</v>
      </c>
      <c r="B23" s="92">
        <f>$F$4*B17/(100*$D$12)</f>
        <v>1.3350737100737097E-2</v>
      </c>
      <c r="C23" s="92">
        <f>$F$4*C17/(100*$D$12)</f>
        <v>1.6910933660933658E-2</v>
      </c>
      <c r="D23" s="92">
        <f t="shared" ref="D23:V23" si="5">$F$4*D17/(100*$D$12)</f>
        <v>2.1361179361179355E-2</v>
      </c>
      <c r="E23" s="92">
        <f t="shared" si="5"/>
        <v>2.2696253071253072E-2</v>
      </c>
      <c r="F23" s="92">
        <f t="shared" si="5"/>
        <v>2.4476351351351348E-2</v>
      </c>
      <c r="G23" s="92">
        <f t="shared" si="5"/>
        <v>2.2251228501228498E-2</v>
      </c>
      <c r="H23" s="92">
        <f t="shared" si="5"/>
        <v>2.2251228501228498E-2</v>
      </c>
      <c r="I23" s="92">
        <f t="shared" si="5"/>
        <v>2.2251228501228498E-2</v>
      </c>
      <c r="J23" s="92">
        <f t="shared" si="5"/>
        <v>2.2251228501228498E-2</v>
      </c>
      <c r="K23" s="92">
        <f t="shared" si="5"/>
        <v>2.2251228501228498E-2</v>
      </c>
      <c r="L23" s="92">
        <f t="shared" si="5"/>
        <v>2.0026105651105644E-2</v>
      </c>
      <c r="M23" s="92">
        <f t="shared" si="5"/>
        <v>2.0026105651105644E-2</v>
      </c>
      <c r="N23" s="92">
        <f t="shared" si="5"/>
        <v>2.0026105651105644E-2</v>
      </c>
      <c r="O23" s="92">
        <f t="shared" si="5"/>
        <v>2.0026105651105644E-2</v>
      </c>
      <c r="P23" s="92">
        <f t="shared" si="5"/>
        <v>2.0026105651105644E-2</v>
      </c>
      <c r="Q23" s="92">
        <f t="shared" si="5"/>
        <v>2.0026105651105644E-2</v>
      </c>
      <c r="R23" s="92">
        <f t="shared" si="5"/>
        <v>2.0026105651105644E-2</v>
      </c>
      <c r="S23" s="92">
        <f t="shared" si="5"/>
        <v>2.0026105651105644E-2</v>
      </c>
      <c r="T23" s="92">
        <f t="shared" si="5"/>
        <v>2.0026105651105644E-2</v>
      </c>
      <c r="U23" s="92">
        <f t="shared" si="5"/>
        <v>2.0026105651105644E-2</v>
      </c>
      <c r="V23" s="92">
        <f t="shared" si="5"/>
        <v>2.0026105651105644E-2</v>
      </c>
      <c r="X23" s="91" t="s">
        <v>78</v>
      </c>
      <c r="Y23" s="92">
        <f>$Y$4*B17/(100*$D$12)</f>
        <v>2.6121007371007368E-3</v>
      </c>
      <c r="Z23" s="92">
        <f t="shared" ref="Z23:AS23" si="6">$Y$4*C17/(100*$D$12)</f>
        <v>3.3086609336609334E-3</v>
      </c>
      <c r="AA23" s="92">
        <f t="shared" si="6"/>
        <v>4.179361179361179E-3</v>
      </c>
      <c r="AB23" s="92">
        <f t="shared" si="6"/>
        <v>4.4405712530712531E-3</v>
      </c>
      <c r="AC23" s="92">
        <f t="shared" si="6"/>
        <v>4.788851351351351E-3</v>
      </c>
      <c r="AD23" s="92">
        <f t="shared" si="6"/>
        <v>4.3535012285012276E-3</v>
      </c>
      <c r="AE23" s="92">
        <f t="shared" si="6"/>
        <v>4.3535012285012276E-3</v>
      </c>
      <c r="AF23" s="92">
        <f t="shared" si="6"/>
        <v>4.3535012285012276E-3</v>
      </c>
      <c r="AG23" s="92">
        <f t="shared" si="6"/>
        <v>4.3535012285012276E-3</v>
      </c>
      <c r="AH23" s="92">
        <f t="shared" si="6"/>
        <v>4.3535012285012276E-3</v>
      </c>
      <c r="AI23" s="92">
        <f t="shared" si="6"/>
        <v>3.9181511056511058E-3</v>
      </c>
      <c r="AJ23" s="92">
        <f t="shared" si="6"/>
        <v>3.9181511056511058E-3</v>
      </c>
      <c r="AK23" s="92">
        <f t="shared" si="6"/>
        <v>3.9181511056511058E-3</v>
      </c>
      <c r="AL23" s="92">
        <f t="shared" si="6"/>
        <v>3.9181511056511058E-3</v>
      </c>
      <c r="AM23" s="92">
        <f t="shared" si="6"/>
        <v>3.9181511056511058E-3</v>
      </c>
      <c r="AN23" s="92">
        <f t="shared" si="6"/>
        <v>3.9181511056511058E-3</v>
      </c>
      <c r="AO23" s="92">
        <f t="shared" si="6"/>
        <v>3.9181511056511058E-3</v>
      </c>
      <c r="AP23" s="92">
        <f t="shared" si="6"/>
        <v>3.9181511056511058E-3</v>
      </c>
      <c r="AQ23" s="92">
        <f t="shared" si="6"/>
        <v>3.9181511056511058E-3</v>
      </c>
      <c r="AR23" s="92">
        <f t="shared" si="6"/>
        <v>3.9181511056511058E-3</v>
      </c>
      <c r="AS23" s="92">
        <f t="shared" si="6"/>
        <v>3.9181511056511058E-3</v>
      </c>
    </row>
    <row r="24" spans="1:45" x14ac:dyDescent="0.3">
      <c r="A24" s="90" t="s">
        <v>83</v>
      </c>
      <c r="X24" s="90" t="s">
        <v>83</v>
      </c>
    </row>
    <row r="25" spans="1:45" x14ac:dyDescent="0.3">
      <c r="A25" s="91" t="s">
        <v>77</v>
      </c>
      <c r="B25" s="92">
        <f>$F$5*B16/(100*$D$12)</f>
        <v>4.4115479115479021E-2</v>
      </c>
      <c r="C25" s="92">
        <f t="shared" ref="C25:V26" si="7">$F$5*C16/(100*$D$12)</f>
        <v>5.5724815724815718E-2</v>
      </c>
      <c r="D25" s="92">
        <f t="shared" si="7"/>
        <v>7.3835380835380826E-2</v>
      </c>
      <c r="E25" s="92">
        <f t="shared" si="7"/>
        <v>9.6125307125307133E-2</v>
      </c>
      <c r="F25" s="92">
        <f t="shared" si="7"/>
        <v>9.75184275184275E-2</v>
      </c>
      <c r="G25" s="92">
        <f t="shared" si="7"/>
        <v>9.0552825552825553E-2</v>
      </c>
      <c r="H25" s="92">
        <f t="shared" si="7"/>
        <v>9.0552825552825553E-2</v>
      </c>
      <c r="I25" s="92">
        <f t="shared" si="7"/>
        <v>9.0552825552825553E-2</v>
      </c>
      <c r="J25" s="92">
        <f t="shared" si="7"/>
        <v>9.0552825552825553E-2</v>
      </c>
      <c r="K25" s="92">
        <f t="shared" si="7"/>
        <v>8.3587223587223577E-2</v>
      </c>
      <c r="L25" s="92">
        <f t="shared" si="7"/>
        <v>8.3587223587223577E-2</v>
      </c>
      <c r="M25" s="92">
        <f t="shared" si="7"/>
        <v>8.3587223587223577E-2</v>
      </c>
      <c r="N25" s="92">
        <f t="shared" si="7"/>
        <v>8.3587223587223577E-2</v>
      </c>
      <c r="O25" s="92">
        <f t="shared" si="7"/>
        <v>7.6621621621621616E-2</v>
      </c>
      <c r="P25" s="92">
        <f t="shared" si="7"/>
        <v>7.6621621621621616E-2</v>
      </c>
      <c r="Q25" s="92">
        <f t="shared" si="7"/>
        <v>7.6621621621621616E-2</v>
      </c>
      <c r="R25" s="92">
        <f t="shared" si="7"/>
        <v>7.6621621621621616E-2</v>
      </c>
      <c r="S25" s="92">
        <f t="shared" si="7"/>
        <v>7.6621621621621616E-2</v>
      </c>
      <c r="T25" s="92">
        <f t="shared" si="7"/>
        <v>7.6621621621621616E-2</v>
      </c>
      <c r="U25" s="92">
        <f t="shared" si="7"/>
        <v>7.6621621621621616E-2</v>
      </c>
      <c r="V25" s="92">
        <f t="shared" si="7"/>
        <v>7.6621621621621616E-2</v>
      </c>
      <c r="X25" s="91" t="s">
        <v>77</v>
      </c>
      <c r="Y25" s="92">
        <f>$Y$5*B16/(100*$D$12)</f>
        <v>1.5440417690417657E-2</v>
      </c>
      <c r="Z25" s="92">
        <f t="shared" ref="Z25:AS25" si="8">$Y$5*C16/(100*$D$12)</f>
        <v>1.9503685503685503E-2</v>
      </c>
      <c r="AA25" s="92">
        <f t="shared" si="8"/>
        <v>2.5842383292383288E-2</v>
      </c>
      <c r="AB25" s="92">
        <f t="shared" si="8"/>
        <v>3.3643857493857496E-2</v>
      </c>
      <c r="AC25" s="92">
        <f t="shared" si="8"/>
        <v>3.413144963144963E-2</v>
      </c>
      <c r="AD25" s="92">
        <f t="shared" si="8"/>
        <v>3.1693488943488939E-2</v>
      </c>
      <c r="AE25" s="92">
        <f t="shared" si="8"/>
        <v>3.1693488943488939E-2</v>
      </c>
      <c r="AF25" s="92">
        <f t="shared" si="8"/>
        <v>3.1693488943488939E-2</v>
      </c>
      <c r="AG25" s="92">
        <f t="shared" si="8"/>
        <v>3.1693488943488939E-2</v>
      </c>
      <c r="AH25" s="92">
        <f t="shared" si="8"/>
        <v>2.9255528255528251E-2</v>
      </c>
      <c r="AI25" s="92">
        <f t="shared" si="8"/>
        <v>2.9255528255528251E-2</v>
      </c>
      <c r="AJ25" s="92">
        <f t="shared" si="8"/>
        <v>2.9255528255528251E-2</v>
      </c>
      <c r="AK25" s="92">
        <f t="shared" si="8"/>
        <v>2.9255528255528251E-2</v>
      </c>
      <c r="AL25" s="92">
        <f t="shared" si="8"/>
        <v>2.6817567567567563E-2</v>
      </c>
      <c r="AM25" s="92">
        <f t="shared" si="8"/>
        <v>2.6817567567567563E-2</v>
      </c>
      <c r="AN25" s="92">
        <f t="shared" si="8"/>
        <v>2.6817567567567563E-2</v>
      </c>
      <c r="AO25" s="92">
        <f t="shared" si="8"/>
        <v>2.6817567567567563E-2</v>
      </c>
      <c r="AP25" s="92">
        <f t="shared" si="8"/>
        <v>2.6817567567567563E-2</v>
      </c>
      <c r="AQ25" s="92">
        <f t="shared" si="8"/>
        <v>2.6817567567567563E-2</v>
      </c>
      <c r="AR25" s="92">
        <f t="shared" si="8"/>
        <v>2.6817567567567563E-2</v>
      </c>
      <c r="AS25" s="92">
        <f t="shared" si="8"/>
        <v>2.6817567567567563E-2</v>
      </c>
    </row>
    <row r="26" spans="1:45" x14ac:dyDescent="0.3">
      <c r="A26" s="91" t="s">
        <v>78</v>
      </c>
      <c r="B26" s="92">
        <f>$F$5*B17/(100*$D$12)</f>
        <v>4.1793611793611789E-2</v>
      </c>
      <c r="C26" s="92">
        <f t="shared" si="7"/>
        <v>5.2938574938574935E-2</v>
      </c>
      <c r="D26" s="92">
        <f t="shared" si="7"/>
        <v>6.6869778869778865E-2</v>
      </c>
      <c r="E26" s="92">
        <f t="shared" si="7"/>
        <v>7.104914004914005E-2</v>
      </c>
      <c r="F26" s="92">
        <f t="shared" si="7"/>
        <v>7.6621621621621616E-2</v>
      </c>
      <c r="G26" s="92">
        <f t="shared" si="7"/>
        <v>6.9656019656019641E-2</v>
      </c>
      <c r="H26" s="92">
        <f t="shared" si="7"/>
        <v>6.9656019656019641E-2</v>
      </c>
      <c r="I26" s="92">
        <f t="shared" si="7"/>
        <v>6.9656019656019641E-2</v>
      </c>
      <c r="J26" s="92">
        <f t="shared" si="7"/>
        <v>6.9656019656019641E-2</v>
      </c>
      <c r="K26" s="92">
        <f t="shared" si="7"/>
        <v>6.9656019656019641E-2</v>
      </c>
      <c r="L26" s="92">
        <f t="shared" si="7"/>
        <v>6.2690417690417694E-2</v>
      </c>
      <c r="M26" s="92">
        <f t="shared" si="7"/>
        <v>6.2690417690417694E-2</v>
      </c>
      <c r="N26" s="92">
        <f t="shared" si="7"/>
        <v>6.2690417690417694E-2</v>
      </c>
      <c r="O26" s="92">
        <f t="shared" si="7"/>
        <v>6.2690417690417694E-2</v>
      </c>
      <c r="P26" s="92">
        <f t="shared" si="7"/>
        <v>6.2690417690417694E-2</v>
      </c>
      <c r="Q26" s="92">
        <f t="shared" si="7"/>
        <v>6.2690417690417694E-2</v>
      </c>
      <c r="R26" s="92">
        <f t="shared" si="7"/>
        <v>6.2690417690417694E-2</v>
      </c>
      <c r="S26" s="92">
        <f t="shared" si="7"/>
        <v>6.2690417690417694E-2</v>
      </c>
      <c r="T26" s="92">
        <f t="shared" si="7"/>
        <v>6.2690417690417694E-2</v>
      </c>
      <c r="U26" s="92">
        <f t="shared" si="7"/>
        <v>6.2690417690417694E-2</v>
      </c>
      <c r="V26" s="92">
        <f t="shared" si="7"/>
        <v>6.2690417690417694E-2</v>
      </c>
      <c r="X26" s="91" t="s">
        <v>78</v>
      </c>
      <c r="Y26" s="92">
        <f>$Y$5*B17/(100*$D$12)</f>
        <v>1.4627764127764125E-2</v>
      </c>
      <c r="Z26" s="92">
        <f t="shared" ref="Z26:AS26" si="9">$Y$5*C17/(100*$D$12)</f>
        <v>1.8528501228501228E-2</v>
      </c>
      <c r="AA26" s="92">
        <f t="shared" si="9"/>
        <v>2.3404422604422603E-2</v>
      </c>
      <c r="AB26" s="92">
        <f t="shared" si="9"/>
        <v>2.4867199017199016E-2</v>
      </c>
      <c r="AC26" s="92">
        <f t="shared" si="9"/>
        <v>2.6817567567567563E-2</v>
      </c>
      <c r="AD26" s="92">
        <f t="shared" si="9"/>
        <v>2.4379606879606875E-2</v>
      </c>
      <c r="AE26" s="92">
        <f t="shared" si="9"/>
        <v>2.4379606879606875E-2</v>
      </c>
      <c r="AF26" s="92">
        <f t="shared" si="9"/>
        <v>2.4379606879606875E-2</v>
      </c>
      <c r="AG26" s="92">
        <f t="shared" si="9"/>
        <v>2.4379606879606875E-2</v>
      </c>
      <c r="AH26" s="92">
        <f t="shared" si="9"/>
        <v>2.4379606879606875E-2</v>
      </c>
      <c r="AI26" s="92">
        <f t="shared" si="9"/>
        <v>2.1941646191646187E-2</v>
      </c>
      <c r="AJ26" s="92">
        <f t="shared" si="9"/>
        <v>2.1941646191646187E-2</v>
      </c>
      <c r="AK26" s="92">
        <f t="shared" si="9"/>
        <v>2.1941646191646187E-2</v>
      </c>
      <c r="AL26" s="92">
        <f t="shared" si="9"/>
        <v>2.1941646191646187E-2</v>
      </c>
      <c r="AM26" s="92">
        <f t="shared" si="9"/>
        <v>2.1941646191646187E-2</v>
      </c>
      <c r="AN26" s="92">
        <f t="shared" si="9"/>
        <v>2.1941646191646187E-2</v>
      </c>
      <c r="AO26" s="92">
        <f t="shared" si="9"/>
        <v>2.1941646191646187E-2</v>
      </c>
      <c r="AP26" s="92">
        <f t="shared" si="9"/>
        <v>2.1941646191646187E-2</v>
      </c>
      <c r="AQ26" s="92">
        <f t="shared" si="9"/>
        <v>2.1941646191646187E-2</v>
      </c>
      <c r="AR26" s="92">
        <f t="shared" si="9"/>
        <v>2.1941646191646187E-2</v>
      </c>
      <c r="AS26" s="92">
        <f t="shared" si="9"/>
        <v>2.1941646191646187E-2</v>
      </c>
    </row>
    <row r="27" spans="1:45" x14ac:dyDescent="0.3">
      <c r="A27" s="90" t="s">
        <v>6</v>
      </c>
      <c r="X27" s="90" t="s">
        <v>6</v>
      </c>
    </row>
    <row r="28" spans="1:45" x14ac:dyDescent="0.3">
      <c r="A28" s="91" t="s">
        <v>77</v>
      </c>
      <c r="B28" s="92">
        <f>$F$6*B16/(100*$D$12)</f>
        <v>4.1051904176904089E-2</v>
      </c>
      <c r="C28" s="92">
        <f t="shared" ref="C28:V29" si="10">$F$6*C16/(100*$D$12)</f>
        <v>5.1855036855036847E-2</v>
      </c>
      <c r="D28" s="92">
        <f t="shared" si="10"/>
        <v>6.8707923832923817E-2</v>
      </c>
      <c r="E28" s="92">
        <f t="shared" si="10"/>
        <v>8.9449938574938562E-2</v>
      </c>
      <c r="F28" s="92">
        <f t="shared" si="10"/>
        <v>9.0746314496314498E-2</v>
      </c>
      <c r="G28" s="92">
        <f t="shared" si="10"/>
        <v>8.4264434889434872E-2</v>
      </c>
      <c r="H28" s="92">
        <f t="shared" si="10"/>
        <v>8.4264434889434872E-2</v>
      </c>
      <c r="I28" s="92">
        <f t="shared" si="10"/>
        <v>8.4264434889434872E-2</v>
      </c>
      <c r="J28" s="92">
        <f t="shared" si="10"/>
        <v>8.4264434889434872E-2</v>
      </c>
      <c r="K28" s="92">
        <f t="shared" si="10"/>
        <v>7.7782555282555274E-2</v>
      </c>
      <c r="L28" s="92">
        <f t="shared" si="10"/>
        <v>7.7782555282555274E-2</v>
      </c>
      <c r="M28" s="92">
        <f t="shared" si="10"/>
        <v>7.7782555282555274E-2</v>
      </c>
      <c r="N28" s="92">
        <f t="shared" si="10"/>
        <v>7.7782555282555274E-2</v>
      </c>
      <c r="O28" s="92">
        <f t="shared" si="10"/>
        <v>7.1300675675675662E-2</v>
      </c>
      <c r="P28" s="92">
        <f t="shared" si="10"/>
        <v>7.1300675675675662E-2</v>
      </c>
      <c r="Q28" s="92">
        <f t="shared" si="10"/>
        <v>7.1300675675675662E-2</v>
      </c>
      <c r="R28" s="92">
        <f t="shared" si="10"/>
        <v>7.1300675675675662E-2</v>
      </c>
      <c r="S28" s="92">
        <f t="shared" si="10"/>
        <v>7.1300675675675662E-2</v>
      </c>
      <c r="T28" s="92">
        <f t="shared" si="10"/>
        <v>7.1300675675675662E-2</v>
      </c>
      <c r="U28" s="92">
        <f t="shared" si="10"/>
        <v>7.1300675675675662E-2</v>
      </c>
      <c r="V28" s="92">
        <f t="shared" si="10"/>
        <v>7.1300675675675662E-2</v>
      </c>
      <c r="X28" s="91" t="s">
        <v>77</v>
      </c>
      <c r="Y28" s="92">
        <f>$Y$6*B16/(100*$D$12)</f>
        <v>4.8894656019655917E-2</v>
      </c>
      <c r="Z28" s="92">
        <f t="shared" ref="Z28:AS28" si="11">$Y$6*C16/(100*$D$12)</f>
        <v>6.1761670761670759E-2</v>
      </c>
      <c r="AA28" s="92">
        <f t="shared" si="11"/>
        <v>8.183421375921375E-2</v>
      </c>
      <c r="AB28" s="92">
        <f t="shared" si="11"/>
        <v>0.10653888206388207</v>
      </c>
      <c r="AC28" s="92">
        <f t="shared" si="11"/>
        <v>0.10808292383292382</v>
      </c>
      <c r="AD28" s="92">
        <f t="shared" si="11"/>
        <v>0.10036271498771498</v>
      </c>
      <c r="AE28" s="92">
        <f t="shared" si="11"/>
        <v>0.10036271498771498</v>
      </c>
      <c r="AF28" s="92">
        <f t="shared" si="11"/>
        <v>0.10036271498771498</v>
      </c>
      <c r="AG28" s="92">
        <f t="shared" si="11"/>
        <v>0.10036271498771498</v>
      </c>
      <c r="AH28" s="92">
        <f t="shared" si="11"/>
        <v>9.2642506142506131E-2</v>
      </c>
      <c r="AI28" s="92">
        <f t="shared" si="11"/>
        <v>9.2642506142506131E-2</v>
      </c>
      <c r="AJ28" s="92">
        <f t="shared" si="11"/>
        <v>9.2642506142506131E-2</v>
      </c>
      <c r="AK28" s="92">
        <f t="shared" si="11"/>
        <v>9.2642506142506131E-2</v>
      </c>
      <c r="AL28" s="92">
        <f t="shared" si="11"/>
        <v>8.4922297297297292E-2</v>
      </c>
      <c r="AM28" s="92">
        <f t="shared" si="11"/>
        <v>8.4922297297297292E-2</v>
      </c>
      <c r="AN28" s="92">
        <f t="shared" si="11"/>
        <v>8.4922297297297292E-2</v>
      </c>
      <c r="AO28" s="92">
        <f t="shared" si="11"/>
        <v>8.4922297297297292E-2</v>
      </c>
      <c r="AP28" s="92">
        <f t="shared" si="11"/>
        <v>8.4922297297297292E-2</v>
      </c>
      <c r="AQ28" s="92">
        <f t="shared" si="11"/>
        <v>8.4922297297297292E-2</v>
      </c>
      <c r="AR28" s="92">
        <f t="shared" si="11"/>
        <v>8.4922297297297292E-2</v>
      </c>
      <c r="AS28" s="92">
        <f t="shared" si="11"/>
        <v>8.4922297297297292E-2</v>
      </c>
    </row>
    <row r="29" spans="1:45" x14ac:dyDescent="0.3">
      <c r="A29" s="91" t="s">
        <v>78</v>
      </c>
      <c r="B29" s="92">
        <f>$F$6*B17/(100*$D$12)</f>
        <v>3.8891277641277637E-2</v>
      </c>
      <c r="C29" s="92">
        <f t="shared" si="10"/>
        <v>4.9262285012285009E-2</v>
      </c>
      <c r="D29" s="92">
        <f t="shared" si="10"/>
        <v>6.2226044226044226E-2</v>
      </c>
      <c r="E29" s="92">
        <f t="shared" si="10"/>
        <v>6.6115171990171986E-2</v>
      </c>
      <c r="F29" s="92">
        <f t="shared" si="10"/>
        <v>7.1300675675675662E-2</v>
      </c>
      <c r="G29" s="92">
        <f t="shared" si="10"/>
        <v>6.4818796068796064E-2</v>
      </c>
      <c r="H29" s="92">
        <f t="shared" si="10"/>
        <v>6.4818796068796064E-2</v>
      </c>
      <c r="I29" s="92">
        <f t="shared" si="10"/>
        <v>6.4818796068796064E-2</v>
      </c>
      <c r="J29" s="92">
        <f t="shared" si="10"/>
        <v>6.4818796068796064E-2</v>
      </c>
      <c r="K29" s="92">
        <f t="shared" si="10"/>
        <v>6.4818796068796064E-2</v>
      </c>
      <c r="L29" s="92">
        <f t="shared" si="10"/>
        <v>5.8336916461916452E-2</v>
      </c>
      <c r="M29" s="92">
        <f t="shared" si="10"/>
        <v>5.8336916461916452E-2</v>
      </c>
      <c r="N29" s="92">
        <f t="shared" si="10"/>
        <v>5.8336916461916452E-2</v>
      </c>
      <c r="O29" s="92">
        <f t="shared" si="10"/>
        <v>5.8336916461916452E-2</v>
      </c>
      <c r="P29" s="92">
        <f t="shared" si="10"/>
        <v>5.8336916461916452E-2</v>
      </c>
      <c r="Q29" s="92">
        <f t="shared" si="10"/>
        <v>5.8336916461916452E-2</v>
      </c>
      <c r="R29" s="92">
        <f t="shared" si="10"/>
        <v>5.8336916461916452E-2</v>
      </c>
      <c r="S29" s="92">
        <f t="shared" si="10"/>
        <v>5.8336916461916452E-2</v>
      </c>
      <c r="T29" s="92">
        <f t="shared" si="10"/>
        <v>5.8336916461916452E-2</v>
      </c>
      <c r="U29" s="92">
        <f t="shared" si="10"/>
        <v>5.8336916461916452E-2</v>
      </c>
      <c r="V29" s="92">
        <f t="shared" si="10"/>
        <v>5.8336916461916452E-2</v>
      </c>
      <c r="X29" s="91" t="s">
        <v>78</v>
      </c>
      <c r="Y29" s="92">
        <f>$Y$6*B17/(100*$D$12)</f>
        <v>4.6321253071253066E-2</v>
      </c>
      <c r="Z29" s="92">
        <f t="shared" ref="Z29:AS29" si="12">$Y$6*C17/(100*$D$12)</f>
        <v>5.8673587223587224E-2</v>
      </c>
      <c r="AA29" s="92">
        <f t="shared" si="12"/>
        <v>7.4114004914004911E-2</v>
      </c>
      <c r="AB29" s="92">
        <f t="shared" si="12"/>
        <v>7.8746130221130223E-2</v>
      </c>
      <c r="AC29" s="92">
        <f t="shared" si="12"/>
        <v>8.4922297297297292E-2</v>
      </c>
      <c r="AD29" s="92">
        <f t="shared" si="12"/>
        <v>7.7202088452088438E-2</v>
      </c>
      <c r="AE29" s="92">
        <f t="shared" si="12"/>
        <v>7.7202088452088438E-2</v>
      </c>
      <c r="AF29" s="92">
        <f t="shared" si="12"/>
        <v>7.7202088452088438E-2</v>
      </c>
      <c r="AG29" s="92">
        <f t="shared" si="12"/>
        <v>7.7202088452088438E-2</v>
      </c>
      <c r="AH29" s="92">
        <f t="shared" si="12"/>
        <v>7.7202088452088438E-2</v>
      </c>
      <c r="AI29" s="92">
        <f t="shared" si="12"/>
        <v>6.9481879606879599E-2</v>
      </c>
      <c r="AJ29" s="92">
        <f t="shared" si="12"/>
        <v>6.9481879606879599E-2</v>
      </c>
      <c r="AK29" s="92">
        <f t="shared" si="12"/>
        <v>6.9481879606879599E-2</v>
      </c>
      <c r="AL29" s="92">
        <f t="shared" si="12"/>
        <v>6.9481879606879599E-2</v>
      </c>
      <c r="AM29" s="92">
        <f t="shared" si="12"/>
        <v>6.9481879606879599E-2</v>
      </c>
      <c r="AN29" s="92">
        <f t="shared" si="12"/>
        <v>6.9481879606879599E-2</v>
      </c>
      <c r="AO29" s="92">
        <f t="shared" si="12"/>
        <v>6.9481879606879599E-2</v>
      </c>
      <c r="AP29" s="92">
        <f t="shared" si="12"/>
        <v>6.9481879606879599E-2</v>
      </c>
      <c r="AQ29" s="92">
        <f t="shared" si="12"/>
        <v>6.9481879606879599E-2</v>
      </c>
      <c r="AR29" s="92">
        <f t="shared" si="12"/>
        <v>6.9481879606879599E-2</v>
      </c>
      <c r="AS29" s="92">
        <f t="shared" si="12"/>
        <v>6.9481879606879599E-2</v>
      </c>
    </row>
    <row r="30" spans="1:45" x14ac:dyDescent="0.3">
      <c r="A30" s="90" t="s">
        <v>7</v>
      </c>
      <c r="B30" s="92"/>
      <c r="C30" s="92"/>
      <c r="D30" s="92"/>
      <c r="E30" s="92"/>
      <c r="F30" s="92"/>
      <c r="G30" s="92"/>
      <c r="H30" s="92"/>
      <c r="I30" s="92"/>
      <c r="J30" s="92"/>
      <c r="K30" s="92"/>
      <c r="L30" s="92"/>
      <c r="M30" s="92"/>
      <c r="N30" s="92"/>
      <c r="O30" s="92"/>
      <c r="P30" s="92"/>
      <c r="Q30" s="92"/>
      <c r="R30" s="92"/>
      <c r="S30" s="92"/>
      <c r="T30" s="92"/>
      <c r="U30" s="92"/>
      <c r="V30" s="92"/>
      <c r="X30" s="90" t="s">
        <v>7</v>
      </c>
      <c r="Y30" s="92"/>
      <c r="Z30" s="92"/>
      <c r="AA30" s="92"/>
      <c r="AB30" s="92"/>
      <c r="AC30" s="92"/>
      <c r="AD30" s="92"/>
      <c r="AE30" s="92"/>
      <c r="AF30" s="92"/>
      <c r="AG30" s="92"/>
      <c r="AH30" s="92"/>
      <c r="AI30" s="92"/>
      <c r="AJ30" s="92"/>
      <c r="AK30" s="92"/>
      <c r="AL30" s="92"/>
      <c r="AM30" s="92"/>
      <c r="AN30" s="92"/>
      <c r="AO30" s="92"/>
      <c r="AP30" s="92"/>
      <c r="AQ30" s="92"/>
      <c r="AR30" s="92"/>
      <c r="AS30" s="92"/>
    </row>
    <row r="31" spans="1:45" x14ac:dyDescent="0.3">
      <c r="A31" s="91" t="s">
        <v>77</v>
      </c>
      <c r="B31" s="92">
        <f>$F$7*B16/(100*$D$12)</f>
        <v>6.1271498771498633E-3</v>
      </c>
      <c r="C31" s="92">
        <f>$F$7*C16/(100*$D$12)</f>
        <v>7.7395577395577382E-3</v>
      </c>
      <c r="D31" s="92">
        <f t="shared" ref="C31:V32" si="13">$F$7*D16/(100*$D$12)</f>
        <v>1.0254914004914004E-2</v>
      </c>
      <c r="E31" s="92">
        <f t="shared" si="13"/>
        <v>1.3350737100737099E-2</v>
      </c>
      <c r="F31" s="92">
        <f t="shared" si="13"/>
        <v>1.3544226044226042E-2</v>
      </c>
      <c r="G31" s="92">
        <f>$F$7*G16/(100*$D$12)</f>
        <v>1.2576781326781325E-2</v>
      </c>
      <c r="H31" s="92">
        <f t="shared" si="13"/>
        <v>1.2576781326781325E-2</v>
      </c>
      <c r="I31" s="92">
        <f t="shared" si="13"/>
        <v>1.2576781326781325E-2</v>
      </c>
      <c r="J31" s="92">
        <f t="shared" si="13"/>
        <v>1.2576781326781325E-2</v>
      </c>
      <c r="K31" s="92">
        <f t="shared" si="13"/>
        <v>1.1609336609336609E-2</v>
      </c>
      <c r="L31" s="92">
        <f t="shared" si="13"/>
        <v>1.1609336609336609E-2</v>
      </c>
      <c r="M31" s="92">
        <f t="shared" si="13"/>
        <v>1.1609336609336609E-2</v>
      </c>
      <c r="N31" s="92">
        <f t="shared" si="13"/>
        <v>1.1609336609336609E-2</v>
      </c>
      <c r="O31" s="92">
        <f t="shared" si="13"/>
        <v>1.0641891891891891E-2</v>
      </c>
      <c r="P31" s="92">
        <f t="shared" si="13"/>
        <v>1.0641891891891891E-2</v>
      </c>
      <c r="Q31" s="92">
        <f t="shared" si="13"/>
        <v>1.0641891891891891E-2</v>
      </c>
      <c r="R31" s="92">
        <f t="shared" si="13"/>
        <v>1.0641891891891891E-2</v>
      </c>
      <c r="S31" s="92">
        <f t="shared" si="13"/>
        <v>1.0641891891891891E-2</v>
      </c>
      <c r="T31" s="92">
        <f t="shared" si="13"/>
        <v>1.0641891891891891E-2</v>
      </c>
      <c r="U31" s="92">
        <f t="shared" si="13"/>
        <v>1.0641891891891891E-2</v>
      </c>
      <c r="V31" s="92">
        <f t="shared" si="13"/>
        <v>1.0641891891891891E-2</v>
      </c>
      <c r="X31" s="91" t="s">
        <v>77</v>
      </c>
      <c r="Y31" s="92">
        <f>$Y$7*B16/(100*$D$12)</f>
        <v>4.6566339066338967E-3</v>
      </c>
      <c r="Z31" s="92">
        <f t="shared" ref="Z31:AS31" si="14">$Y$7*C16/(100*$D$12)</f>
        <v>5.882063882063881E-3</v>
      </c>
      <c r="AA31" s="92">
        <f t="shared" si="14"/>
        <v>7.7937346437346429E-3</v>
      </c>
      <c r="AB31" s="92">
        <f t="shared" si="14"/>
        <v>1.0146560196560196E-2</v>
      </c>
      <c r="AC31" s="92">
        <f t="shared" si="14"/>
        <v>1.0293611793611794E-2</v>
      </c>
      <c r="AD31" s="92">
        <f t="shared" si="14"/>
        <v>9.5583538083538078E-3</v>
      </c>
      <c r="AE31" s="92">
        <f t="shared" si="14"/>
        <v>9.5583538083538078E-3</v>
      </c>
      <c r="AF31" s="92">
        <f t="shared" si="14"/>
        <v>9.5583538083538078E-3</v>
      </c>
      <c r="AG31" s="92">
        <f t="shared" si="14"/>
        <v>9.5583538083538078E-3</v>
      </c>
      <c r="AH31" s="92">
        <f t="shared" si="14"/>
        <v>8.823095823095822E-3</v>
      </c>
      <c r="AI31" s="92">
        <f t="shared" si="14"/>
        <v>8.823095823095822E-3</v>
      </c>
      <c r="AJ31" s="92">
        <f t="shared" si="14"/>
        <v>8.823095823095822E-3</v>
      </c>
      <c r="AK31" s="92">
        <f t="shared" si="14"/>
        <v>8.823095823095822E-3</v>
      </c>
      <c r="AL31" s="92">
        <f t="shared" si="14"/>
        <v>8.0878378378378378E-3</v>
      </c>
      <c r="AM31" s="92">
        <f t="shared" si="14"/>
        <v>8.0878378378378378E-3</v>
      </c>
      <c r="AN31" s="92">
        <f t="shared" si="14"/>
        <v>8.0878378378378378E-3</v>
      </c>
      <c r="AO31" s="92">
        <f t="shared" si="14"/>
        <v>8.0878378378378378E-3</v>
      </c>
      <c r="AP31" s="92">
        <f t="shared" si="14"/>
        <v>8.0878378378378378E-3</v>
      </c>
      <c r="AQ31" s="92">
        <f t="shared" si="14"/>
        <v>8.0878378378378378E-3</v>
      </c>
      <c r="AR31" s="92">
        <f t="shared" si="14"/>
        <v>8.0878378378378378E-3</v>
      </c>
      <c r="AS31" s="92">
        <f t="shared" si="14"/>
        <v>8.0878378378378378E-3</v>
      </c>
    </row>
    <row r="32" spans="1:45" x14ac:dyDescent="0.3">
      <c r="A32" s="91" t="s">
        <v>78</v>
      </c>
      <c r="B32" s="92">
        <f>$F$7*B17/(100*$D$12)</f>
        <v>5.8046683046683043E-3</v>
      </c>
      <c r="C32" s="92">
        <f t="shared" si="13"/>
        <v>7.3525798525798519E-3</v>
      </c>
      <c r="D32" s="92">
        <f t="shared" si="13"/>
        <v>9.2874692874692875E-3</v>
      </c>
      <c r="E32" s="92">
        <f t="shared" si="13"/>
        <v>9.8679361179361182E-3</v>
      </c>
      <c r="F32" s="92">
        <f t="shared" si="13"/>
        <v>1.0641891891891891E-2</v>
      </c>
      <c r="G32" s="92">
        <f t="shared" si="13"/>
        <v>9.6744471744471729E-3</v>
      </c>
      <c r="H32" s="92">
        <f t="shared" si="13"/>
        <v>9.6744471744471729E-3</v>
      </c>
      <c r="I32" s="92">
        <f t="shared" si="13"/>
        <v>9.6744471744471729E-3</v>
      </c>
      <c r="J32" s="92">
        <f t="shared" si="13"/>
        <v>9.6744471744471729E-3</v>
      </c>
      <c r="K32" s="92">
        <f t="shared" si="13"/>
        <v>9.6744471744471729E-3</v>
      </c>
      <c r="L32" s="92">
        <f t="shared" si="13"/>
        <v>8.7070024570024551E-3</v>
      </c>
      <c r="M32" s="92">
        <f t="shared" si="13"/>
        <v>8.7070024570024551E-3</v>
      </c>
      <c r="N32" s="92">
        <f t="shared" si="13"/>
        <v>8.7070024570024551E-3</v>
      </c>
      <c r="O32" s="92">
        <f t="shared" si="13"/>
        <v>8.7070024570024551E-3</v>
      </c>
      <c r="P32" s="92">
        <f t="shared" si="13"/>
        <v>8.7070024570024551E-3</v>
      </c>
      <c r="Q32" s="92">
        <f t="shared" si="13"/>
        <v>8.7070024570024551E-3</v>
      </c>
      <c r="R32" s="92">
        <f t="shared" si="13"/>
        <v>8.7070024570024551E-3</v>
      </c>
      <c r="S32" s="92">
        <f t="shared" si="13"/>
        <v>8.7070024570024551E-3</v>
      </c>
      <c r="T32" s="92">
        <f t="shared" si="13"/>
        <v>8.7070024570024551E-3</v>
      </c>
      <c r="U32" s="92">
        <f t="shared" si="13"/>
        <v>8.7070024570024551E-3</v>
      </c>
      <c r="V32" s="92">
        <f t="shared" si="13"/>
        <v>8.7070024570024551E-3</v>
      </c>
      <c r="X32" s="91" t="s">
        <v>78</v>
      </c>
      <c r="Y32" s="92">
        <f>$Y$7*B17/(100*$D$12)</f>
        <v>4.411547911547911E-3</v>
      </c>
      <c r="Z32" s="92">
        <f t="shared" ref="Z32:AS32" si="15">$Y$7*C17/(100*$D$12)</f>
        <v>5.5879606879606879E-3</v>
      </c>
      <c r="AA32" s="92">
        <f t="shared" si="15"/>
        <v>7.0584766584766579E-3</v>
      </c>
      <c r="AB32" s="92">
        <f t="shared" si="15"/>
        <v>7.4996314496314498E-3</v>
      </c>
      <c r="AC32" s="92">
        <f t="shared" si="15"/>
        <v>8.0878378378378378E-3</v>
      </c>
      <c r="AD32" s="92">
        <f t="shared" si="15"/>
        <v>7.352579852579851E-3</v>
      </c>
      <c r="AE32" s="92">
        <f t="shared" si="15"/>
        <v>7.352579852579851E-3</v>
      </c>
      <c r="AF32" s="92">
        <f t="shared" si="15"/>
        <v>7.352579852579851E-3</v>
      </c>
      <c r="AG32" s="92">
        <f t="shared" si="15"/>
        <v>7.352579852579851E-3</v>
      </c>
      <c r="AH32" s="92">
        <f t="shared" si="15"/>
        <v>7.352579852579851E-3</v>
      </c>
      <c r="AI32" s="92">
        <f t="shared" si="15"/>
        <v>6.617321867321866E-3</v>
      </c>
      <c r="AJ32" s="92">
        <f t="shared" si="15"/>
        <v>6.617321867321866E-3</v>
      </c>
      <c r="AK32" s="92">
        <f t="shared" si="15"/>
        <v>6.617321867321866E-3</v>
      </c>
      <c r="AL32" s="92">
        <f t="shared" si="15"/>
        <v>6.617321867321866E-3</v>
      </c>
      <c r="AM32" s="92">
        <f t="shared" si="15"/>
        <v>6.617321867321866E-3</v>
      </c>
      <c r="AN32" s="92">
        <f t="shared" si="15"/>
        <v>6.617321867321866E-3</v>
      </c>
      <c r="AO32" s="92">
        <f t="shared" si="15"/>
        <v>6.617321867321866E-3</v>
      </c>
      <c r="AP32" s="92">
        <f t="shared" si="15"/>
        <v>6.617321867321866E-3</v>
      </c>
      <c r="AQ32" s="92">
        <f t="shared" si="15"/>
        <v>6.617321867321866E-3</v>
      </c>
      <c r="AR32" s="92">
        <f t="shared" si="15"/>
        <v>6.617321867321866E-3</v>
      </c>
      <c r="AS32" s="92">
        <f t="shared" si="15"/>
        <v>6.617321867321866E-3</v>
      </c>
    </row>
    <row r="33" spans="1:45" x14ac:dyDescent="0.3">
      <c r="A33" s="90" t="s">
        <v>12</v>
      </c>
      <c r="X33" s="90" t="s">
        <v>12</v>
      </c>
    </row>
    <row r="34" spans="1:45" x14ac:dyDescent="0.3">
      <c r="A34" s="91" t="s">
        <v>77</v>
      </c>
      <c r="B34" s="92">
        <f>$F$8*B16/(100*$D$12)</f>
        <v>1.2254299754299727E-2</v>
      </c>
      <c r="C34" s="92">
        <f t="shared" ref="C34:V35" si="16">$F$8*C16/(100*$D$12)</f>
        <v>1.5479115479115476E-2</v>
      </c>
      <c r="D34" s="92">
        <f t="shared" si="16"/>
        <v>2.0509828009828007E-2</v>
      </c>
      <c r="E34" s="92">
        <f t="shared" si="16"/>
        <v>2.6701474201474198E-2</v>
      </c>
      <c r="F34" s="92">
        <f t="shared" si="16"/>
        <v>2.7088452088452085E-2</v>
      </c>
      <c r="G34" s="92">
        <f t="shared" si="16"/>
        <v>2.5153562653562649E-2</v>
      </c>
      <c r="H34" s="92">
        <f t="shared" si="16"/>
        <v>2.5153562653562649E-2</v>
      </c>
      <c r="I34" s="92">
        <f t="shared" si="16"/>
        <v>2.5153562653562649E-2</v>
      </c>
      <c r="J34" s="92">
        <f t="shared" si="16"/>
        <v>2.5153562653562649E-2</v>
      </c>
      <c r="K34" s="92">
        <f t="shared" si="16"/>
        <v>2.3218673218673217E-2</v>
      </c>
      <c r="L34" s="92">
        <f t="shared" si="16"/>
        <v>2.3218673218673217E-2</v>
      </c>
      <c r="M34" s="92">
        <f t="shared" si="16"/>
        <v>2.3218673218673217E-2</v>
      </c>
      <c r="N34" s="92">
        <f t="shared" si="16"/>
        <v>2.3218673218673217E-2</v>
      </c>
      <c r="O34" s="92">
        <f t="shared" si="16"/>
        <v>2.1283783783783781E-2</v>
      </c>
      <c r="P34" s="92">
        <f t="shared" si="16"/>
        <v>2.1283783783783781E-2</v>
      </c>
      <c r="Q34" s="92">
        <f t="shared" si="16"/>
        <v>2.1283783783783781E-2</v>
      </c>
      <c r="R34" s="92">
        <f t="shared" si="16"/>
        <v>2.1283783783783781E-2</v>
      </c>
      <c r="S34" s="92">
        <f t="shared" si="16"/>
        <v>2.1283783783783781E-2</v>
      </c>
      <c r="T34" s="92">
        <f t="shared" si="16"/>
        <v>2.1283783783783781E-2</v>
      </c>
      <c r="U34" s="92">
        <f t="shared" si="16"/>
        <v>2.1283783783783781E-2</v>
      </c>
      <c r="V34" s="92">
        <f t="shared" si="16"/>
        <v>2.1283783783783781E-2</v>
      </c>
      <c r="X34" s="91" t="s">
        <v>77</v>
      </c>
      <c r="Y34" s="92">
        <f>$Y$8*B16/(100*$D$12)</f>
        <v>4.3257678132678029E-2</v>
      </c>
      <c r="Z34" s="92">
        <f t="shared" ref="Z34:AS34" si="17">$Y$8*C16/(100*$D$12)</f>
        <v>5.464127764127763E-2</v>
      </c>
      <c r="AA34" s="92">
        <f t="shared" si="17"/>
        <v>7.2399692874692861E-2</v>
      </c>
      <c r="AB34" s="92">
        <f t="shared" si="17"/>
        <v>9.4256203931203916E-2</v>
      </c>
      <c r="AC34" s="92">
        <f t="shared" si="17"/>
        <v>9.5622235872235853E-2</v>
      </c>
      <c r="AD34" s="92">
        <f t="shared" si="17"/>
        <v>8.8792076167076156E-2</v>
      </c>
      <c r="AE34" s="92">
        <f t="shared" si="17"/>
        <v>8.8792076167076156E-2</v>
      </c>
      <c r="AF34" s="92">
        <f t="shared" si="17"/>
        <v>8.8792076167076156E-2</v>
      </c>
      <c r="AG34" s="92">
        <f t="shared" si="17"/>
        <v>8.8792076167076156E-2</v>
      </c>
      <c r="AH34" s="92">
        <f t="shared" si="17"/>
        <v>8.1961916461916445E-2</v>
      </c>
      <c r="AI34" s="92">
        <f t="shared" si="17"/>
        <v>8.1961916461916445E-2</v>
      </c>
      <c r="AJ34" s="92">
        <f t="shared" si="17"/>
        <v>8.1961916461916445E-2</v>
      </c>
      <c r="AK34" s="92">
        <f t="shared" si="17"/>
        <v>8.1961916461916445E-2</v>
      </c>
      <c r="AL34" s="92">
        <f t="shared" si="17"/>
        <v>7.5131756756756748E-2</v>
      </c>
      <c r="AM34" s="92">
        <f t="shared" si="17"/>
        <v>7.5131756756756748E-2</v>
      </c>
      <c r="AN34" s="92">
        <f t="shared" si="17"/>
        <v>7.5131756756756748E-2</v>
      </c>
      <c r="AO34" s="92">
        <f t="shared" si="17"/>
        <v>7.5131756756756748E-2</v>
      </c>
      <c r="AP34" s="92">
        <f t="shared" si="17"/>
        <v>7.5131756756756748E-2</v>
      </c>
      <c r="AQ34" s="92">
        <f t="shared" si="17"/>
        <v>7.5131756756756748E-2</v>
      </c>
      <c r="AR34" s="92">
        <f t="shared" si="17"/>
        <v>7.5131756756756748E-2</v>
      </c>
      <c r="AS34" s="92">
        <f t="shared" si="17"/>
        <v>7.5131756756756748E-2</v>
      </c>
    </row>
    <row r="35" spans="1:45" x14ac:dyDescent="0.3">
      <c r="A35" s="91" t="s">
        <v>78</v>
      </c>
      <c r="B35" s="92">
        <f>$F$8*B17/(100*$D$12)</f>
        <v>1.1609336609336609E-2</v>
      </c>
      <c r="C35" s="92">
        <f t="shared" si="16"/>
        <v>1.4705159705159704E-2</v>
      </c>
      <c r="D35" s="92">
        <f t="shared" si="16"/>
        <v>1.8574938574938575E-2</v>
      </c>
      <c r="E35" s="92">
        <f t="shared" si="16"/>
        <v>1.9735872235872236E-2</v>
      </c>
      <c r="F35" s="92">
        <f t="shared" si="16"/>
        <v>2.1283783783783781E-2</v>
      </c>
      <c r="G35" s="92">
        <f t="shared" si="16"/>
        <v>1.9348894348894346E-2</v>
      </c>
      <c r="H35" s="92">
        <f t="shared" si="16"/>
        <v>1.9348894348894346E-2</v>
      </c>
      <c r="I35" s="92">
        <f t="shared" si="16"/>
        <v>1.9348894348894346E-2</v>
      </c>
      <c r="J35" s="92">
        <f t="shared" si="16"/>
        <v>1.9348894348894346E-2</v>
      </c>
      <c r="K35" s="92">
        <f t="shared" si="16"/>
        <v>1.9348894348894346E-2</v>
      </c>
      <c r="L35" s="92">
        <f t="shared" si="16"/>
        <v>1.741400491400491E-2</v>
      </c>
      <c r="M35" s="92">
        <f t="shared" si="16"/>
        <v>1.741400491400491E-2</v>
      </c>
      <c r="N35" s="92">
        <f t="shared" si="16"/>
        <v>1.741400491400491E-2</v>
      </c>
      <c r="O35" s="92">
        <f t="shared" si="16"/>
        <v>1.741400491400491E-2</v>
      </c>
      <c r="P35" s="92">
        <f t="shared" si="16"/>
        <v>1.741400491400491E-2</v>
      </c>
      <c r="Q35" s="92">
        <f t="shared" si="16"/>
        <v>1.741400491400491E-2</v>
      </c>
      <c r="R35" s="92">
        <f t="shared" si="16"/>
        <v>1.741400491400491E-2</v>
      </c>
      <c r="S35" s="92">
        <f t="shared" si="16"/>
        <v>1.741400491400491E-2</v>
      </c>
      <c r="T35" s="92">
        <f t="shared" si="16"/>
        <v>1.741400491400491E-2</v>
      </c>
      <c r="U35" s="92">
        <f t="shared" si="16"/>
        <v>1.741400491400491E-2</v>
      </c>
      <c r="V35" s="92">
        <f t="shared" si="16"/>
        <v>1.741400491400491E-2</v>
      </c>
      <c r="X35" s="91" t="s">
        <v>78</v>
      </c>
      <c r="Y35" s="92">
        <f>$Y$8*B17/(100*$D$12)</f>
        <v>4.0980958230958223E-2</v>
      </c>
      <c r="Z35" s="92">
        <f t="shared" ref="Z35:AS35" si="18">$Y$8*C17/(100*$D$12)</f>
        <v>5.190921375921375E-2</v>
      </c>
      <c r="AA35" s="92">
        <f t="shared" si="18"/>
        <v>6.5569533169533165E-2</v>
      </c>
      <c r="AB35" s="92">
        <f t="shared" si="18"/>
        <v>6.9667628992628988E-2</v>
      </c>
      <c r="AC35" s="92">
        <f t="shared" si="18"/>
        <v>7.5131756756756748E-2</v>
      </c>
      <c r="AD35" s="92">
        <f t="shared" si="18"/>
        <v>6.8301597051597038E-2</v>
      </c>
      <c r="AE35" s="92">
        <f t="shared" si="18"/>
        <v>6.8301597051597038E-2</v>
      </c>
      <c r="AF35" s="92">
        <f t="shared" si="18"/>
        <v>6.8301597051597038E-2</v>
      </c>
      <c r="AG35" s="92">
        <f t="shared" si="18"/>
        <v>6.8301597051597038E-2</v>
      </c>
      <c r="AH35" s="92">
        <f t="shared" si="18"/>
        <v>6.8301597051597038E-2</v>
      </c>
      <c r="AI35" s="92">
        <f t="shared" si="18"/>
        <v>6.1471437346437334E-2</v>
      </c>
      <c r="AJ35" s="92">
        <f t="shared" si="18"/>
        <v>6.1471437346437334E-2</v>
      </c>
      <c r="AK35" s="92">
        <f t="shared" si="18"/>
        <v>6.1471437346437334E-2</v>
      </c>
      <c r="AL35" s="92">
        <f t="shared" si="18"/>
        <v>6.1471437346437334E-2</v>
      </c>
      <c r="AM35" s="92">
        <f t="shared" si="18"/>
        <v>6.1471437346437334E-2</v>
      </c>
      <c r="AN35" s="92">
        <f t="shared" si="18"/>
        <v>6.1471437346437334E-2</v>
      </c>
      <c r="AO35" s="92">
        <f t="shared" si="18"/>
        <v>6.1471437346437334E-2</v>
      </c>
      <c r="AP35" s="92">
        <f t="shared" si="18"/>
        <v>6.1471437346437334E-2</v>
      </c>
      <c r="AQ35" s="92">
        <f t="shared" si="18"/>
        <v>6.1471437346437334E-2</v>
      </c>
      <c r="AR35" s="92">
        <f t="shared" si="18"/>
        <v>6.1471437346437334E-2</v>
      </c>
      <c r="AS35" s="92">
        <f t="shared" si="18"/>
        <v>6.1471437346437334E-2</v>
      </c>
    </row>
    <row r="36" spans="1:45" x14ac:dyDescent="0.3">
      <c r="A36" s="90" t="s">
        <v>81</v>
      </c>
      <c r="X36" s="90" t="s">
        <v>81</v>
      </c>
    </row>
    <row r="37" spans="1:45" x14ac:dyDescent="0.3">
      <c r="A37" s="91" t="s">
        <v>77</v>
      </c>
      <c r="B37" s="92">
        <f>$F$9*B16/(100*$D$12)</f>
        <v>0.2867506142506136</v>
      </c>
      <c r="C37" s="92">
        <f t="shared" ref="C37:V38" si="19">$F$9*C16/(100*$D$12)</f>
        <v>0.36221130221130216</v>
      </c>
      <c r="D37" s="92">
        <f t="shared" si="19"/>
        <v>0.47992997542997529</v>
      </c>
      <c r="E37" s="92">
        <f t="shared" si="19"/>
        <v>0.62481449631449626</v>
      </c>
      <c r="F37" s="92">
        <f t="shared" si="19"/>
        <v>0.6338697788697788</v>
      </c>
      <c r="G37" s="92">
        <f t="shared" si="19"/>
        <v>0.58859336609336599</v>
      </c>
      <c r="H37" s="92">
        <f t="shared" si="19"/>
        <v>0.58859336609336599</v>
      </c>
      <c r="I37" s="92">
        <f t="shared" si="19"/>
        <v>0.58859336609336599</v>
      </c>
      <c r="J37" s="92">
        <f t="shared" si="19"/>
        <v>0.58859336609336599</v>
      </c>
      <c r="K37" s="92">
        <f t="shared" si="19"/>
        <v>0.54331695331695329</v>
      </c>
      <c r="L37" s="92">
        <f t="shared" si="19"/>
        <v>0.54331695331695329</v>
      </c>
      <c r="M37" s="92">
        <f t="shared" si="19"/>
        <v>0.54331695331695329</v>
      </c>
      <c r="N37" s="92">
        <f t="shared" si="19"/>
        <v>0.54331695331695329</v>
      </c>
      <c r="O37" s="92">
        <f t="shared" si="19"/>
        <v>0.49804054054054042</v>
      </c>
      <c r="P37" s="92">
        <f t="shared" si="19"/>
        <v>0.49804054054054042</v>
      </c>
      <c r="Q37" s="92">
        <f t="shared" si="19"/>
        <v>0.49804054054054042</v>
      </c>
      <c r="R37" s="92">
        <f t="shared" si="19"/>
        <v>0.49804054054054042</v>
      </c>
      <c r="S37" s="92">
        <f t="shared" si="19"/>
        <v>0.49804054054054042</v>
      </c>
      <c r="T37" s="92">
        <f t="shared" si="19"/>
        <v>0.49804054054054042</v>
      </c>
      <c r="U37" s="92">
        <f t="shared" si="19"/>
        <v>0.49804054054054042</v>
      </c>
      <c r="V37" s="92">
        <f t="shared" si="19"/>
        <v>0.49804054054054042</v>
      </c>
      <c r="X37" s="91" t="s">
        <v>77</v>
      </c>
      <c r="Y37" s="92">
        <f>$Y$9*B16/(100*$D$12)</f>
        <v>0.1837409705159701</v>
      </c>
      <c r="Z37" s="92">
        <f t="shared" ref="Z37:AS37" si="20">$Y$9*C16/(100*$D$12)</f>
        <v>0.23209385749385744</v>
      </c>
      <c r="AA37" s="92">
        <f t="shared" si="20"/>
        <v>0.30752436117936116</v>
      </c>
      <c r="AB37" s="92">
        <f t="shared" si="20"/>
        <v>0.40036190417690409</v>
      </c>
      <c r="AC37" s="92">
        <f t="shared" si="20"/>
        <v>0.40616425061425054</v>
      </c>
      <c r="AD37" s="92">
        <f t="shared" si="20"/>
        <v>0.3771525184275184</v>
      </c>
      <c r="AE37" s="92">
        <f t="shared" si="20"/>
        <v>0.3771525184275184</v>
      </c>
      <c r="AF37" s="92">
        <f t="shared" si="20"/>
        <v>0.3771525184275184</v>
      </c>
      <c r="AG37" s="92">
        <f t="shared" si="20"/>
        <v>0.3771525184275184</v>
      </c>
      <c r="AH37" s="92">
        <f t="shared" si="20"/>
        <v>0.3481407862407862</v>
      </c>
      <c r="AI37" s="92">
        <f t="shared" si="20"/>
        <v>0.3481407862407862</v>
      </c>
      <c r="AJ37" s="92">
        <f t="shared" si="20"/>
        <v>0.3481407862407862</v>
      </c>
      <c r="AK37" s="92">
        <f t="shared" si="20"/>
        <v>0.3481407862407862</v>
      </c>
      <c r="AL37" s="92">
        <f t="shared" si="20"/>
        <v>0.31912905405405395</v>
      </c>
      <c r="AM37" s="92">
        <f t="shared" si="20"/>
        <v>0.31912905405405395</v>
      </c>
      <c r="AN37" s="92">
        <f t="shared" si="20"/>
        <v>0.31912905405405395</v>
      </c>
      <c r="AO37" s="92">
        <f t="shared" si="20"/>
        <v>0.31912905405405395</v>
      </c>
      <c r="AP37" s="92">
        <f t="shared" si="20"/>
        <v>0.31912905405405395</v>
      </c>
      <c r="AQ37" s="92">
        <f t="shared" si="20"/>
        <v>0.31912905405405395</v>
      </c>
      <c r="AR37" s="92">
        <f t="shared" si="20"/>
        <v>0.31912905405405395</v>
      </c>
      <c r="AS37" s="92">
        <f t="shared" si="20"/>
        <v>0.31912905405405395</v>
      </c>
    </row>
    <row r="38" spans="1:45" x14ac:dyDescent="0.3">
      <c r="A38" s="91" t="s">
        <v>78</v>
      </c>
      <c r="B38" s="92">
        <f>$F$9*B17/(100*$D$12)</f>
        <v>0.27165847665847664</v>
      </c>
      <c r="C38" s="92">
        <f t="shared" si="19"/>
        <v>0.34410073710073708</v>
      </c>
      <c r="D38" s="92">
        <f t="shared" si="19"/>
        <v>0.43465356265356264</v>
      </c>
      <c r="E38" s="92">
        <f t="shared" si="19"/>
        <v>0.46181941031941032</v>
      </c>
      <c r="F38" s="92">
        <f t="shared" si="19"/>
        <v>0.49804054054054042</v>
      </c>
      <c r="G38" s="92">
        <f t="shared" si="19"/>
        <v>0.45276412776412767</v>
      </c>
      <c r="H38" s="92">
        <f t="shared" si="19"/>
        <v>0.45276412776412767</v>
      </c>
      <c r="I38" s="92">
        <f t="shared" si="19"/>
        <v>0.45276412776412767</v>
      </c>
      <c r="J38" s="92">
        <f t="shared" si="19"/>
        <v>0.45276412776412767</v>
      </c>
      <c r="K38" s="92">
        <f t="shared" si="19"/>
        <v>0.45276412776412767</v>
      </c>
      <c r="L38" s="92">
        <f t="shared" si="19"/>
        <v>0.40748771498771486</v>
      </c>
      <c r="M38" s="92">
        <f t="shared" si="19"/>
        <v>0.40748771498771486</v>
      </c>
      <c r="N38" s="92">
        <f t="shared" si="19"/>
        <v>0.40748771498771486</v>
      </c>
      <c r="O38" s="92">
        <f t="shared" si="19"/>
        <v>0.40748771498771486</v>
      </c>
      <c r="P38" s="92">
        <f t="shared" si="19"/>
        <v>0.40748771498771486</v>
      </c>
      <c r="Q38" s="92">
        <f t="shared" si="19"/>
        <v>0.40748771498771486</v>
      </c>
      <c r="R38" s="92">
        <f t="shared" si="19"/>
        <v>0.40748771498771486</v>
      </c>
      <c r="S38" s="92">
        <f t="shared" si="19"/>
        <v>0.40748771498771486</v>
      </c>
      <c r="T38" s="92">
        <f t="shared" si="19"/>
        <v>0.40748771498771486</v>
      </c>
      <c r="U38" s="92">
        <f t="shared" si="19"/>
        <v>0.40748771498771486</v>
      </c>
      <c r="V38" s="92">
        <f t="shared" si="19"/>
        <v>0.40748771498771486</v>
      </c>
      <c r="X38" s="91" t="s">
        <v>78</v>
      </c>
      <c r="Y38" s="92">
        <f>$Y$9*B17/(100*$D$12)</f>
        <v>0.1740703931203931</v>
      </c>
      <c r="Z38" s="92">
        <f t="shared" ref="Z38:AS38" si="21">$Y$9*C17/(100*$D$12)</f>
        <v>0.2204891646191646</v>
      </c>
      <c r="AA38" s="92">
        <f t="shared" si="21"/>
        <v>0.27851262899262896</v>
      </c>
      <c r="AB38" s="92">
        <f t="shared" si="21"/>
        <v>0.29591966830466826</v>
      </c>
      <c r="AC38" s="92">
        <f t="shared" si="21"/>
        <v>0.31912905405405395</v>
      </c>
      <c r="AD38" s="92">
        <f t="shared" si="21"/>
        <v>0.29011732186732181</v>
      </c>
      <c r="AE38" s="92">
        <f t="shared" si="21"/>
        <v>0.29011732186732181</v>
      </c>
      <c r="AF38" s="92">
        <f t="shared" si="21"/>
        <v>0.29011732186732181</v>
      </c>
      <c r="AG38" s="92">
        <f t="shared" si="21"/>
        <v>0.29011732186732181</v>
      </c>
      <c r="AH38" s="92">
        <f t="shared" si="21"/>
        <v>0.29011732186732181</v>
      </c>
      <c r="AI38" s="92">
        <f t="shared" si="21"/>
        <v>0.26110558968058961</v>
      </c>
      <c r="AJ38" s="92">
        <f t="shared" si="21"/>
        <v>0.26110558968058961</v>
      </c>
      <c r="AK38" s="92">
        <f t="shared" si="21"/>
        <v>0.26110558968058961</v>
      </c>
      <c r="AL38" s="92">
        <f t="shared" si="21"/>
        <v>0.26110558968058961</v>
      </c>
      <c r="AM38" s="92">
        <f t="shared" si="21"/>
        <v>0.26110558968058961</v>
      </c>
      <c r="AN38" s="92">
        <f t="shared" si="21"/>
        <v>0.26110558968058961</v>
      </c>
      <c r="AO38" s="92">
        <f t="shared" si="21"/>
        <v>0.26110558968058961</v>
      </c>
      <c r="AP38" s="92">
        <f t="shared" si="21"/>
        <v>0.26110558968058961</v>
      </c>
      <c r="AQ38" s="92">
        <f t="shared" si="21"/>
        <v>0.26110558968058961</v>
      </c>
      <c r="AR38" s="92">
        <f t="shared" si="21"/>
        <v>0.26110558968058961</v>
      </c>
      <c r="AS38" s="92">
        <f t="shared" si="21"/>
        <v>0.26110558968058961</v>
      </c>
    </row>
    <row r="39" spans="1:45" x14ac:dyDescent="0.3">
      <c r="A39" s="90" t="s">
        <v>92</v>
      </c>
      <c r="X39" s="90" t="s">
        <v>92</v>
      </c>
    </row>
    <row r="40" spans="1:45" x14ac:dyDescent="0.3">
      <c r="A40" s="91" t="s">
        <v>77</v>
      </c>
      <c r="B40" s="92">
        <f>$F$10*B16/(100*$D$12)</f>
        <v>4.9017199017198906E-2</v>
      </c>
      <c r="C40" s="92">
        <f t="shared" ref="C40:V41" si="22">$F$10*C16/(100*$D$12)</f>
        <v>6.1916461916461905E-2</v>
      </c>
      <c r="D40" s="92">
        <f t="shared" si="22"/>
        <v>8.2039312039312029E-2</v>
      </c>
      <c r="E40" s="92">
        <f t="shared" si="22"/>
        <v>0.10680589680589679</v>
      </c>
      <c r="F40" s="92">
        <f t="shared" si="22"/>
        <v>0.10835380835380834</v>
      </c>
      <c r="G40" s="92">
        <f t="shared" si="22"/>
        <v>0.1006142506142506</v>
      </c>
      <c r="H40" s="92">
        <f t="shared" si="22"/>
        <v>0.1006142506142506</v>
      </c>
      <c r="I40" s="92">
        <f t="shared" si="22"/>
        <v>0.1006142506142506</v>
      </c>
      <c r="J40" s="92">
        <f t="shared" si="22"/>
        <v>0.1006142506142506</v>
      </c>
      <c r="K40" s="92">
        <f t="shared" si="22"/>
        <v>9.2874692874692868E-2</v>
      </c>
      <c r="L40" s="92">
        <f t="shared" si="22"/>
        <v>9.2874692874692868E-2</v>
      </c>
      <c r="M40" s="92">
        <f t="shared" si="22"/>
        <v>9.2874692874692868E-2</v>
      </c>
      <c r="N40" s="92">
        <f t="shared" si="22"/>
        <v>9.2874692874692868E-2</v>
      </c>
      <c r="O40" s="92">
        <f t="shared" si="22"/>
        <v>8.5135135135135126E-2</v>
      </c>
      <c r="P40" s="92">
        <f t="shared" si="22"/>
        <v>8.5135135135135126E-2</v>
      </c>
      <c r="Q40" s="92">
        <f t="shared" si="22"/>
        <v>8.5135135135135126E-2</v>
      </c>
      <c r="R40" s="92">
        <f t="shared" si="22"/>
        <v>8.5135135135135126E-2</v>
      </c>
      <c r="S40" s="92">
        <f t="shared" si="22"/>
        <v>8.5135135135135126E-2</v>
      </c>
      <c r="T40" s="92">
        <f t="shared" si="22"/>
        <v>8.5135135135135126E-2</v>
      </c>
      <c r="U40" s="92">
        <f t="shared" si="22"/>
        <v>8.5135135135135126E-2</v>
      </c>
      <c r="V40" s="92">
        <f t="shared" si="22"/>
        <v>8.5135135135135126E-2</v>
      </c>
      <c r="X40" s="91" t="s">
        <v>77</v>
      </c>
      <c r="Y40" s="92">
        <f>$Y$10*B16/(100*$D$12)</f>
        <v>7.3905681818181648E-2</v>
      </c>
      <c r="Z40" s="92">
        <f t="shared" ref="Z40:AS40" si="23">$Y$10*C16/(100*$D$12)</f>
        <v>9.3354545454545426E-2</v>
      </c>
      <c r="AA40" s="92">
        <f t="shared" si="23"/>
        <v>0.12369477272727269</v>
      </c>
      <c r="AB40" s="92">
        <f t="shared" si="23"/>
        <v>0.16103659090909087</v>
      </c>
      <c r="AC40" s="92">
        <f t="shared" si="23"/>
        <v>0.16337045454545451</v>
      </c>
      <c r="AD40" s="92">
        <f t="shared" si="23"/>
        <v>0.15170113636363636</v>
      </c>
      <c r="AE40" s="92">
        <f t="shared" si="23"/>
        <v>0.15170113636363636</v>
      </c>
      <c r="AF40" s="92">
        <f t="shared" si="23"/>
        <v>0.15170113636363636</v>
      </c>
      <c r="AG40" s="92">
        <f t="shared" si="23"/>
        <v>0.15170113636363636</v>
      </c>
      <c r="AH40" s="92">
        <f t="shared" si="23"/>
        <v>0.14003181818181815</v>
      </c>
      <c r="AI40" s="92">
        <f t="shared" si="23"/>
        <v>0.14003181818181815</v>
      </c>
      <c r="AJ40" s="92">
        <f t="shared" si="23"/>
        <v>0.14003181818181815</v>
      </c>
      <c r="AK40" s="92">
        <f t="shared" si="23"/>
        <v>0.14003181818181815</v>
      </c>
      <c r="AL40" s="92">
        <f t="shared" si="23"/>
        <v>0.12836249999999999</v>
      </c>
      <c r="AM40" s="92">
        <f t="shared" si="23"/>
        <v>0.12836249999999999</v>
      </c>
      <c r="AN40" s="92">
        <f t="shared" si="23"/>
        <v>0.12836249999999999</v>
      </c>
      <c r="AO40" s="92">
        <f t="shared" si="23"/>
        <v>0.12836249999999999</v>
      </c>
      <c r="AP40" s="92">
        <f t="shared" si="23"/>
        <v>0.12836249999999999</v>
      </c>
      <c r="AQ40" s="92">
        <f t="shared" si="23"/>
        <v>0.12836249999999999</v>
      </c>
      <c r="AR40" s="92">
        <f t="shared" si="23"/>
        <v>0.12836249999999999</v>
      </c>
      <c r="AS40" s="92">
        <f t="shared" si="23"/>
        <v>0.12836249999999999</v>
      </c>
    </row>
    <row r="41" spans="1:45" x14ac:dyDescent="0.3">
      <c r="A41" s="91" t="s">
        <v>78</v>
      </c>
      <c r="B41" s="92">
        <f>$F$10*B17/(100*$D$12)</f>
        <v>4.6437346437346434E-2</v>
      </c>
      <c r="C41" s="92">
        <f t="shared" si="22"/>
        <v>5.8820638820638815E-2</v>
      </c>
      <c r="D41" s="92">
        <f t="shared" si="22"/>
        <v>7.42997542997543E-2</v>
      </c>
      <c r="E41" s="92">
        <f t="shared" si="22"/>
        <v>7.8943488943488946E-2</v>
      </c>
      <c r="F41" s="92">
        <f t="shared" si="22"/>
        <v>8.5135135135135126E-2</v>
      </c>
      <c r="G41" s="92">
        <f t="shared" si="22"/>
        <v>7.7395577395577383E-2</v>
      </c>
      <c r="H41" s="92">
        <f t="shared" si="22"/>
        <v>7.7395577395577383E-2</v>
      </c>
      <c r="I41" s="92">
        <f t="shared" si="22"/>
        <v>7.7395577395577383E-2</v>
      </c>
      <c r="J41" s="92">
        <f t="shared" si="22"/>
        <v>7.7395577395577383E-2</v>
      </c>
      <c r="K41" s="92">
        <f t="shared" si="22"/>
        <v>7.7395577395577383E-2</v>
      </c>
      <c r="L41" s="92">
        <f t="shared" si="22"/>
        <v>6.9656019656019641E-2</v>
      </c>
      <c r="M41" s="92">
        <f t="shared" si="22"/>
        <v>6.9656019656019641E-2</v>
      </c>
      <c r="N41" s="92">
        <f t="shared" si="22"/>
        <v>6.9656019656019641E-2</v>
      </c>
      <c r="O41" s="92">
        <f t="shared" si="22"/>
        <v>6.9656019656019641E-2</v>
      </c>
      <c r="P41" s="92">
        <f t="shared" si="22"/>
        <v>6.9656019656019641E-2</v>
      </c>
      <c r="Q41" s="92">
        <f t="shared" si="22"/>
        <v>6.9656019656019641E-2</v>
      </c>
      <c r="R41" s="92">
        <f t="shared" si="22"/>
        <v>6.9656019656019641E-2</v>
      </c>
      <c r="S41" s="92">
        <f t="shared" si="22"/>
        <v>6.9656019656019641E-2</v>
      </c>
      <c r="T41" s="92">
        <f t="shared" si="22"/>
        <v>6.9656019656019641E-2</v>
      </c>
      <c r="U41" s="92">
        <f t="shared" si="22"/>
        <v>6.9656019656019641E-2</v>
      </c>
      <c r="V41" s="92">
        <f t="shared" si="22"/>
        <v>6.9656019656019641E-2</v>
      </c>
      <c r="X41" s="91" t="s">
        <v>78</v>
      </c>
      <c r="Y41" s="92">
        <f>$Y$10*B17/(100*$D$12)</f>
        <v>7.0015909090909073E-2</v>
      </c>
      <c r="Z41" s="92">
        <f t="shared" ref="Z41:AS41" si="24">$Y$10*C17/(100*$D$12)</f>
        <v>8.8686818181818172E-2</v>
      </c>
      <c r="AA41" s="92">
        <f t="shared" si="24"/>
        <v>0.11202545454545454</v>
      </c>
      <c r="AB41" s="92">
        <f t="shared" si="24"/>
        <v>0.11902704545454545</v>
      </c>
      <c r="AC41" s="92">
        <f t="shared" si="24"/>
        <v>0.12836249999999999</v>
      </c>
      <c r="AD41" s="92">
        <f t="shared" si="24"/>
        <v>0.11669318181818181</v>
      </c>
      <c r="AE41" s="92">
        <f t="shared" si="24"/>
        <v>0.11669318181818181</v>
      </c>
      <c r="AF41" s="92">
        <f t="shared" si="24"/>
        <v>0.11669318181818181</v>
      </c>
      <c r="AG41" s="92">
        <f t="shared" si="24"/>
        <v>0.11669318181818181</v>
      </c>
      <c r="AH41" s="92">
        <f t="shared" si="24"/>
        <v>0.11669318181818181</v>
      </c>
      <c r="AI41" s="92">
        <f t="shared" si="24"/>
        <v>0.10502386363636362</v>
      </c>
      <c r="AJ41" s="92">
        <f t="shared" si="24"/>
        <v>0.10502386363636362</v>
      </c>
      <c r="AK41" s="92">
        <f t="shared" si="24"/>
        <v>0.10502386363636362</v>
      </c>
      <c r="AL41" s="92">
        <f t="shared" si="24"/>
        <v>0.10502386363636362</v>
      </c>
      <c r="AM41" s="92">
        <f t="shared" si="24"/>
        <v>0.10502386363636362</v>
      </c>
      <c r="AN41" s="92">
        <f t="shared" si="24"/>
        <v>0.10502386363636362</v>
      </c>
      <c r="AO41" s="92">
        <f t="shared" si="24"/>
        <v>0.10502386363636362</v>
      </c>
      <c r="AP41" s="92">
        <f t="shared" si="24"/>
        <v>0.10502386363636362</v>
      </c>
      <c r="AQ41" s="92">
        <f t="shared" si="24"/>
        <v>0.10502386363636362</v>
      </c>
      <c r="AR41" s="92">
        <f t="shared" si="24"/>
        <v>0.10502386363636362</v>
      </c>
      <c r="AS41" s="92">
        <f t="shared" si="24"/>
        <v>0.10502386363636362</v>
      </c>
    </row>
    <row r="42" spans="1:45" x14ac:dyDescent="0.3">
      <c r="A42" s="90" t="s">
        <v>85</v>
      </c>
      <c r="B42" s="92"/>
      <c r="C42" s="92"/>
      <c r="D42" s="92"/>
      <c r="E42" s="92"/>
      <c r="F42" s="92"/>
      <c r="G42" s="92"/>
      <c r="H42" s="92"/>
      <c r="I42" s="92"/>
      <c r="J42" s="92"/>
      <c r="K42" s="92"/>
      <c r="L42" s="92"/>
      <c r="M42" s="92"/>
      <c r="N42" s="92"/>
      <c r="O42" s="92"/>
      <c r="P42" s="92"/>
      <c r="Q42" s="92"/>
      <c r="R42" s="92"/>
      <c r="S42" s="92"/>
      <c r="T42" s="92"/>
      <c r="U42" s="92"/>
      <c r="V42" s="92"/>
      <c r="X42" s="90" t="s">
        <v>85</v>
      </c>
      <c r="Y42" s="92"/>
      <c r="Z42" s="92"/>
      <c r="AA42" s="92"/>
      <c r="AB42" s="92"/>
      <c r="AC42" s="92"/>
      <c r="AD42" s="92"/>
      <c r="AE42" s="92"/>
      <c r="AF42" s="92"/>
      <c r="AG42" s="92"/>
      <c r="AH42" s="92"/>
      <c r="AI42" s="92"/>
      <c r="AJ42" s="92"/>
      <c r="AK42" s="92"/>
      <c r="AL42" s="92"/>
      <c r="AM42" s="92"/>
      <c r="AN42" s="92"/>
      <c r="AO42" s="92"/>
      <c r="AP42" s="92"/>
      <c r="AQ42" s="92"/>
      <c r="AR42" s="92"/>
      <c r="AS42" s="92"/>
    </row>
    <row r="43" spans="1:45" x14ac:dyDescent="0.3">
      <c r="A43" s="91" t="s">
        <v>77</v>
      </c>
      <c r="B43" s="92">
        <f>$F$11*B16/(100*$D$12)</f>
        <v>0.15930589680589646</v>
      </c>
      <c r="C43" s="92">
        <f t="shared" ref="C43:V44" si="25">$F$11*C16/(100*$D$12)</f>
        <v>0.20122850122850119</v>
      </c>
      <c r="D43" s="92">
        <f t="shared" si="25"/>
        <v>0.26662776412776407</v>
      </c>
      <c r="E43" s="92">
        <f t="shared" si="25"/>
        <v>0.34711916461916459</v>
      </c>
      <c r="F43" s="92">
        <f t="shared" si="25"/>
        <v>0.35214987714987711</v>
      </c>
      <c r="G43" s="92">
        <f t="shared" si="25"/>
        <v>0.3269963144963145</v>
      </c>
      <c r="H43" s="92">
        <f t="shared" si="25"/>
        <v>0.3269963144963145</v>
      </c>
      <c r="I43" s="92">
        <f t="shared" si="25"/>
        <v>0.3269963144963145</v>
      </c>
      <c r="J43" s="92">
        <f t="shared" si="25"/>
        <v>0.3269963144963145</v>
      </c>
      <c r="K43" s="92">
        <f t="shared" si="25"/>
        <v>0.30184275184275183</v>
      </c>
      <c r="L43" s="92">
        <f t="shared" si="25"/>
        <v>0.30184275184275183</v>
      </c>
      <c r="M43" s="92">
        <f t="shared" si="25"/>
        <v>0.30184275184275183</v>
      </c>
      <c r="N43" s="92">
        <f t="shared" si="25"/>
        <v>0.30184275184275183</v>
      </c>
      <c r="O43" s="92">
        <f t="shared" si="25"/>
        <v>0.27668918918918917</v>
      </c>
      <c r="P43" s="92">
        <f t="shared" si="25"/>
        <v>0.27668918918918917</v>
      </c>
      <c r="Q43" s="92">
        <f t="shared" si="25"/>
        <v>0.27668918918918917</v>
      </c>
      <c r="R43" s="92">
        <f t="shared" si="25"/>
        <v>0.27668918918918917</v>
      </c>
      <c r="S43" s="92">
        <f t="shared" si="25"/>
        <v>0.27668918918918917</v>
      </c>
      <c r="T43" s="92">
        <f t="shared" si="25"/>
        <v>0.27668918918918917</v>
      </c>
      <c r="U43" s="92">
        <f t="shared" si="25"/>
        <v>0.27668918918918917</v>
      </c>
      <c r="V43" s="92">
        <f t="shared" si="25"/>
        <v>0.27668918918918917</v>
      </c>
      <c r="W43" s="92"/>
      <c r="X43" s="91" t="s">
        <v>77</v>
      </c>
      <c r="Y43" s="92">
        <f>$Y$11*B16/(100*$D$12)</f>
        <v>0.23546636977886926</v>
      </c>
      <c r="Z43" s="92">
        <f t="shared" ref="Z43:AS43" si="26">$Y$11*C16/(100*$D$12)</f>
        <v>0.29743120393120387</v>
      </c>
      <c r="AA43" s="92">
        <f t="shared" si="26"/>
        <v>0.39409634520884512</v>
      </c>
      <c r="AB43" s="92">
        <f t="shared" si="26"/>
        <v>0.5130688267813267</v>
      </c>
      <c r="AC43" s="92">
        <f t="shared" si="26"/>
        <v>0.52050460687960687</v>
      </c>
      <c r="AD43" s="92">
        <f t="shared" si="26"/>
        <v>0.48332570638820632</v>
      </c>
      <c r="AE43" s="92">
        <f t="shared" si="26"/>
        <v>0.48332570638820632</v>
      </c>
      <c r="AF43" s="92">
        <f t="shared" si="26"/>
        <v>0.48332570638820632</v>
      </c>
      <c r="AG43" s="92">
        <f t="shared" si="26"/>
        <v>0.48332570638820632</v>
      </c>
      <c r="AH43" s="92">
        <f t="shared" si="26"/>
        <v>0.44614680589680583</v>
      </c>
      <c r="AI43" s="92">
        <f t="shared" si="26"/>
        <v>0.44614680589680583</v>
      </c>
      <c r="AJ43" s="92">
        <f t="shared" si="26"/>
        <v>0.44614680589680583</v>
      </c>
      <c r="AK43" s="92">
        <f t="shared" si="26"/>
        <v>0.44614680589680583</v>
      </c>
      <c r="AL43" s="92">
        <f t="shared" si="26"/>
        <v>0.40896790540540534</v>
      </c>
      <c r="AM43" s="92">
        <f t="shared" si="26"/>
        <v>0.40896790540540534</v>
      </c>
      <c r="AN43" s="92">
        <f t="shared" si="26"/>
        <v>0.40896790540540534</v>
      </c>
      <c r="AO43" s="92">
        <f t="shared" si="26"/>
        <v>0.40896790540540534</v>
      </c>
      <c r="AP43" s="92">
        <f t="shared" si="26"/>
        <v>0.40896790540540534</v>
      </c>
      <c r="AQ43" s="92">
        <f t="shared" si="26"/>
        <v>0.40896790540540534</v>
      </c>
      <c r="AR43" s="92">
        <f t="shared" si="26"/>
        <v>0.40896790540540534</v>
      </c>
      <c r="AS43" s="92">
        <f t="shared" si="26"/>
        <v>0.40896790540540534</v>
      </c>
    </row>
    <row r="44" spans="1:45" x14ac:dyDescent="0.3">
      <c r="A44" s="91" t="s">
        <v>78</v>
      </c>
      <c r="B44" s="92">
        <f>$F$11*B17/(100*$D$12)</f>
        <v>0.15092137592137592</v>
      </c>
      <c r="C44" s="92">
        <f t="shared" si="25"/>
        <v>0.19116707616707615</v>
      </c>
      <c r="D44" s="92">
        <f t="shared" si="25"/>
        <v>0.24147420147420146</v>
      </c>
      <c r="E44" s="92">
        <f t="shared" si="25"/>
        <v>0.25656633906633908</v>
      </c>
      <c r="F44" s="92">
        <f>$F$11*F17/(100*$D$12)</f>
        <v>0.27668918918918917</v>
      </c>
      <c r="G44" s="92">
        <f t="shared" si="25"/>
        <v>0.2515356265356265</v>
      </c>
      <c r="H44" s="92">
        <f t="shared" si="25"/>
        <v>0.2515356265356265</v>
      </c>
      <c r="I44" s="92">
        <f t="shared" si="25"/>
        <v>0.2515356265356265</v>
      </c>
      <c r="J44" s="92">
        <f t="shared" si="25"/>
        <v>0.2515356265356265</v>
      </c>
      <c r="K44" s="92">
        <f t="shared" si="25"/>
        <v>0.2515356265356265</v>
      </c>
      <c r="L44" s="92">
        <f t="shared" si="25"/>
        <v>0.22638206388206383</v>
      </c>
      <c r="M44" s="92">
        <f t="shared" si="25"/>
        <v>0.22638206388206383</v>
      </c>
      <c r="N44" s="92">
        <f t="shared" si="25"/>
        <v>0.22638206388206383</v>
      </c>
      <c r="O44" s="92">
        <f t="shared" si="25"/>
        <v>0.22638206388206383</v>
      </c>
      <c r="P44" s="92">
        <f t="shared" si="25"/>
        <v>0.22638206388206383</v>
      </c>
      <c r="Q44" s="92">
        <f t="shared" si="25"/>
        <v>0.22638206388206383</v>
      </c>
      <c r="R44" s="92">
        <f t="shared" si="25"/>
        <v>0.22638206388206383</v>
      </c>
      <c r="S44" s="92">
        <f t="shared" si="25"/>
        <v>0.22638206388206383</v>
      </c>
      <c r="T44" s="92">
        <f t="shared" si="25"/>
        <v>0.22638206388206383</v>
      </c>
      <c r="U44" s="92">
        <f t="shared" si="25"/>
        <v>0.22638206388206383</v>
      </c>
      <c r="V44" s="92">
        <f t="shared" si="25"/>
        <v>0.22638206388206383</v>
      </c>
      <c r="X44" s="91" t="s">
        <v>78</v>
      </c>
      <c r="Y44" s="92">
        <f>$Y$11*B17/(100*$D$12)</f>
        <v>0.22307340294840292</v>
      </c>
      <c r="Z44" s="92">
        <f t="shared" ref="Z44:AS44" si="27">$Y$11*C17/(100*$D$12)</f>
        <v>0.28255964373464371</v>
      </c>
      <c r="AA44" s="92">
        <f t="shared" si="27"/>
        <v>0.35691744471744469</v>
      </c>
      <c r="AB44" s="92">
        <f t="shared" si="27"/>
        <v>0.37922478501228502</v>
      </c>
      <c r="AC44" s="92">
        <f t="shared" si="27"/>
        <v>0.40896790540540534</v>
      </c>
      <c r="AD44" s="92">
        <f t="shared" si="27"/>
        <v>0.37178900491400485</v>
      </c>
      <c r="AE44" s="92">
        <f t="shared" si="27"/>
        <v>0.37178900491400485</v>
      </c>
      <c r="AF44" s="92">
        <f t="shared" si="27"/>
        <v>0.37178900491400485</v>
      </c>
      <c r="AG44" s="92">
        <f t="shared" si="27"/>
        <v>0.37178900491400485</v>
      </c>
      <c r="AH44" s="92">
        <f t="shared" si="27"/>
        <v>0.37178900491400485</v>
      </c>
      <c r="AI44" s="92">
        <f t="shared" si="27"/>
        <v>0.33461010442260436</v>
      </c>
      <c r="AJ44" s="92">
        <f t="shared" si="27"/>
        <v>0.33461010442260436</v>
      </c>
      <c r="AK44" s="92">
        <f t="shared" si="27"/>
        <v>0.33461010442260436</v>
      </c>
      <c r="AL44" s="92">
        <f t="shared" si="27"/>
        <v>0.33461010442260436</v>
      </c>
      <c r="AM44" s="92">
        <f t="shared" si="27"/>
        <v>0.33461010442260436</v>
      </c>
      <c r="AN44" s="92">
        <f t="shared" si="27"/>
        <v>0.33461010442260436</v>
      </c>
      <c r="AO44" s="92">
        <f t="shared" si="27"/>
        <v>0.33461010442260436</v>
      </c>
      <c r="AP44" s="92">
        <f t="shared" si="27"/>
        <v>0.33461010442260436</v>
      </c>
      <c r="AQ44" s="92">
        <f t="shared" si="27"/>
        <v>0.33461010442260436</v>
      </c>
      <c r="AR44" s="92">
        <f t="shared" si="27"/>
        <v>0.33461010442260436</v>
      </c>
      <c r="AS44" s="92">
        <f t="shared" si="27"/>
        <v>0.33461010442260436</v>
      </c>
    </row>
    <row r="46" spans="1:45" x14ac:dyDescent="0.3">
      <c r="A46" s="89" t="s">
        <v>91</v>
      </c>
      <c r="X46" s="89" t="s">
        <v>186</v>
      </c>
    </row>
    <row r="47" spans="1:45" x14ac:dyDescent="0.3">
      <c r="A47" s="90" t="s">
        <v>82</v>
      </c>
      <c r="B47" s="91" t="s">
        <v>51</v>
      </c>
      <c r="C47" s="91" t="s">
        <v>52</v>
      </c>
      <c r="D47" s="91" t="s">
        <v>53</v>
      </c>
      <c r="E47" s="91" t="s">
        <v>54</v>
      </c>
      <c r="F47" s="91" t="s">
        <v>55</v>
      </c>
      <c r="G47" s="91" t="s">
        <v>56</v>
      </c>
      <c r="H47" s="91" t="s">
        <v>57</v>
      </c>
      <c r="I47" s="91" t="s">
        <v>58</v>
      </c>
      <c r="J47" s="91" t="s">
        <v>59</v>
      </c>
      <c r="K47" s="91" t="s">
        <v>60</v>
      </c>
      <c r="L47" s="91" t="s">
        <v>61</v>
      </c>
      <c r="M47" s="91" t="s">
        <v>62</v>
      </c>
      <c r="N47" s="91" t="s">
        <v>63</v>
      </c>
      <c r="O47" s="91" t="s">
        <v>64</v>
      </c>
      <c r="P47" s="91" t="s">
        <v>65</v>
      </c>
      <c r="Q47" s="91" t="s">
        <v>66</v>
      </c>
      <c r="R47" s="91" t="s">
        <v>67</v>
      </c>
      <c r="S47" s="91" t="s">
        <v>68</v>
      </c>
      <c r="T47" s="91" t="s">
        <v>69</v>
      </c>
      <c r="U47" s="91" t="s">
        <v>70</v>
      </c>
      <c r="V47" s="91" t="s">
        <v>71</v>
      </c>
      <c r="X47" s="90" t="s">
        <v>82</v>
      </c>
      <c r="Y47" s="91" t="s">
        <v>51</v>
      </c>
      <c r="Z47" s="91" t="s">
        <v>52</v>
      </c>
      <c r="AA47" s="91" t="s">
        <v>53</v>
      </c>
      <c r="AB47" s="91" t="s">
        <v>54</v>
      </c>
      <c r="AC47" s="91" t="s">
        <v>55</v>
      </c>
      <c r="AD47" s="91" t="s">
        <v>56</v>
      </c>
      <c r="AE47" s="91" t="s">
        <v>57</v>
      </c>
      <c r="AF47" s="91" t="s">
        <v>58</v>
      </c>
      <c r="AG47" s="91" t="s">
        <v>59</v>
      </c>
      <c r="AH47" s="91" t="s">
        <v>60</v>
      </c>
      <c r="AI47" s="91" t="s">
        <v>61</v>
      </c>
      <c r="AJ47" s="91" t="s">
        <v>62</v>
      </c>
      <c r="AK47" s="91" t="s">
        <v>63</v>
      </c>
      <c r="AL47" s="91" t="s">
        <v>64</v>
      </c>
      <c r="AM47" s="91" t="s">
        <v>65</v>
      </c>
      <c r="AN47" s="91" t="s">
        <v>66</v>
      </c>
      <c r="AO47" s="91" t="s">
        <v>67</v>
      </c>
      <c r="AP47" s="91" t="s">
        <v>68</v>
      </c>
      <c r="AQ47" s="91" t="s">
        <v>69</v>
      </c>
      <c r="AR47" s="91" t="s">
        <v>70</v>
      </c>
      <c r="AS47" s="91" t="s">
        <v>71</v>
      </c>
    </row>
    <row r="48" spans="1:45" x14ac:dyDescent="0.3">
      <c r="A48" s="91" t="s">
        <v>77</v>
      </c>
      <c r="B48" s="92">
        <f>$G$4*B16/(100*$D$12)</f>
        <v>0</v>
      </c>
      <c r="C48" s="92">
        <f>$G$4*C16/(100*$D$12)</f>
        <v>0</v>
      </c>
      <c r="D48" s="92">
        <f t="shared" ref="C48:V49" si="28">$G$4*D16/(100*$D$12)</f>
        <v>0</v>
      </c>
      <c r="E48" s="92">
        <f t="shared" si="28"/>
        <v>0</v>
      </c>
      <c r="F48" s="92">
        <f t="shared" si="28"/>
        <v>0</v>
      </c>
      <c r="G48" s="92">
        <f t="shared" si="28"/>
        <v>0</v>
      </c>
      <c r="H48" s="92">
        <f t="shared" si="28"/>
        <v>0</v>
      </c>
      <c r="I48" s="92">
        <f t="shared" si="28"/>
        <v>0</v>
      </c>
      <c r="J48" s="92">
        <f t="shared" si="28"/>
        <v>0</v>
      </c>
      <c r="K48" s="92">
        <f t="shared" si="28"/>
        <v>0</v>
      </c>
      <c r="L48" s="92">
        <f t="shared" si="28"/>
        <v>0</v>
      </c>
      <c r="M48" s="92">
        <f t="shared" si="28"/>
        <v>0</v>
      </c>
      <c r="N48" s="92">
        <f t="shared" si="28"/>
        <v>0</v>
      </c>
      <c r="O48" s="92">
        <f t="shared" si="28"/>
        <v>0</v>
      </c>
      <c r="P48" s="92">
        <f t="shared" si="28"/>
        <v>0</v>
      </c>
      <c r="Q48" s="92">
        <f t="shared" si="28"/>
        <v>0</v>
      </c>
      <c r="R48" s="92">
        <f t="shared" si="28"/>
        <v>0</v>
      </c>
      <c r="S48" s="92">
        <f t="shared" si="28"/>
        <v>0</v>
      </c>
      <c r="T48" s="92">
        <f t="shared" si="28"/>
        <v>0</v>
      </c>
      <c r="U48" s="92">
        <f t="shared" si="28"/>
        <v>0</v>
      </c>
      <c r="V48" s="92">
        <f>$G$4*V16/(100*$D$12)</f>
        <v>0</v>
      </c>
      <c r="X48" s="91" t="s">
        <v>77</v>
      </c>
      <c r="Y48" s="92">
        <v>0</v>
      </c>
      <c r="Z48" s="92">
        <v>0</v>
      </c>
      <c r="AA48" s="92">
        <v>0</v>
      </c>
      <c r="AB48" s="92">
        <v>0</v>
      </c>
      <c r="AC48" s="92">
        <v>0</v>
      </c>
      <c r="AD48" s="92">
        <v>0</v>
      </c>
      <c r="AE48" s="92">
        <v>0</v>
      </c>
      <c r="AF48" s="92">
        <v>0</v>
      </c>
      <c r="AG48" s="92">
        <v>0</v>
      </c>
      <c r="AH48" s="92">
        <v>0</v>
      </c>
      <c r="AI48" s="92">
        <v>0</v>
      </c>
      <c r="AJ48" s="92">
        <v>0</v>
      </c>
      <c r="AK48" s="92">
        <v>0</v>
      </c>
      <c r="AL48" s="92">
        <v>0</v>
      </c>
      <c r="AM48" s="92">
        <v>0</v>
      </c>
      <c r="AN48" s="92">
        <v>0</v>
      </c>
      <c r="AO48" s="92">
        <v>0</v>
      </c>
      <c r="AP48" s="92">
        <v>0</v>
      </c>
      <c r="AQ48" s="92">
        <v>0</v>
      </c>
      <c r="AR48" s="92">
        <v>0</v>
      </c>
      <c r="AS48" s="92">
        <v>0</v>
      </c>
    </row>
    <row r="49" spans="1:45" x14ac:dyDescent="0.3">
      <c r="A49" s="91" t="s">
        <v>78</v>
      </c>
      <c r="B49" s="92">
        <f>$G$4*B17/(100*$D$12)</f>
        <v>0</v>
      </c>
      <c r="C49" s="92">
        <f t="shared" si="28"/>
        <v>0</v>
      </c>
      <c r="D49" s="92">
        <f t="shared" si="28"/>
        <v>0</v>
      </c>
      <c r="E49" s="92">
        <f t="shared" si="28"/>
        <v>0</v>
      </c>
      <c r="F49" s="92">
        <f t="shared" si="28"/>
        <v>0</v>
      </c>
      <c r="G49" s="92">
        <f t="shared" si="28"/>
        <v>0</v>
      </c>
      <c r="H49" s="92">
        <f t="shared" si="28"/>
        <v>0</v>
      </c>
      <c r="I49" s="92">
        <f t="shared" si="28"/>
        <v>0</v>
      </c>
      <c r="J49" s="92">
        <f t="shared" si="28"/>
        <v>0</v>
      </c>
      <c r="K49" s="92">
        <f t="shared" si="28"/>
        <v>0</v>
      </c>
      <c r="L49" s="92">
        <f t="shared" si="28"/>
        <v>0</v>
      </c>
      <c r="M49" s="92">
        <f t="shared" si="28"/>
        <v>0</v>
      </c>
      <c r="N49" s="92">
        <f t="shared" si="28"/>
        <v>0</v>
      </c>
      <c r="O49" s="92">
        <f t="shared" si="28"/>
        <v>0</v>
      </c>
      <c r="P49" s="92">
        <f t="shared" si="28"/>
        <v>0</v>
      </c>
      <c r="Q49" s="92">
        <f t="shared" si="28"/>
        <v>0</v>
      </c>
      <c r="R49" s="92">
        <f t="shared" si="28"/>
        <v>0</v>
      </c>
      <c r="S49" s="92">
        <f t="shared" si="28"/>
        <v>0</v>
      </c>
      <c r="T49" s="92">
        <f t="shared" si="28"/>
        <v>0</v>
      </c>
      <c r="U49" s="92">
        <f>$G$4*U17/(100*$D$12)</f>
        <v>0</v>
      </c>
      <c r="V49" s="92">
        <f t="shared" si="28"/>
        <v>0</v>
      </c>
      <c r="X49" s="91" t="s">
        <v>78</v>
      </c>
      <c r="Y49" s="92">
        <v>0</v>
      </c>
      <c r="Z49" s="92">
        <v>0</v>
      </c>
      <c r="AA49" s="92">
        <v>0</v>
      </c>
      <c r="AB49" s="92">
        <v>0</v>
      </c>
      <c r="AC49" s="92">
        <v>0</v>
      </c>
      <c r="AD49" s="92">
        <v>0</v>
      </c>
      <c r="AE49" s="92">
        <v>0</v>
      </c>
      <c r="AF49" s="92">
        <v>0</v>
      </c>
      <c r="AG49" s="92">
        <v>0</v>
      </c>
      <c r="AH49" s="92">
        <v>0</v>
      </c>
      <c r="AI49" s="92">
        <v>0</v>
      </c>
      <c r="AJ49" s="92">
        <v>0</v>
      </c>
      <c r="AK49" s="92">
        <v>0</v>
      </c>
      <c r="AL49" s="92">
        <v>0</v>
      </c>
      <c r="AM49" s="92">
        <v>0</v>
      </c>
      <c r="AN49" s="92">
        <v>0</v>
      </c>
      <c r="AO49" s="92">
        <v>0</v>
      </c>
      <c r="AP49" s="92">
        <v>0</v>
      </c>
      <c r="AQ49" s="92">
        <v>0</v>
      </c>
      <c r="AR49" s="92">
        <v>0</v>
      </c>
      <c r="AS49" s="92">
        <v>0</v>
      </c>
    </row>
    <row r="50" spans="1:45" x14ac:dyDescent="0.3">
      <c r="A50" s="90" t="s">
        <v>83</v>
      </c>
      <c r="X50" s="90" t="s">
        <v>83</v>
      </c>
      <c r="Y50" s="92"/>
      <c r="Z50" s="92"/>
      <c r="AA50" s="92"/>
      <c r="AB50" s="92"/>
      <c r="AC50" s="92"/>
      <c r="AD50" s="92"/>
      <c r="AE50" s="92"/>
      <c r="AF50" s="92"/>
      <c r="AG50" s="92"/>
      <c r="AH50" s="92"/>
      <c r="AI50" s="92"/>
      <c r="AJ50" s="92"/>
      <c r="AK50" s="92"/>
      <c r="AL50" s="92"/>
      <c r="AM50" s="92"/>
      <c r="AN50" s="92"/>
      <c r="AO50" s="92"/>
      <c r="AP50" s="92"/>
      <c r="AQ50" s="92"/>
      <c r="AR50" s="92"/>
      <c r="AS50" s="92"/>
    </row>
    <row r="51" spans="1:45" x14ac:dyDescent="0.3">
      <c r="A51" s="91" t="s">
        <v>77</v>
      </c>
      <c r="B51" s="92">
        <f>$G$5*B16/(100*$D$12)</f>
        <v>0</v>
      </c>
      <c r="C51" s="92">
        <f t="shared" ref="C51:V52" si="29">$G$5*C16/(100*$D$12)</f>
        <v>0</v>
      </c>
      <c r="D51" s="92">
        <f t="shared" si="29"/>
        <v>0</v>
      </c>
      <c r="E51" s="92">
        <f t="shared" si="29"/>
        <v>0</v>
      </c>
      <c r="F51" s="92">
        <f t="shared" si="29"/>
        <v>0</v>
      </c>
      <c r="G51" s="92">
        <f t="shared" si="29"/>
        <v>0</v>
      </c>
      <c r="H51" s="92">
        <f t="shared" si="29"/>
        <v>0</v>
      </c>
      <c r="I51" s="92">
        <f t="shared" si="29"/>
        <v>0</v>
      </c>
      <c r="J51" s="92">
        <f t="shared" si="29"/>
        <v>0</v>
      </c>
      <c r="K51" s="92">
        <f t="shared" si="29"/>
        <v>0</v>
      </c>
      <c r="L51" s="92">
        <f t="shared" si="29"/>
        <v>0</v>
      </c>
      <c r="M51" s="92">
        <f t="shared" si="29"/>
        <v>0</v>
      </c>
      <c r="N51" s="92">
        <f t="shared" si="29"/>
        <v>0</v>
      </c>
      <c r="O51" s="92">
        <f t="shared" si="29"/>
        <v>0</v>
      </c>
      <c r="P51" s="92">
        <f t="shared" si="29"/>
        <v>0</v>
      </c>
      <c r="Q51" s="92">
        <f t="shared" si="29"/>
        <v>0</v>
      </c>
      <c r="R51" s="92">
        <f t="shared" si="29"/>
        <v>0</v>
      </c>
      <c r="S51" s="92">
        <f t="shared" si="29"/>
        <v>0</v>
      </c>
      <c r="T51" s="92">
        <f t="shared" si="29"/>
        <v>0</v>
      </c>
      <c r="U51" s="92">
        <f t="shared" si="29"/>
        <v>0</v>
      </c>
      <c r="V51" s="92">
        <f t="shared" si="29"/>
        <v>0</v>
      </c>
      <c r="X51" s="91" t="s">
        <v>77</v>
      </c>
      <c r="Y51" s="92">
        <v>0</v>
      </c>
      <c r="Z51" s="92">
        <v>0</v>
      </c>
      <c r="AA51" s="92">
        <v>0</v>
      </c>
      <c r="AB51" s="92">
        <v>0</v>
      </c>
      <c r="AC51" s="92">
        <v>0</v>
      </c>
      <c r="AD51" s="92">
        <v>0</v>
      </c>
      <c r="AE51" s="92">
        <v>0</v>
      </c>
      <c r="AF51" s="92">
        <v>0</v>
      </c>
      <c r="AG51" s="92">
        <v>0</v>
      </c>
      <c r="AH51" s="92">
        <v>0</v>
      </c>
      <c r="AI51" s="92">
        <v>0</v>
      </c>
      <c r="AJ51" s="92">
        <v>0</v>
      </c>
      <c r="AK51" s="92">
        <v>0</v>
      </c>
      <c r="AL51" s="92">
        <v>0</v>
      </c>
      <c r="AM51" s="92">
        <v>0</v>
      </c>
      <c r="AN51" s="92">
        <v>0</v>
      </c>
      <c r="AO51" s="92">
        <v>0</v>
      </c>
      <c r="AP51" s="92">
        <v>0</v>
      </c>
      <c r="AQ51" s="92">
        <v>0</v>
      </c>
      <c r="AR51" s="92">
        <v>0</v>
      </c>
      <c r="AS51" s="92">
        <v>0</v>
      </c>
    </row>
    <row r="52" spans="1:45" x14ac:dyDescent="0.3">
      <c r="A52" s="91" t="s">
        <v>78</v>
      </c>
      <c r="B52" s="92">
        <f>$G$5*B17/(100*$D$12)</f>
        <v>0</v>
      </c>
      <c r="C52" s="92">
        <f t="shared" si="29"/>
        <v>0</v>
      </c>
      <c r="D52" s="92">
        <f t="shared" si="29"/>
        <v>0</v>
      </c>
      <c r="E52" s="92">
        <f t="shared" si="29"/>
        <v>0</v>
      </c>
      <c r="F52" s="92">
        <f t="shared" si="29"/>
        <v>0</v>
      </c>
      <c r="G52" s="92">
        <f t="shared" si="29"/>
        <v>0</v>
      </c>
      <c r="H52" s="92">
        <f t="shared" si="29"/>
        <v>0</v>
      </c>
      <c r="I52" s="92">
        <f t="shared" si="29"/>
        <v>0</v>
      </c>
      <c r="J52" s="92">
        <f t="shared" si="29"/>
        <v>0</v>
      </c>
      <c r="K52" s="92">
        <f t="shared" si="29"/>
        <v>0</v>
      </c>
      <c r="L52" s="92">
        <f t="shared" si="29"/>
        <v>0</v>
      </c>
      <c r="M52" s="92">
        <f t="shared" si="29"/>
        <v>0</v>
      </c>
      <c r="N52" s="92">
        <f t="shared" si="29"/>
        <v>0</v>
      </c>
      <c r="O52" s="92">
        <f t="shared" si="29"/>
        <v>0</v>
      </c>
      <c r="P52" s="92">
        <f t="shared" si="29"/>
        <v>0</v>
      </c>
      <c r="Q52" s="92">
        <f t="shared" si="29"/>
        <v>0</v>
      </c>
      <c r="R52" s="92">
        <f t="shared" si="29"/>
        <v>0</v>
      </c>
      <c r="S52" s="92">
        <f t="shared" si="29"/>
        <v>0</v>
      </c>
      <c r="T52" s="92">
        <f t="shared" si="29"/>
        <v>0</v>
      </c>
      <c r="U52" s="92">
        <f t="shared" si="29"/>
        <v>0</v>
      </c>
      <c r="V52" s="92">
        <f t="shared" si="29"/>
        <v>0</v>
      </c>
      <c r="X52" s="91" t="s">
        <v>78</v>
      </c>
      <c r="Y52" s="92">
        <v>0</v>
      </c>
      <c r="Z52" s="92">
        <v>0</v>
      </c>
      <c r="AA52" s="92">
        <v>0</v>
      </c>
      <c r="AB52" s="92">
        <v>0</v>
      </c>
      <c r="AC52" s="92">
        <v>0</v>
      </c>
      <c r="AD52" s="92">
        <v>0</v>
      </c>
      <c r="AE52" s="92">
        <v>0</v>
      </c>
      <c r="AF52" s="92">
        <v>0</v>
      </c>
      <c r="AG52" s="92">
        <v>0</v>
      </c>
      <c r="AH52" s="92">
        <v>0</v>
      </c>
      <c r="AI52" s="92">
        <v>0</v>
      </c>
      <c r="AJ52" s="92">
        <v>0</v>
      </c>
      <c r="AK52" s="92">
        <v>0</v>
      </c>
      <c r="AL52" s="92">
        <v>0</v>
      </c>
      <c r="AM52" s="92">
        <v>0</v>
      </c>
      <c r="AN52" s="92">
        <v>0</v>
      </c>
      <c r="AO52" s="92">
        <v>0</v>
      </c>
      <c r="AP52" s="92">
        <v>0</v>
      </c>
      <c r="AQ52" s="92">
        <v>0</v>
      </c>
      <c r="AR52" s="92">
        <v>0</v>
      </c>
      <c r="AS52" s="92">
        <v>0</v>
      </c>
    </row>
    <row r="53" spans="1:45" x14ac:dyDescent="0.3">
      <c r="A53" s="90" t="s">
        <v>6</v>
      </c>
      <c r="X53" s="90" t="s">
        <v>6</v>
      </c>
      <c r="Y53" s="92"/>
      <c r="Z53" s="92"/>
      <c r="AA53" s="92"/>
      <c r="AB53" s="92"/>
      <c r="AC53" s="92"/>
      <c r="AD53" s="92"/>
      <c r="AE53" s="92"/>
      <c r="AF53" s="92"/>
      <c r="AG53" s="92"/>
      <c r="AH53" s="92"/>
      <c r="AI53" s="92"/>
      <c r="AJ53" s="92"/>
      <c r="AK53" s="92"/>
      <c r="AL53" s="92"/>
      <c r="AM53" s="92"/>
      <c r="AN53" s="92"/>
      <c r="AO53" s="92"/>
      <c r="AP53" s="92"/>
      <c r="AQ53" s="92"/>
      <c r="AR53" s="92"/>
      <c r="AS53" s="92"/>
    </row>
    <row r="54" spans="1:45" x14ac:dyDescent="0.3">
      <c r="A54" s="91" t="s">
        <v>77</v>
      </c>
      <c r="B54" s="92">
        <f>$G$6*B16/(100*$D$12)</f>
        <v>4.2890049140049041E-2</v>
      </c>
      <c r="C54" s="92">
        <f t="shared" ref="C54:V55" si="30">$G$6*C16/(100*$D$12)</f>
        <v>5.417690417690417E-2</v>
      </c>
      <c r="D54" s="92">
        <f t="shared" si="30"/>
        <v>7.1784398034398025E-2</v>
      </c>
      <c r="E54" s="92">
        <f t="shared" si="30"/>
        <v>9.3455159705159704E-2</v>
      </c>
      <c r="F54" s="92">
        <f t="shared" si="30"/>
        <v>9.4809582309582294E-2</v>
      </c>
      <c r="G54" s="92">
        <f t="shared" si="30"/>
        <v>8.8037469287469278E-2</v>
      </c>
      <c r="H54" s="92">
        <f t="shared" si="30"/>
        <v>8.8037469287469278E-2</v>
      </c>
      <c r="I54" s="92">
        <f t="shared" si="30"/>
        <v>8.8037469287469278E-2</v>
      </c>
      <c r="J54" s="92">
        <f t="shared" si="30"/>
        <v>8.8037469287469278E-2</v>
      </c>
      <c r="K54" s="92">
        <f t="shared" si="30"/>
        <v>8.1265356265356248E-2</v>
      </c>
      <c r="L54" s="92">
        <f t="shared" si="30"/>
        <v>8.1265356265356248E-2</v>
      </c>
      <c r="M54" s="92">
        <f t="shared" si="30"/>
        <v>8.1265356265356248E-2</v>
      </c>
      <c r="N54" s="92">
        <f t="shared" si="30"/>
        <v>8.1265356265356248E-2</v>
      </c>
      <c r="O54" s="92">
        <f t="shared" si="30"/>
        <v>7.4493243243243232E-2</v>
      </c>
      <c r="P54" s="92">
        <f t="shared" si="30"/>
        <v>7.4493243243243232E-2</v>
      </c>
      <c r="Q54" s="92">
        <f t="shared" si="30"/>
        <v>7.4493243243243232E-2</v>
      </c>
      <c r="R54" s="92">
        <f t="shared" si="30"/>
        <v>7.4493243243243232E-2</v>
      </c>
      <c r="S54" s="92">
        <f t="shared" si="30"/>
        <v>7.4493243243243232E-2</v>
      </c>
      <c r="T54" s="92">
        <f t="shared" si="30"/>
        <v>7.4493243243243232E-2</v>
      </c>
      <c r="U54" s="92">
        <f t="shared" si="30"/>
        <v>7.4493243243243232E-2</v>
      </c>
      <c r="V54" s="92">
        <f t="shared" si="30"/>
        <v>7.4493243243243232E-2</v>
      </c>
      <c r="X54" s="91" t="s">
        <v>77</v>
      </c>
      <c r="Y54" s="92">
        <v>0</v>
      </c>
      <c r="Z54" s="92">
        <v>0</v>
      </c>
      <c r="AA54" s="92">
        <v>0</v>
      </c>
      <c r="AB54" s="92">
        <v>0</v>
      </c>
      <c r="AC54" s="92">
        <v>0</v>
      </c>
      <c r="AD54" s="92">
        <v>0</v>
      </c>
      <c r="AE54" s="92">
        <v>0</v>
      </c>
      <c r="AF54" s="92">
        <v>0</v>
      </c>
      <c r="AG54" s="92">
        <v>0</v>
      </c>
      <c r="AH54" s="92">
        <v>0</v>
      </c>
      <c r="AI54" s="92">
        <v>0</v>
      </c>
      <c r="AJ54" s="92">
        <v>0</v>
      </c>
      <c r="AK54" s="92">
        <v>0</v>
      </c>
      <c r="AL54" s="92">
        <v>0</v>
      </c>
      <c r="AM54" s="92">
        <v>0</v>
      </c>
      <c r="AN54" s="92">
        <v>0</v>
      </c>
      <c r="AO54" s="92">
        <v>0</v>
      </c>
      <c r="AP54" s="92">
        <v>0</v>
      </c>
      <c r="AQ54" s="92">
        <v>0</v>
      </c>
      <c r="AR54" s="92">
        <v>0</v>
      </c>
      <c r="AS54" s="92">
        <v>0</v>
      </c>
    </row>
    <row r="55" spans="1:45" x14ac:dyDescent="0.3">
      <c r="A55" s="91" t="s">
        <v>78</v>
      </c>
      <c r="B55" s="92">
        <f>$G$6*B17/(100*$D$12)</f>
        <v>4.0632678132678124E-2</v>
      </c>
      <c r="C55" s="92">
        <f t="shared" si="30"/>
        <v>5.1468058968058963E-2</v>
      </c>
      <c r="D55" s="92">
        <f t="shared" si="30"/>
        <v>6.5012285012285009E-2</v>
      </c>
      <c r="E55" s="92">
        <f t="shared" si="30"/>
        <v>6.9075552825552833E-2</v>
      </c>
      <c r="F55" s="92">
        <f t="shared" si="30"/>
        <v>7.4493243243243232E-2</v>
      </c>
      <c r="G55" s="92">
        <f t="shared" si="30"/>
        <v>6.7721130221130216E-2</v>
      </c>
      <c r="H55" s="92">
        <f t="shared" si="30"/>
        <v>6.7721130221130216E-2</v>
      </c>
      <c r="I55" s="92">
        <f t="shared" si="30"/>
        <v>6.7721130221130216E-2</v>
      </c>
      <c r="J55" s="92">
        <f t="shared" si="30"/>
        <v>6.7721130221130216E-2</v>
      </c>
      <c r="K55" s="92">
        <f t="shared" si="30"/>
        <v>6.7721130221130216E-2</v>
      </c>
      <c r="L55" s="92">
        <f t="shared" si="30"/>
        <v>6.0949017199017193E-2</v>
      </c>
      <c r="M55" s="92">
        <f t="shared" si="30"/>
        <v>6.0949017199017193E-2</v>
      </c>
      <c r="N55" s="92">
        <f t="shared" si="30"/>
        <v>6.0949017199017193E-2</v>
      </c>
      <c r="O55" s="92">
        <f t="shared" si="30"/>
        <v>6.0949017199017193E-2</v>
      </c>
      <c r="P55" s="92">
        <f t="shared" si="30"/>
        <v>6.0949017199017193E-2</v>
      </c>
      <c r="Q55" s="92">
        <f t="shared" si="30"/>
        <v>6.0949017199017193E-2</v>
      </c>
      <c r="R55" s="92">
        <f t="shared" si="30"/>
        <v>6.0949017199017193E-2</v>
      </c>
      <c r="S55" s="92">
        <f t="shared" si="30"/>
        <v>6.0949017199017193E-2</v>
      </c>
      <c r="T55" s="92">
        <f t="shared" si="30"/>
        <v>6.0949017199017193E-2</v>
      </c>
      <c r="U55" s="92">
        <f t="shared" si="30"/>
        <v>6.0949017199017193E-2</v>
      </c>
      <c r="V55" s="92">
        <f t="shared" si="30"/>
        <v>6.0949017199017193E-2</v>
      </c>
      <c r="X55" s="91" t="s">
        <v>78</v>
      </c>
      <c r="Y55" s="92">
        <v>0</v>
      </c>
      <c r="Z55" s="92">
        <v>0</v>
      </c>
      <c r="AA55" s="92">
        <v>0</v>
      </c>
      <c r="AB55" s="92">
        <v>0</v>
      </c>
      <c r="AC55" s="92">
        <v>0</v>
      </c>
      <c r="AD55" s="92">
        <v>0</v>
      </c>
      <c r="AE55" s="92">
        <v>0</v>
      </c>
      <c r="AF55" s="92">
        <v>0</v>
      </c>
      <c r="AG55" s="92">
        <v>0</v>
      </c>
      <c r="AH55" s="92">
        <v>0</v>
      </c>
      <c r="AI55" s="92">
        <v>0</v>
      </c>
      <c r="AJ55" s="92">
        <v>0</v>
      </c>
      <c r="AK55" s="92">
        <v>0</v>
      </c>
      <c r="AL55" s="92">
        <v>0</v>
      </c>
      <c r="AM55" s="92">
        <v>0</v>
      </c>
      <c r="AN55" s="92">
        <v>0</v>
      </c>
      <c r="AO55" s="92">
        <v>0</v>
      </c>
      <c r="AP55" s="92">
        <v>0</v>
      </c>
      <c r="AQ55" s="92">
        <v>0</v>
      </c>
      <c r="AR55" s="92">
        <v>0</v>
      </c>
      <c r="AS55" s="92">
        <v>0</v>
      </c>
    </row>
    <row r="56" spans="1:45" x14ac:dyDescent="0.3">
      <c r="A56" s="90" t="s">
        <v>7</v>
      </c>
      <c r="B56" s="92"/>
      <c r="C56" s="92"/>
      <c r="D56" s="92"/>
      <c r="E56" s="92"/>
      <c r="F56" s="92"/>
      <c r="G56" s="92"/>
      <c r="H56" s="92"/>
      <c r="I56" s="92"/>
      <c r="J56" s="92"/>
      <c r="K56" s="92"/>
      <c r="L56" s="92"/>
      <c r="M56" s="92"/>
      <c r="N56" s="92"/>
      <c r="O56" s="92"/>
      <c r="P56" s="92"/>
      <c r="Q56" s="92"/>
      <c r="R56" s="92"/>
      <c r="S56" s="92"/>
      <c r="T56" s="92"/>
      <c r="U56" s="92"/>
      <c r="V56" s="92"/>
      <c r="X56" s="90" t="s">
        <v>7</v>
      </c>
      <c r="Y56" s="92"/>
      <c r="Z56" s="92"/>
      <c r="AA56" s="92"/>
      <c r="AB56" s="92"/>
      <c r="AC56" s="92"/>
      <c r="AD56" s="92"/>
      <c r="AE56" s="92"/>
      <c r="AF56" s="92"/>
      <c r="AG56" s="92"/>
      <c r="AH56" s="92"/>
      <c r="AI56" s="92"/>
      <c r="AJ56" s="92"/>
      <c r="AK56" s="92"/>
      <c r="AL56" s="92"/>
      <c r="AM56" s="92"/>
      <c r="AN56" s="92"/>
      <c r="AO56" s="92"/>
      <c r="AP56" s="92"/>
      <c r="AQ56" s="92"/>
      <c r="AR56" s="92"/>
      <c r="AS56" s="92"/>
    </row>
    <row r="57" spans="1:45" x14ac:dyDescent="0.3">
      <c r="A57" s="91" t="s">
        <v>77</v>
      </c>
      <c r="B57" s="92">
        <f>$G$7*B16/(100*$D$12)</f>
        <v>1.2254299754299727E-2</v>
      </c>
      <c r="C57" s="92">
        <f t="shared" ref="C57:V58" si="31">$G$7*C16/(100*$D$12)</f>
        <v>1.5479115479115476E-2</v>
      </c>
      <c r="D57" s="92">
        <f t="shared" si="31"/>
        <v>2.0509828009828007E-2</v>
      </c>
      <c r="E57" s="92">
        <f t="shared" si="31"/>
        <v>2.6701474201474198E-2</v>
      </c>
      <c r="F57" s="92">
        <f t="shared" si="31"/>
        <v>2.7088452088452085E-2</v>
      </c>
      <c r="G57" s="92">
        <f t="shared" si="31"/>
        <v>2.5153562653562649E-2</v>
      </c>
      <c r="H57" s="92">
        <f t="shared" si="31"/>
        <v>2.5153562653562649E-2</v>
      </c>
      <c r="I57" s="92">
        <f t="shared" si="31"/>
        <v>2.5153562653562649E-2</v>
      </c>
      <c r="J57" s="92">
        <f t="shared" si="31"/>
        <v>2.5153562653562649E-2</v>
      </c>
      <c r="K57" s="92">
        <f t="shared" si="31"/>
        <v>2.3218673218673217E-2</v>
      </c>
      <c r="L57" s="92">
        <f t="shared" si="31"/>
        <v>2.3218673218673217E-2</v>
      </c>
      <c r="M57" s="92">
        <f t="shared" si="31"/>
        <v>2.3218673218673217E-2</v>
      </c>
      <c r="N57" s="92">
        <f t="shared" si="31"/>
        <v>2.3218673218673217E-2</v>
      </c>
      <c r="O57" s="92">
        <f t="shared" si="31"/>
        <v>2.1283783783783781E-2</v>
      </c>
      <c r="P57" s="92">
        <f t="shared" si="31"/>
        <v>2.1283783783783781E-2</v>
      </c>
      <c r="Q57" s="92">
        <f t="shared" si="31"/>
        <v>2.1283783783783781E-2</v>
      </c>
      <c r="R57" s="92">
        <f t="shared" si="31"/>
        <v>2.1283783783783781E-2</v>
      </c>
      <c r="S57" s="92">
        <f t="shared" si="31"/>
        <v>2.1283783783783781E-2</v>
      </c>
      <c r="T57" s="92">
        <f t="shared" si="31"/>
        <v>2.1283783783783781E-2</v>
      </c>
      <c r="U57" s="92">
        <f t="shared" si="31"/>
        <v>2.1283783783783781E-2</v>
      </c>
      <c r="V57" s="92">
        <f t="shared" si="31"/>
        <v>2.1283783783783781E-2</v>
      </c>
      <c r="X57" s="91" t="s">
        <v>77</v>
      </c>
      <c r="Y57" s="92">
        <v>0</v>
      </c>
      <c r="Z57" s="92">
        <v>0</v>
      </c>
      <c r="AA57" s="92">
        <v>0</v>
      </c>
      <c r="AB57" s="92">
        <v>0</v>
      </c>
      <c r="AC57" s="92">
        <v>0</v>
      </c>
      <c r="AD57" s="92">
        <v>0</v>
      </c>
      <c r="AE57" s="92">
        <v>0</v>
      </c>
      <c r="AF57" s="92">
        <v>0</v>
      </c>
      <c r="AG57" s="92">
        <v>0</v>
      </c>
      <c r="AH57" s="92">
        <v>0</v>
      </c>
      <c r="AI57" s="92">
        <v>0</v>
      </c>
      <c r="AJ57" s="92">
        <v>0</v>
      </c>
      <c r="AK57" s="92">
        <v>0</v>
      </c>
      <c r="AL57" s="92">
        <v>0</v>
      </c>
      <c r="AM57" s="92">
        <v>0</v>
      </c>
      <c r="AN57" s="92">
        <v>0</v>
      </c>
      <c r="AO57" s="92">
        <v>0</v>
      </c>
      <c r="AP57" s="92">
        <v>0</v>
      </c>
      <c r="AQ57" s="92">
        <v>0</v>
      </c>
      <c r="AR57" s="92">
        <v>0</v>
      </c>
      <c r="AS57" s="92">
        <v>0</v>
      </c>
    </row>
    <row r="58" spans="1:45" x14ac:dyDescent="0.3">
      <c r="A58" s="91" t="s">
        <v>78</v>
      </c>
      <c r="B58" s="92">
        <f>$G$7*B17/(100*$D$12)</f>
        <v>1.1609336609336609E-2</v>
      </c>
      <c r="C58" s="92">
        <f t="shared" si="31"/>
        <v>1.4705159705159704E-2</v>
      </c>
      <c r="D58" s="92">
        <f t="shared" si="31"/>
        <v>1.8574938574938575E-2</v>
      </c>
      <c r="E58" s="92">
        <f t="shared" si="31"/>
        <v>1.9735872235872236E-2</v>
      </c>
      <c r="F58" s="92">
        <f t="shared" si="31"/>
        <v>2.1283783783783781E-2</v>
      </c>
      <c r="G58" s="92">
        <f t="shared" si="31"/>
        <v>1.9348894348894346E-2</v>
      </c>
      <c r="H58" s="92">
        <f t="shared" si="31"/>
        <v>1.9348894348894346E-2</v>
      </c>
      <c r="I58" s="92">
        <f t="shared" si="31"/>
        <v>1.9348894348894346E-2</v>
      </c>
      <c r="J58" s="92">
        <f t="shared" si="31"/>
        <v>1.9348894348894346E-2</v>
      </c>
      <c r="K58" s="92">
        <f t="shared" si="31"/>
        <v>1.9348894348894346E-2</v>
      </c>
      <c r="L58" s="92">
        <f t="shared" si="31"/>
        <v>1.741400491400491E-2</v>
      </c>
      <c r="M58" s="92">
        <f t="shared" si="31"/>
        <v>1.741400491400491E-2</v>
      </c>
      <c r="N58" s="92">
        <f t="shared" si="31"/>
        <v>1.741400491400491E-2</v>
      </c>
      <c r="O58" s="92">
        <f t="shared" si="31"/>
        <v>1.741400491400491E-2</v>
      </c>
      <c r="P58" s="92">
        <f t="shared" si="31"/>
        <v>1.741400491400491E-2</v>
      </c>
      <c r="Q58" s="92">
        <f t="shared" si="31"/>
        <v>1.741400491400491E-2</v>
      </c>
      <c r="R58" s="92">
        <f t="shared" si="31"/>
        <v>1.741400491400491E-2</v>
      </c>
      <c r="S58" s="92">
        <f t="shared" si="31"/>
        <v>1.741400491400491E-2</v>
      </c>
      <c r="T58" s="92">
        <f t="shared" si="31"/>
        <v>1.741400491400491E-2</v>
      </c>
      <c r="U58" s="92">
        <f t="shared" si="31"/>
        <v>1.741400491400491E-2</v>
      </c>
      <c r="V58" s="92">
        <f t="shared" si="31"/>
        <v>1.741400491400491E-2</v>
      </c>
      <c r="X58" s="91" t="s">
        <v>78</v>
      </c>
      <c r="Y58" s="92">
        <v>0</v>
      </c>
      <c r="Z58" s="92">
        <v>0</v>
      </c>
      <c r="AA58" s="92">
        <v>0</v>
      </c>
      <c r="AB58" s="92">
        <v>0</v>
      </c>
      <c r="AC58" s="92">
        <v>0</v>
      </c>
      <c r="AD58" s="92">
        <v>0</v>
      </c>
      <c r="AE58" s="92">
        <v>0</v>
      </c>
      <c r="AF58" s="92">
        <v>0</v>
      </c>
      <c r="AG58" s="92">
        <v>0</v>
      </c>
      <c r="AH58" s="92">
        <v>0</v>
      </c>
      <c r="AI58" s="92">
        <v>0</v>
      </c>
      <c r="AJ58" s="92">
        <v>0</v>
      </c>
      <c r="AK58" s="92">
        <v>0</v>
      </c>
      <c r="AL58" s="92">
        <v>0</v>
      </c>
      <c r="AM58" s="92">
        <v>0</v>
      </c>
      <c r="AN58" s="92">
        <v>0</v>
      </c>
      <c r="AO58" s="92">
        <v>0</v>
      </c>
      <c r="AP58" s="92">
        <v>0</v>
      </c>
      <c r="AQ58" s="92">
        <v>0</v>
      </c>
      <c r="AR58" s="92">
        <v>0</v>
      </c>
      <c r="AS58" s="92">
        <v>0</v>
      </c>
    </row>
    <row r="59" spans="1:45" x14ac:dyDescent="0.3">
      <c r="A59" s="90" t="s">
        <v>12</v>
      </c>
      <c r="X59" s="90" t="s">
        <v>12</v>
      </c>
    </row>
    <row r="60" spans="1:45" x14ac:dyDescent="0.3">
      <c r="A60" s="91" t="s">
        <v>77</v>
      </c>
      <c r="B60" s="92">
        <f>$G$8*B16/(100*$D$12)</f>
        <v>2.328316953316948E-2</v>
      </c>
      <c r="C60" s="92">
        <f t="shared" ref="C60:V61" si="32">$G$8*C16/(100*$D$12)</f>
        <v>2.9410319410319404E-2</v>
      </c>
      <c r="D60" s="92">
        <f t="shared" si="32"/>
        <v>3.8968673218673214E-2</v>
      </c>
      <c r="E60" s="92">
        <f t="shared" si="32"/>
        <v>5.0732800982800974E-2</v>
      </c>
      <c r="F60" s="92">
        <f t="shared" si="32"/>
        <v>5.1468058968058956E-2</v>
      </c>
      <c r="G60" s="92">
        <f t="shared" si="32"/>
        <v>4.7791769041769031E-2</v>
      </c>
      <c r="H60" s="92">
        <f t="shared" si="32"/>
        <v>4.7791769041769031E-2</v>
      </c>
      <c r="I60" s="92">
        <f t="shared" si="32"/>
        <v>4.7791769041769031E-2</v>
      </c>
      <c r="J60" s="92">
        <f t="shared" si="32"/>
        <v>4.7791769041769031E-2</v>
      </c>
      <c r="K60" s="92">
        <f t="shared" si="32"/>
        <v>4.4115479115479111E-2</v>
      </c>
      <c r="L60" s="92">
        <f t="shared" si="32"/>
        <v>4.4115479115479111E-2</v>
      </c>
      <c r="M60" s="92">
        <f t="shared" si="32"/>
        <v>4.4115479115479111E-2</v>
      </c>
      <c r="N60" s="92">
        <f t="shared" si="32"/>
        <v>4.4115479115479111E-2</v>
      </c>
      <c r="O60" s="92">
        <f t="shared" si="32"/>
        <v>4.0439189189189186E-2</v>
      </c>
      <c r="P60" s="92">
        <f t="shared" si="32"/>
        <v>4.0439189189189186E-2</v>
      </c>
      <c r="Q60" s="92">
        <f t="shared" si="32"/>
        <v>4.0439189189189186E-2</v>
      </c>
      <c r="R60" s="92">
        <f t="shared" si="32"/>
        <v>4.0439189189189186E-2</v>
      </c>
      <c r="S60" s="92">
        <f t="shared" si="32"/>
        <v>4.0439189189189186E-2</v>
      </c>
      <c r="T60" s="92">
        <f t="shared" si="32"/>
        <v>4.0439189189189186E-2</v>
      </c>
      <c r="U60" s="92">
        <f t="shared" si="32"/>
        <v>4.0439189189189186E-2</v>
      </c>
      <c r="V60" s="92">
        <f t="shared" si="32"/>
        <v>4.0439189189189186E-2</v>
      </c>
      <c r="X60" s="91" t="s">
        <v>77</v>
      </c>
      <c r="Y60" s="92">
        <f>$AB$8*B16/(100*$D$12)</f>
        <v>6.1271498771498636E-2</v>
      </c>
      <c r="Z60" s="92">
        <f t="shared" ref="Z60:AS60" si="33">$AB$8*C16/(100*$D$12)</f>
        <v>7.7395577395577383E-2</v>
      </c>
      <c r="AA60" s="92">
        <f t="shared" si="33"/>
        <v>0.10254914004914002</v>
      </c>
      <c r="AB60" s="92">
        <f t="shared" si="33"/>
        <v>0.13350737100737101</v>
      </c>
      <c r="AC60" s="92">
        <f t="shared" si="33"/>
        <v>0.13544226044226043</v>
      </c>
      <c r="AD60" s="92">
        <f t="shared" si="33"/>
        <v>0.12576781326781325</v>
      </c>
      <c r="AE60" s="92">
        <f t="shared" si="33"/>
        <v>0.12576781326781325</v>
      </c>
      <c r="AF60" s="92">
        <f t="shared" si="33"/>
        <v>0.12576781326781325</v>
      </c>
      <c r="AG60" s="92">
        <f t="shared" si="33"/>
        <v>0.12576781326781325</v>
      </c>
      <c r="AH60" s="92">
        <f t="shared" si="33"/>
        <v>0.11609336609336608</v>
      </c>
      <c r="AI60" s="92">
        <f t="shared" si="33"/>
        <v>0.11609336609336608</v>
      </c>
      <c r="AJ60" s="92">
        <f t="shared" si="33"/>
        <v>0.11609336609336608</v>
      </c>
      <c r="AK60" s="92">
        <f t="shared" si="33"/>
        <v>0.11609336609336608</v>
      </c>
      <c r="AL60" s="92">
        <f t="shared" si="33"/>
        <v>0.10641891891891891</v>
      </c>
      <c r="AM60" s="92">
        <f t="shared" si="33"/>
        <v>0.10641891891891891</v>
      </c>
      <c r="AN60" s="92">
        <f t="shared" si="33"/>
        <v>0.10641891891891891</v>
      </c>
      <c r="AO60" s="92">
        <f t="shared" si="33"/>
        <v>0.10641891891891891</v>
      </c>
      <c r="AP60" s="92">
        <f t="shared" si="33"/>
        <v>0.10641891891891891</v>
      </c>
      <c r="AQ60" s="92">
        <f t="shared" si="33"/>
        <v>0.10641891891891891</v>
      </c>
      <c r="AR60" s="92">
        <f t="shared" si="33"/>
        <v>0.10641891891891891</v>
      </c>
      <c r="AS60" s="92">
        <f t="shared" si="33"/>
        <v>0.10641891891891891</v>
      </c>
    </row>
    <row r="61" spans="1:45" x14ac:dyDescent="0.3">
      <c r="A61" s="91" t="s">
        <v>78</v>
      </c>
      <c r="B61" s="92">
        <f>$G$8*B17/(100*$D$12)</f>
        <v>2.2057739557739556E-2</v>
      </c>
      <c r="C61" s="92">
        <f t="shared" si="32"/>
        <v>2.7939803439803439E-2</v>
      </c>
      <c r="D61" s="92">
        <f t="shared" si="32"/>
        <v>3.5292383292383288E-2</v>
      </c>
      <c r="E61" s="92">
        <f t="shared" si="32"/>
        <v>3.7498157248157242E-2</v>
      </c>
      <c r="F61" s="92">
        <f t="shared" si="32"/>
        <v>4.0439189189189186E-2</v>
      </c>
      <c r="G61" s="92">
        <f t="shared" si="32"/>
        <v>3.676289926289926E-2</v>
      </c>
      <c r="H61" s="92">
        <f t="shared" si="32"/>
        <v>3.676289926289926E-2</v>
      </c>
      <c r="I61" s="92">
        <f t="shared" si="32"/>
        <v>3.676289926289926E-2</v>
      </c>
      <c r="J61" s="92">
        <f t="shared" si="32"/>
        <v>3.676289926289926E-2</v>
      </c>
      <c r="K61" s="92">
        <f t="shared" si="32"/>
        <v>3.676289926289926E-2</v>
      </c>
      <c r="L61" s="92">
        <f t="shared" si="32"/>
        <v>3.3086609336609334E-2</v>
      </c>
      <c r="M61" s="92">
        <f t="shared" si="32"/>
        <v>3.3086609336609334E-2</v>
      </c>
      <c r="N61" s="92">
        <f t="shared" si="32"/>
        <v>3.3086609336609334E-2</v>
      </c>
      <c r="O61" s="92">
        <f t="shared" si="32"/>
        <v>3.3086609336609334E-2</v>
      </c>
      <c r="P61" s="92">
        <f t="shared" si="32"/>
        <v>3.3086609336609334E-2</v>
      </c>
      <c r="Q61" s="92">
        <f t="shared" si="32"/>
        <v>3.3086609336609334E-2</v>
      </c>
      <c r="R61" s="92">
        <f t="shared" si="32"/>
        <v>3.3086609336609334E-2</v>
      </c>
      <c r="S61" s="92">
        <f t="shared" si="32"/>
        <v>3.3086609336609334E-2</v>
      </c>
      <c r="T61" s="92">
        <f t="shared" si="32"/>
        <v>3.3086609336609334E-2</v>
      </c>
      <c r="U61" s="92">
        <f t="shared" si="32"/>
        <v>3.3086609336609334E-2</v>
      </c>
      <c r="V61" s="92">
        <f t="shared" si="32"/>
        <v>3.3086609336609334E-2</v>
      </c>
      <c r="X61" s="91" t="s">
        <v>78</v>
      </c>
      <c r="Y61" s="92">
        <f>$AB$8*B17/(100*$D$12)</f>
        <v>5.8046683046683041E-2</v>
      </c>
      <c r="Z61" s="92">
        <f t="shared" ref="Z61:AS61" si="34">$AB$8*C17/(100*$D$12)</f>
        <v>7.3525798525798519E-2</v>
      </c>
      <c r="AA61" s="92">
        <f t="shared" si="34"/>
        <v>9.2874692874692868E-2</v>
      </c>
      <c r="AB61" s="92">
        <f t="shared" si="34"/>
        <v>9.8679361179361172E-2</v>
      </c>
      <c r="AC61" s="92">
        <f t="shared" si="34"/>
        <v>0.10641891891891891</v>
      </c>
      <c r="AD61" s="92">
        <f t="shared" si="34"/>
        <v>9.6744471744471733E-2</v>
      </c>
      <c r="AE61" s="92">
        <f t="shared" si="34"/>
        <v>9.6744471744471733E-2</v>
      </c>
      <c r="AF61" s="92">
        <f t="shared" si="34"/>
        <v>9.6744471744471733E-2</v>
      </c>
      <c r="AG61" s="92">
        <f t="shared" si="34"/>
        <v>9.6744471744471733E-2</v>
      </c>
      <c r="AH61" s="92">
        <f t="shared" si="34"/>
        <v>9.6744471744471733E-2</v>
      </c>
      <c r="AI61" s="92">
        <f t="shared" si="34"/>
        <v>8.7070024570024551E-2</v>
      </c>
      <c r="AJ61" s="92">
        <f t="shared" si="34"/>
        <v>8.7070024570024551E-2</v>
      </c>
      <c r="AK61" s="92">
        <f t="shared" si="34"/>
        <v>8.7070024570024551E-2</v>
      </c>
      <c r="AL61" s="92">
        <f t="shared" si="34"/>
        <v>8.7070024570024551E-2</v>
      </c>
      <c r="AM61" s="92">
        <f t="shared" si="34"/>
        <v>8.7070024570024551E-2</v>
      </c>
      <c r="AN61" s="92">
        <f t="shared" si="34"/>
        <v>8.7070024570024551E-2</v>
      </c>
      <c r="AO61" s="92">
        <f t="shared" si="34"/>
        <v>8.7070024570024551E-2</v>
      </c>
      <c r="AP61" s="92">
        <f t="shared" si="34"/>
        <v>8.7070024570024551E-2</v>
      </c>
      <c r="AQ61" s="92">
        <f t="shared" si="34"/>
        <v>8.7070024570024551E-2</v>
      </c>
      <c r="AR61" s="92">
        <f t="shared" si="34"/>
        <v>8.7070024570024551E-2</v>
      </c>
      <c r="AS61" s="92">
        <f t="shared" si="34"/>
        <v>8.7070024570024551E-2</v>
      </c>
    </row>
    <row r="62" spans="1:45" x14ac:dyDescent="0.3">
      <c r="A62" s="90" t="s">
        <v>81</v>
      </c>
      <c r="X62" s="90" t="s">
        <v>81</v>
      </c>
    </row>
    <row r="63" spans="1:45" x14ac:dyDescent="0.3">
      <c r="A63" s="91" t="s">
        <v>77</v>
      </c>
      <c r="B63" s="92">
        <f>$G$9*B16/(100*$D$12)</f>
        <v>0.31861179361179293</v>
      </c>
      <c r="C63" s="92">
        <f t="shared" ref="C63:V64" si="35">$G$9*C16/(100*$D$12)</f>
        <v>0.40245700245700239</v>
      </c>
      <c r="D63" s="92">
        <f t="shared" si="35"/>
        <v>0.53325552825552813</v>
      </c>
      <c r="E63" s="92">
        <f t="shared" si="35"/>
        <v>0.69423832923832918</v>
      </c>
      <c r="F63" s="92">
        <f t="shared" si="35"/>
        <v>0.70429975429975422</v>
      </c>
      <c r="G63" s="92">
        <f t="shared" si="35"/>
        <v>0.653992628992629</v>
      </c>
      <c r="H63" s="92">
        <f t="shared" si="35"/>
        <v>0.653992628992629</v>
      </c>
      <c r="I63" s="92">
        <f t="shared" si="35"/>
        <v>0.653992628992629</v>
      </c>
      <c r="J63" s="92">
        <f t="shared" si="35"/>
        <v>0.653992628992629</v>
      </c>
      <c r="K63" s="92">
        <f t="shared" si="35"/>
        <v>0.60368550368550367</v>
      </c>
      <c r="L63" s="92">
        <f t="shared" si="35"/>
        <v>0.60368550368550367</v>
      </c>
      <c r="M63" s="92">
        <f t="shared" si="35"/>
        <v>0.60368550368550367</v>
      </c>
      <c r="N63" s="92">
        <f t="shared" si="35"/>
        <v>0.60368550368550367</v>
      </c>
      <c r="O63" s="92">
        <f t="shared" si="35"/>
        <v>0.55337837837837833</v>
      </c>
      <c r="P63" s="92">
        <f t="shared" si="35"/>
        <v>0.55337837837837833</v>
      </c>
      <c r="Q63" s="92">
        <f t="shared" si="35"/>
        <v>0.55337837837837833</v>
      </c>
      <c r="R63" s="92">
        <f t="shared" si="35"/>
        <v>0.55337837837837833</v>
      </c>
      <c r="S63" s="92">
        <f t="shared" si="35"/>
        <v>0.55337837837837833</v>
      </c>
      <c r="T63" s="92">
        <f t="shared" si="35"/>
        <v>0.55337837837837833</v>
      </c>
      <c r="U63" s="92">
        <f t="shared" si="35"/>
        <v>0.55337837837837833</v>
      </c>
      <c r="V63" s="92">
        <f t="shared" si="35"/>
        <v>0.55337837837837833</v>
      </c>
      <c r="X63" s="91" t="s">
        <v>77</v>
      </c>
      <c r="Y63" s="92">
        <f>$AB$9*B16/(100*$D$12)</f>
        <v>0.1838144963144959</v>
      </c>
      <c r="Z63" s="92">
        <f t="shared" ref="Z63:AS63" si="36">$AB$9*C16/(100*$D$12)</f>
        <v>0.23218673218673216</v>
      </c>
      <c r="AA63" s="92">
        <f t="shared" si="36"/>
        <v>0.30764742014742008</v>
      </c>
      <c r="AB63" s="92">
        <f t="shared" si="36"/>
        <v>0.40052211302211299</v>
      </c>
      <c r="AC63" s="92">
        <f t="shared" si="36"/>
        <v>0.40632678132678124</v>
      </c>
      <c r="AD63" s="92">
        <f t="shared" si="36"/>
        <v>0.37730343980343978</v>
      </c>
      <c r="AE63" s="92">
        <f t="shared" si="36"/>
        <v>0.37730343980343978</v>
      </c>
      <c r="AF63" s="92">
        <f t="shared" si="36"/>
        <v>0.37730343980343978</v>
      </c>
      <c r="AG63" s="92">
        <f t="shared" si="36"/>
        <v>0.37730343980343978</v>
      </c>
      <c r="AH63" s="92">
        <f t="shared" si="36"/>
        <v>0.3482800982800982</v>
      </c>
      <c r="AI63" s="92">
        <f t="shared" si="36"/>
        <v>0.3482800982800982</v>
      </c>
      <c r="AJ63" s="92">
        <f t="shared" si="36"/>
        <v>0.3482800982800982</v>
      </c>
      <c r="AK63" s="92">
        <f t="shared" si="36"/>
        <v>0.3482800982800982</v>
      </c>
      <c r="AL63" s="92">
        <f t="shared" si="36"/>
        <v>0.31925675675675669</v>
      </c>
      <c r="AM63" s="92">
        <f t="shared" si="36"/>
        <v>0.31925675675675669</v>
      </c>
      <c r="AN63" s="92">
        <f t="shared" si="36"/>
        <v>0.31925675675675669</v>
      </c>
      <c r="AO63" s="92">
        <f t="shared" si="36"/>
        <v>0.31925675675675669</v>
      </c>
      <c r="AP63" s="92">
        <f t="shared" si="36"/>
        <v>0.31925675675675669</v>
      </c>
      <c r="AQ63" s="92">
        <f t="shared" si="36"/>
        <v>0.31925675675675669</v>
      </c>
      <c r="AR63" s="92">
        <f t="shared" si="36"/>
        <v>0.31925675675675669</v>
      </c>
      <c r="AS63" s="92">
        <f t="shared" si="36"/>
        <v>0.31925675675675669</v>
      </c>
    </row>
    <row r="64" spans="1:45" x14ac:dyDescent="0.3">
      <c r="A64" s="91" t="s">
        <v>78</v>
      </c>
      <c r="B64" s="92">
        <f>$G$9*B17/(100*$D$12)</f>
        <v>0.30184275184275183</v>
      </c>
      <c r="C64" s="92">
        <f t="shared" si="35"/>
        <v>0.3823341523341523</v>
      </c>
      <c r="D64" s="92">
        <f t="shared" si="35"/>
        <v>0.48294840294840291</v>
      </c>
      <c r="E64" s="92">
        <f t="shared" si="35"/>
        <v>0.51313267813267815</v>
      </c>
      <c r="F64" s="92">
        <f t="shared" si="35"/>
        <v>0.55337837837837833</v>
      </c>
      <c r="G64" s="92">
        <f t="shared" si="35"/>
        <v>0.503071253071253</v>
      </c>
      <c r="H64" s="92">
        <f t="shared" si="35"/>
        <v>0.503071253071253</v>
      </c>
      <c r="I64" s="92">
        <f t="shared" si="35"/>
        <v>0.503071253071253</v>
      </c>
      <c r="J64" s="92">
        <f t="shared" si="35"/>
        <v>0.503071253071253</v>
      </c>
      <c r="K64" s="92">
        <f t="shared" si="35"/>
        <v>0.503071253071253</v>
      </c>
      <c r="L64" s="92">
        <f t="shared" si="35"/>
        <v>0.45276412776412767</v>
      </c>
      <c r="M64" s="92">
        <f t="shared" si="35"/>
        <v>0.45276412776412767</v>
      </c>
      <c r="N64" s="92">
        <f t="shared" si="35"/>
        <v>0.45276412776412767</v>
      </c>
      <c r="O64" s="92">
        <f t="shared" si="35"/>
        <v>0.45276412776412767</v>
      </c>
      <c r="P64" s="92">
        <f t="shared" si="35"/>
        <v>0.45276412776412767</v>
      </c>
      <c r="Q64" s="92">
        <f t="shared" si="35"/>
        <v>0.45276412776412767</v>
      </c>
      <c r="R64" s="92">
        <f t="shared" si="35"/>
        <v>0.45276412776412767</v>
      </c>
      <c r="S64" s="92">
        <f t="shared" si="35"/>
        <v>0.45276412776412767</v>
      </c>
      <c r="T64" s="92">
        <f t="shared" si="35"/>
        <v>0.45276412776412767</v>
      </c>
      <c r="U64" s="92">
        <f t="shared" si="35"/>
        <v>0.45276412776412767</v>
      </c>
      <c r="V64" s="92">
        <f t="shared" si="35"/>
        <v>0.45276412776412767</v>
      </c>
      <c r="X64" s="91" t="s">
        <v>78</v>
      </c>
      <c r="Y64" s="92">
        <f>$AB$9*B17/(100*$D$12)</f>
        <v>0.1741400491400491</v>
      </c>
      <c r="Z64" s="92">
        <f t="shared" ref="Z64:AS64" si="37">$AB$9*C17/(100*$D$12)</f>
        <v>0.22057739557739556</v>
      </c>
      <c r="AA64" s="92">
        <f t="shared" si="37"/>
        <v>0.27862407862407862</v>
      </c>
      <c r="AB64" s="92">
        <f t="shared" si="37"/>
        <v>0.29603808353808353</v>
      </c>
      <c r="AC64" s="92">
        <f t="shared" si="37"/>
        <v>0.31925675675675669</v>
      </c>
      <c r="AD64" s="92">
        <f t="shared" si="37"/>
        <v>0.29023341523341523</v>
      </c>
      <c r="AE64" s="92">
        <f t="shared" si="37"/>
        <v>0.29023341523341523</v>
      </c>
      <c r="AF64" s="92">
        <f t="shared" si="37"/>
        <v>0.29023341523341523</v>
      </c>
      <c r="AG64" s="92">
        <f t="shared" si="37"/>
        <v>0.29023341523341523</v>
      </c>
      <c r="AH64" s="92">
        <f t="shared" si="37"/>
        <v>0.29023341523341523</v>
      </c>
      <c r="AI64" s="92">
        <f t="shared" si="37"/>
        <v>0.26121007371007371</v>
      </c>
      <c r="AJ64" s="92">
        <f t="shared" si="37"/>
        <v>0.26121007371007371</v>
      </c>
      <c r="AK64" s="92">
        <f t="shared" si="37"/>
        <v>0.26121007371007371</v>
      </c>
      <c r="AL64" s="92">
        <f t="shared" si="37"/>
        <v>0.26121007371007371</v>
      </c>
      <c r="AM64" s="92">
        <f t="shared" si="37"/>
        <v>0.26121007371007371</v>
      </c>
      <c r="AN64" s="92">
        <f t="shared" si="37"/>
        <v>0.26121007371007371</v>
      </c>
      <c r="AO64" s="92">
        <f t="shared" si="37"/>
        <v>0.26121007371007371</v>
      </c>
      <c r="AP64" s="92">
        <f t="shared" si="37"/>
        <v>0.26121007371007371</v>
      </c>
      <c r="AQ64" s="92">
        <f t="shared" si="37"/>
        <v>0.26121007371007371</v>
      </c>
      <c r="AR64" s="92">
        <f t="shared" si="37"/>
        <v>0.26121007371007371</v>
      </c>
      <c r="AS64" s="92">
        <f t="shared" si="37"/>
        <v>0.26121007371007371</v>
      </c>
    </row>
    <row r="65" spans="1:45" x14ac:dyDescent="0.3">
      <c r="A65" s="90" t="s">
        <v>92</v>
      </c>
      <c r="X65" s="90" t="s">
        <v>92</v>
      </c>
    </row>
    <row r="66" spans="1:45" x14ac:dyDescent="0.3">
      <c r="A66" s="91" t="s">
        <v>77</v>
      </c>
      <c r="B66" s="92">
        <f>$G$10*B16/(100*$D$12)</f>
        <v>5.6369778869778737E-2</v>
      </c>
      <c r="C66" s="92">
        <f t="shared" ref="C66:V67" si="38">$G$10*C16/(100*$D$12)</f>
        <v>7.1203931203931189E-2</v>
      </c>
      <c r="D66" s="92">
        <f>$G$10*D16/(100*$D$12)</f>
        <v>9.4345208845208819E-2</v>
      </c>
      <c r="E66" s="92">
        <f t="shared" si="38"/>
        <v>0.12282678132678131</v>
      </c>
      <c r="F66" s="92">
        <f t="shared" si="38"/>
        <v>0.12460687960687959</v>
      </c>
      <c r="G66" s="92">
        <f t="shared" si="38"/>
        <v>0.11570638820638818</v>
      </c>
      <c r="H66" s="92">
        <f t="shared" si="38"/>
        <v>0.11570638820638818</v>
      </c>
      <c r="I66" s="92">
        <f t="shared" si="38"/>
        <v>0.11570638820638818</v>
      </c>
      <c r="J66" s="92">
        <f t="shared" si="38"/>
        <v>0.11570638820638818</v>
      </c>
      <c r="K66" s="92">
        <f t="shared" si="38"/>
        <v>0.10680589680589678</v>
      </c>
      <c r="L66" s="92">
        <f t="shared" si="38"/>
        <v>0.10680589680589678</v>
      </c>
      <c r="M66" s="92">
        <f t="shared" si="38"/>
        <v>0.10680589680589678</v>
      </c>
      <c r="N66" s="92">
        <f t="shared" si="38"/>
        <v>0.10680589680589678</v>
      </c>
      <c r="O66" s="92">
        <f t="shared" si="38"/>
        <v>9.7905405405405391E-2</v>
      </c>
      <c r="P66" s="92">
        <f t="shared" si="38"/>
        <v>9.7905405405405391E-2</v>
      </c>
      <c r="Q66" s="92">
        <f t="shared" si="38"/>
        <v>9.7905405405405391E-2</v>
      </c>
      <c r="R66" s="92">
        <f t="shared" si="38"/>
        <v>9.7905405405405391E-2</v>
      </c>
      <c r="S66" s="92">
        <f t="shared" si="38"/>
        <v>9.7905405405405391E-2</v>
      </c>
      <c r="T66" s="92">
        <f t="shared" si="38"/>
        <v>9.7905405405405391E-2</v>
      </c>
      <c r="U66" s="92">
        <f t="shared" si="38"/>
        <v>9.7905405405405391E-2</v>
      </c>
      <c r="V66" s="92">
        <f t="shared" si="38"/>
        <v>9.7905405405405391E-2</v>
      </c>
      <c r="X66" s="91" t="s">
        <v>77</v>
      </c>
      <c r="Y66" s="92">
        <f>$AB$10*B16/(100*$D$12)</f>
        <v>0.12254299754299727</v>
      </c>
      <c r="Z66" s="92">
        <f t="shared" ref="Z66:AS66" si="39">$AB$10*C16/(100*$D$12)</f>
        <v>0.15479115479115477</v>
      </c>
      <c r="AA66" s="92">
        <f t="shared" si="39"/>
        <v>0.20509828009828004</v>
      </c>
      <c r="AB66" s="92">
        <f t="shared" si="39"/>
        <v>0.26701474201474201</v>
      </c>
      <c r="AC66" s="92">
        <f t="shared" si="39"/>
        <v>0.27088452088452086</v>
      </c>
      <c r="AD66" s="92">
        <f t="shared" si="39"/>
        <v>0.2515356265356265</v>
      </c>
      <c r="AE66" s="92">
        <f t="shared" si="39"/>
        <v>0.2515356265356265</v>
      </c>
      <c r="AF66" s="92">
        <f t="shared" si="39"/>
        <v>0.2515356265356265</v>
      </c>
      <c r="AG66" s="92">
        <f t="shared" si="39"/>
        <v>0.2515356265356265</v>
      </c>
      <c r="AH66" s="92">
        <f t="shared" si="39"/>
        <v>0.23218673218673216</v>
      </c>
      <c r="AI66" s="92">
        <f t="shared" si="39"/>
        <v>0.23218673218673216</v>
      </c>
      <c r="AJ66" s="92">
        <f t="shared" si="39"/>
        <v>0.23218673218673216</v>
      </c>
      <c r="AK66" s="92">
        <f t="shared" si="39"/>
        <v>0.23218673218673216</v>
      </c>
      <c r="AL66" s="92">
        <f t="shared" si="39"/>
        <v>0.21283783783783783</v>
      </c>
      <c r="AM66" s="92">
        <f t="shared" si="39"/>
        <v>0.21283783783783783</v>
      </c>
      <c r="AN66" s="92">
        <f t="shared" si="39"/>
        <v>0.21283783783783783</v>
      </c>
      <c r="AO66" s="92">
        <f t="shared" si="39"/>
        <v>0.21283783783783783</v>
      </c>
      <c r="AP66" s="92">
        <f t="shared" si="39"/>
        <v>0.21283783783783783</v>
      </c>
      <c r="AQ66" s="92">
        <f t="shared" si="39"/>
        <v>0.21283783783783783</v>
      </c>
      <c r="AR66" s="92">
        <f t="shared" si="39"/>
        <v>0.21283783783783783</v>
      </c>
      <c r="AS66" s="92">
        <f t="shared" si="39"/>
        <v>0.21283783783783783</v>
      </c>
    </row>
    <row r="67" spans="1:45" x14ac:dyDescent="0.3">
      <c r="A67" s="91" t="s">
        <v>78</v>
      </c>
      <c r="B67" s="92">
        <f>$G$10*B17/(100*$D$12)</f>
        <v>5.3402948402948389E-2</v>
      </c>
      <c r="C67" s="92">
        <f t="shared" si="38"/>
        <v>6.7643734643734632E-2</v>
      </c>
      <c r="D67" s="92">
        <f t="shared" si="38"/>
        <v>8.5444717444717419E-2</v>
      </c>
      <c r="E67" s="92">
        <f t="shared" si="38"/>
        <v>9.078501228501229E-2</v>
      </c>
      <c r="F67" s="92">
        <f t="shared" si="38"/>
        <v>9.7905405405405391E-2</v>
      </c>
      <c r="G67" s="92">
        <f t="shared" si="38"/>
        <v>8.900491400491399E-2</v>
      </c>
      <c r="H67" s="92">
        <f t="shared" si="38"/>
        <v>8.900491400491399E-2</v>
      </c>
      <c r="I67" s="92">
        <f t="shared" si="38"/>
        <v>8.900491400491399E-2</v>
      </c>
      <c r="J67" s="92">
        <f t="shared" si="38"/>
        <v>8.900491400491399E-2</v>
      </c>
      <c r="K67" s="92">
        <f t="shared" si="38"/>
        <v>8.900491400491399E-2</v>
      </c>
      <c r="L67" s="92">
        <f t="shared" si="38"/>
        <v>8.0104422604422576E-2</v>
      </c>
      <c r="M67" s="92">
        <f t="shared" si="38"/>
        <v>8.0104422604422576E-2</v>
      </c>
      <c r="N67" s="92">
        <f t="shared" si="38"/>
        <v>8.0104422604422576E-2</v>
      </c>
      <c r="O67" s="92">
        <f t="shared" si="38"/>
        <v>8.0104422604422576E-2</v>
      </c>
      <c r="P67" s="92">
        <f t="shared" si="38"/>
        <v>8.0104422604422576E-2</v>
      </c>
      <c r="Q67" s="92">
        <f t="shared" si="38"/>
        <v>8.0104422604422576E-2</v>
      </c>
      <c r="R67" s="92">
        <f t="shared" si="38"/>
        <v>8.0104422604422576E-2</v>
      </c>
      <c r="S67" s="92">
        <f t="shared" si="38"/>
        <v>8.0104422604422576E-2</v>
      </c>
      <c r="T67" s="92">
        <f t="shared" si="38"/>
        <v>8.0104422604422576E-2</v>
      </c>
      <c r="U67" s="92">
        <f t="shared" si="38"/>
        <v>8.0104422604422576E-2</v>
      </c>
      <c r="V67" s="92">
        <f t="shared" si="38"/>
        <v>8.0104422604422576E-2</v>
      </c>
      <c r="X67" s="91" t="s">
        <v>78</v>
      </c>
      <c r="Y67" s="92">
        <f>$AB$10*B17/(100*$D$12)</f>
        <v>0.11609336609336608</v>
      </c>
      <c r="Z67" s="92">
        <f t="shared" ref="Z67:AS67" si="40">$AB$10*C17/(100*$D$12)</f>
        <v>0.14705159705159704</v>
      </c>
      <c r="AA67" s="92">
        <f t="shared" si="40"/>
        <v>0.18574938574938574</v>
      </c>
      <c r="AB67" s="92">
        <f t="shared" si="40"/>
        <v>0.19735872235872234</v>
      </c>
      <c r="AC67" s="92">
        <f t="shared" si="40"/>
        <v>0.21283783783783783</v>
      </c>
      <c r="AD67" s="92">
        <f t="shared" si="40"/>
        <v>0.19348894348894347</v>
      </c>
      <c r="AE67" s="92">
        <f t="shared" si="40"/>
        <v>0.19348894348894347</v>
      </c>
      <c r="AF67" s="92">
        <f t="shared" si="40"/>
        <v>0.19348894348894347</v>
      </c>
      <c r="AG67" s="92">
        <f t="shared" si="40"/>
        <v>0.19348894348894347</v>
      </c>
      <c r="AH67" s="92">
        <f t="shared" si="40"/>
        <v>0.19348894348894347</v>
      </c>
      <c r="AI67" s="92">
        <f t="shared" si="40"/>
        <v>0.1741400491400491</v>
      </c>
      <c r="AJ67" s="92">
        <f t="shared" si="40"/>
        <v>0.1741400491400491</v>
      </c>
      <c r="AK67" s="92">
        <f t="shared" si="40"/>
        <v>0.1741400491400491</v>
      </c>
      <c r="AL67" s="92">
        <f t="shared" si="40"/>
        <v>0.1741400491400491</v>
      </c>
      <c r="AM67" s="92">
        <f t="shared" si="40"/>
        <v>0.1741400491400491</v>
      </c>
      <c r="AN67" s="92">
        <f t="shared" si="40"/>
        <v>0.1741400491400491</v>
      </c>
      <c r="AO67" s="92">
        <f t="shared" si="40"/>
        <v>0.1741400491400491</v>
      </c>
      <c r="AP67" s="92">
        <f t="shared" si="40"/>
        <v>0.1741400491400491</v>
      </c>
      <c r="AQ67" s="92">
        <f t="shared" si="40"/>
        <v>0.1741400491400491</v>
      </c>
      <c r="AR67" s="92">
        <f t="shared" si="40"/>
        <v>0.1741400491400491</v>
      </c>
      <c r="AS67" s="92">
        <f t="shared" si="40"/>
        <v>0.1741400491400491</v>
      </c>
    </row>
    <row r="68" spans="1:45" x14ac:dyDescent="0.3">
      <c r="A68" s="90" t="s">
        <v>85</v>
      </c>
      <c r="B68" s="92"/>
      <c r="C68" s="92"/>
      <c r="D68" s="92"/>
      <c r="E68" s="92"/>
      <c r="F68" s="92"/>
      <c r="G68" s="92"/>
      <c r="H68" s="92"/>
      <c r="I68" s="92"/>
      <c r="J68" s="92"/>
      <c r="K68" s="92"/>
      <c r="L68" s="92"/>
      <c r="M68" s="92"/>
      <c r="N68" s="92"/>
      <c r="O68" s="92"/>
      <c r="P68" s="92"/>
      <c r="Q68" s="92"/>
      <c r="R68" s="92"/>
      <c r="S68" s="92"/>
      <c r="T68" s="92"/>
      <c r="U68" s="92"/>
      <c r="V68" s="92"/>
      <c r="X68" s="90" t="s">
        <v>85</v>
      </c>
      <c r="Y68" s="92"/>
      <c r="Z68" s="92"/>
      <c r="AA68" s="92"/>
      <c r="AB68" s="92"/>
      <c r="AC68" s="92"/>
      <c r="AD68" s="92"/>
      <c r="AE68" s="92"/>
      <c r="AF68" s="92"/>
      <c r="AG68" s="92"/>
      <c r="AH68" s="92"/>
      <c r="AI68" s="92"/>
      <c r="AJ68" s="92"/>
      <c r="AK68" s="92"/>
      <c r="AL68" s="92"/>
      <c r="AM68" s="92"/>
      <c r="AN68" s="92"/>
      <c r="AO68" s="92"/>
      <c r="AP68" s="92"/>
      <c r="AQ68" s="92"/>
      <c r="AR68" s="92"/>
      <c r="AS68" s="92"/>
    </row>
    <row r="69" spans="1:45" x14ac:dyDescent="0.3">
      <c r="A69" s="91" t="s">
        <v>77</v>
      </c>
      <c r="B69" s="92">
        <f>$G$11*B16/(100*$D$12)</f>
        <v>0.15930589680589646</v>
      </c>
      <c r="C69" s="92">
        <f t="shared" ref="C69:V70" si="41">$G$11*C16/(100*$D$12)</f>
        <v>0.20122850122850119</v>
      </c>
      <c r="D69" s="92">
        <f t="shared" si="41"/>
        <v>0.26662776412776407</v>
      </c>
      <c r="E69" s="92">
        <f t="shared" si="41"/>
        <v>0.34711916461916459</v>
      </c>
      <c r="F69" s="92">
        <f t="shared" si="41"/>
        <v>0.35214987714987711</v>
      </c>
      <c r="G69" s="92">
        <f t="shared" si="41"/>
        <v>0.3269963144963145</v>
      </c>
      <c r="H69" s="92">
        <f t="shared" si="41"/>
        <v>0.3269963144963145</v>
      </c>
      <c r="I69" s="92">
        <f t="shared" si="41"/>
        <v>0.3269963144963145</v>
      </c>
      <c r="J69" s="92">
        <f t="shared" si="41"/>
        <v>0.3269963144963145</v>
      </c>
      <c r="K69" s="92">
        <f t="shared" si="41"/>
        <v>0.30184275184275183</v>
      </c>
      <c r="L69" s="92">
        <f t="shared" si="41"/>
        <v>0.30184275184275183</v>
      </c>
      <c r="M69" s="92">
        <f t="shared" si="41"/>
        <v>0.30184275184275183</v>
      </c>
      <c r="N69" s="92">
        <f t="shared" si="41"/>
        <v>0.30184275184275183</v>
      </c>
      <c r="O69" s="92">
        <f t="shared" si="41"/>
        <v>0.27668918918918917</v>
      </c>
      <c r="P69" s="92">
        <f t="shared" si="41"/>
        <v>0.27668918918918917</v>
      </c>
      <c r="Q69" s="92">
        <f t="shared" si="41"/>
        <v>0.27668918918918917</v>
      </c>
      <c r="R69" s="92">
        <f t="shared" si="41"/>
        <v>0.27668918918918917</v>
      </c>
      <c r="S69" s="92">
        <f t="shared" si="41"/>
        <v>0.27668918918918917</v>
      </c>
      <c r="T69" s="92">
        <f t="shared" si="41"/>
        <v>0.27668918918918917</v>
      </c>
      <c r="U69" s="92">
        <f t="shared" si="41"/>
        <v>0.27668918918918917</v>
      </c>
      <c r="V69" s="92">
        <f t="shared" si="41"/>
        <v>0.27668918918918917</v>
      </c>
      <c r="X69" s="91" t="s">
        <v>77</v>
      </c>
      <c r="Y69" s="92">
        <f>$AB$11*B16/(100*$D$12)</f>
        <v>0.24508599508599455</v>
      </c>
      <c r="Z69" s="92">
        <f t="shared" ref="Z69:AS69" si="42">$AB$11*C16/(100*$D$12)</f>
        <v>0.30958230958230953</v>
      </c>
      <c r="AA69" s="92">
        <f t="shared" si="42"/>
        <v>0.41019656019656009</v>
      </c>
      <c r="AB69" s="92">
        <f t="shared" si="42"/>
        <v>0.53402948402948403</v>
      </c>
      <c r="AC69" s="92">
        <f t="shared" si="42"/>
        <v>0.54176904176904173</v>
      </c>
      <c r="AD69" s="92">
        <f t="shared" si="42"/>
        <v>0.503071253071253</v>
      </c>
      <c r="AE69" s="92">
        <f t="shared" si="42"/>
        <v>0.503071253071253</v>
      </c>
      <c r="AF69" s="92">
        <f t="shared" si="42"/>
        <v>0.503071253071253</v>
      </c>
      <c r="AG69" s="92">
        <f t="shared" si="42"/>
        <v>0.503071253071253</v>
      </c>
      <c r="AH69" s="92">
        <f t="shared" si="42"/>
        <v>0.46437346437346433</v>
      </c>
      <c r="AI69" s="92">
        <f t="shared" si="42"/>
        <v>0.46437346437346433</v>
      </c>
      <c r="AJ69" s="92">
        <f t="shared" si="42"/>
        <v>0.46437346437346433</v>
      </c>
      <c r="AK69" s="92">
        <f t="shared" si="42"/>
        <v>0.46437346437346433</v>
      </c>
      <c r="AL69" s="92">
        <f t="shared" si="42"/>
        <v>0.42567567567567566</v>
      </c>
      <c r="AM69" s="92">
        <f t="shared" si="42"/>
        <v>0.42567567567567566</v>
      </c>
      <c r="AN69" s="92">
        <f t="shared" si="42"/>
        <v>0.42567567567567566</v>
      </c>
      <c r="AO69" s="92">
        <f t="shared" si="42"/>
        <v>0.42567567567567566</v>
      </c>
      <c r="AP69" s="92">
        <f t="shared" si="42"/>
        <v>0.42567567567567566</v>
      </c>
      <c r="AQ69" s="92">
        <f t="shared" si="42"/>
        <v>0.42567567567567566</v>
      </c>
      <c r="AR69" s="92">
        <f t="shared" si="42"/>
        <v>0.42567567567567566</v>
      </c>
      <c r="AS69" s="92">
        <f t="shared" si="42"/>
        <v>0.42567567567567566</v>
      </c>
    </row>
    <row r="70" spans="1:45" x14ac:dyDescent="0.3">
      <c r="A70" s="91" t="s">
        <v>78</v>
      </c>
      <c r="B70" s="92">
        <f>$G$11*B17/(100*$D$12)</f>
        <v>0.15092137592137592</v>
      </c>
      <c r="C70" s="92">
        <f t="shared" si="41"/>
        <v>0.19116707616707615</v>
      </c>
      <c r="D70" s="92">
        <f t="shared" si="41"/>
        <v>0.24147420147420146</v>
      </c>
      <c r="E70" s="92">
        <f t="shared" si="41"/>
        <v>0.25656633906633908</v>
      </c>
      <c r="F70" s="92">
        <f t="shared" si="41"/>
        <v>0.27668918918918917</v>
      </c>
      <c r="G70" s="92">
        <f t="shared" si="41"/>
        <v>0.2515356265356265</v>
      </c>
      <c r="H70" s="92">
        <f t="shared" si="41"/>
        <v>0.2515356265356265</v>
      </c>
      <c r="I70" s="92">
        <f t="shared" si="41"/>
        <v>0.2515356265356265</v>
      </c>
      <c r="J70" s="92">
        <f t="shared" si="41"/>
        <v>0.2515356265356265</v>
      </c>
      <c r="K70" s="92">
        <f t="shared" si="41"/>
        <v>0.2515356265356265</v>
      </c>
      <c r="L70" s="92">
        <f t="shared" si="41"/>
        <v>0.22638206388206383</v>
      </c>
      <c r="M70" s="92">
        <f t="shared" si="41"/>
        <v>0.22638206388206383</v>
      </c>
      <c r="N70" s="92">
        <f t="shared" si="41"/>
        <v>0.22638206388206383</v>
      </c>
      <c r="O70" s="92">
        <f t="shared" si="41"/>
        <v>0.22638206388206383</v>
      </c>
      <c r="P70" s="92">
        <f t="shared" si="41"/>
        <v>0.22638206388206383</v>
      </c>
      <c r="Q70" s="92">
        <f t="shared" si="41"/>
        <v>0.22638206388206383</v>
      </c>
      <c r="R70" s="92">
        <f t="shared" si="41"/>
        <v>0.22638206388206383</v>
      </c>
      <c r="S70" s="92">
        <f t="shared" si="41"/>
        <v>0.22638206388206383</v>
      </c>
      <c r="T70" s="92">
        <f t="shared" si="41"/>
        <v>0.22638206388206383</v>
      </c>
      <c r="U70" s="92">
        <f t="shared" si="41"/>
        <v>0.22638206388206383</v>
      </c>
      <c r="V70" s="92">
        <f t="shared" si="41"/>
        <v>0.22638206388206383</v>
      </c>
      <c r="X70" s="91" t="s">
        <v>78</v>
      </c>
      <c r="Y70" s="92">
        <f>$AB$11*B17/(100*$D$12)</f>
        <v>0.23218673218673216</v>
      </c>
      <c r="Z70" s="92">
        <f t="shared" ref="Z70:AS70" si="43">$AB$11*C17/(100*$D$12)</f>
        <v>0.29410319410319408</v>
      </c>
      <c r="AA70" s="92">
        <f t="shared" si="43"/>
        <v>0.37149877149877147</v>
      </c>
      <c r="AB70" s="92">
        <f t="shared" si="43"/>
        <v>0.39471744471744469</v>
      </c>
      <c r="AC70" s="92">
        <f t="shared" si="43"/>
        <v>0.42567567567567566</v>
      </c>
      <c r="AD70" s="92">
        <f t="shared" si="43"/>
        <v>0.38697788697788693</v>
      </c>
      <c r="AE70" s="92">
        <f t="shared" si="43"/>
        <v>0.38697788697788693</v>
      </c>
      <c r="AF70" s="92">
        <f t="shared" si="43"/>
        <v>0.38697788697788693</v>
      </c>
      <c r="AG70" s="92">
        <f t="shared" si="43"/>
        <v>0.38697788697788693</v>
      </c>
      <c r="AH70" s="92">
        <f t="shared" si="43"/>
        <v>0.38697788697788693</v>
      </c>
      <c r="AI70" s="92">
        <f t="shared" si="43"/>
        <v>0.3482800982800982</v>
      </c>
      <c r="AJ70" s="92">
        <f t="shared" si="43"/>
        <v>0.3482800982800982</v>
      </c>
      <c r="AK70" s="92">
        <f t="shared" si="43"/>
        <v>0.3482800982800982</v>
      </c>
      <c r="AL70" s="92">
        <f t="shared" si="43"/>
        <v>0.3482800982800982</v>
      </c>
      <c r="AM70" s="92">
        <f t="shared" si="43"/>
        <v>0.3482800982800982</v>
      </c>
      <c r="AN70" s="92">
        <f t="shared" si="43"/>
        <v>0.3482800982800982</v>
      </c>
      <c r="AO70" s="92">
        <f t="shared" si="43"/>
        <v>0.3482800982800982</v>
      </c>
      <c r="AP70" s="92">
        <f t="shared" si="43"/>
        <v>0.3482800982800982</v>
      </c>
      <c r="AQ70" s="92">
        <f t="shared" si="43"/>
        <v>0.3482800982800982</v>
      </c>
      <c r="AR70" s="92">
        <f t="shared" si="43"/>
        <v>0.3482800982800982</v>
      </c>
      <c r="AS70" s="92">
        <f t="shared" si="43"/>
        <v>0.3482800982800982</v>
      </c>
    </row>
    <row r="72" spans="1:45" x14ac:dyDescent="0.3">
      <c r="A72" s="89" t="s">
        <v>184</v>
      </c>
    </row>
    <row r="73" spans="1:45" x14ac:dyDescent="0.3">
      <c r="A73" s="90" t="s">
        <v>82</v>
      </c>
      <c r="B73" s="91" t="s">
        <v>51</v>
      </c>
      <c r="C73" s="91" t="s">
        <v>52</v>
      </c>
      <c r="D73" s="91" t="s">
        <v>53</v>
      </c>
      <c r="E73" s="91" t="s">
        <v>54</v>
      </c>
      <c r="F73" s="91" t="s">
        <v>55</v>
      </c>
      <c r="G73" s="91" t="s">
        <v>56</v>
      </c>
      <c r="H73" s="91" t="s">
        <v>57</v>
      </c>
      <c r="I73" s="91" t="s">
        <v>58</v>
      </c>
      <c r="J73" s="91" t="s">
        <v>59</v>
      </c>
      <c r="K73" s="91" t="s">
        <v>60</v>
      </c>
      <c r="L73" s="91" t="s">
        <v>61</v>
      </c>
      <c r="M73" s="91" t="s">
        <v>62</v>
      </c>
      <c r="N73" s="91" t="s">
        <v>63</v>
      </c>
      <c r="O73" s="91" t="s">
        <v>64</v>
      </c>
      <c r="P73" s="91" t="s">
        <v>65</v>
      </c>
      <c r="Q73" s="91" t="s">
        <v>66</v>
      </c>
      <c r="R73" s="91" t="s">
        <v>67</v>
      </c>
      <c r="S73" s="91" t="s">
        <v>68</v>
      </c>
      <c r="T73" s="91" t="s">
        <v>69</v>
      </c>
      <c r="U73" s="91" t="s">
        <v>70</v>
      </c>
      <c r="V73" s="91" t="s">
        <v>71</v>
      </c>
    </row>
    <row r="74" spans="1:45" x14ac:dyDescent="0.3">
      <c r="A74" s="91" t="s">
        <v>77</v>
      </c>
      <c r="B74" s="92">
        <f>$AA$4*B16/(100*$D$12)</f>
        <v>8.2103808353808181E-3</v>
      </c>
      <c r="C74" s="92">
        <f t="shared" ref="C74:V75" si="44">$AA$4*C16/(100*$D$12)</f>
        <v>1.037100737100737E-2</v>
      </c>
      <c r="D74" s="92">
        <f t="shared" si="44"/>
        <v>1.3741584766584764E-2</v>
      </c>
      <c r="E74" s="92">
        <f t="shared" si="44"/>
        <v>1.7889987714987714E-2</v>
      </c>
      <c r="F74" s="92">
        <f t="shared" si="44"/>
        <v>1.81492628992629E-2</v>
      </c>
      <c r="G74" s="92">
        <f t="shared" si="44"/>
        <v>1.6852886977886977E-2</v>
      </c>
      <c r="H74" s="92">
        <f t="shared" si="44"/>
        <v>1.6852886977886977E-2</v>
      </c>
      <c r="I74" s="92">
        <f t="shared" si="44"/>
        <v>1.6852886977886977E-2</v>
      </c>
      <c r="J74" s="92">
        <f t="shared" si="44"/>
        <v>1.6852886977886977E-2</v>
      </c>
      <c r="K74" s="92">
        <f t="shared" si="44"/>
        <v>1.5556511056511055E-2</v>
      </c>
      <c r="L74" s="92">
        <f t="shared" si="44"/>
        <v>1.5556511056511055E-2</v>
      </c>
      <c r="M74" s="92">
        <f t="shared" si="44"/>
        <v>1.5556511056511055E-2</v>
      </c>
      <c r="N74" s="92">
        <f t="shared" si="44"/>
        <v>1.5556511056511055E-2</v>
      </c>
      <c r="O74" s="92">
        <f t="shared" si="44"/>
        <v>1.4260135135135134E-2</v>
      </c>
      <c r="P74" s="92">
        <f t="shared" si="44"/>
        <v>1.4260135135135134E-2</v>
      </c>
      <c r="Q74" s="92">
        <f t="shared" si="44"/>
        <v>1.4260135135135134E-2</v>
      </c>
      <c r="R74" s="92">
        <f t="shared" si="44"/>
        <v>1.4260135135135134E-2</v>
      </c>
      <c r="S74" s="92">
        <f t="shared" si="44"/>
        <v>1.4260135135135134E-2</v>
      </c>
      <c r="T74" s="92">
        <f t="shared" si="44"/>
        <v>1.4260135135135134E-2</v>
      </c>
      <c r="U74" s="92">
        <f t="shared" si="44"/>
        <v>1.4260135135135134E-2</v>
      </c>
      <c r="V74" s="92">
        <f t="shared" si="44"/>
        <v>1.4260135135135134E-2</v>
      </c>
    </row>
    <row r="75" spans="1:45" x14ac:dyDescent="0.3">
      <c r="A75" s="91" t="s">
        <v>78</v>
      </c>
      <c r="B75" s="92">
        <f>$AA$4*B17/(100*$D$12)</f>
        <v>7.7782555282555274E-3</v>
      </c>
      <c r="C75" s="92">
        <f t="shared" si="44"/>
        <v>9.8524570024570036E-3</v>
      </c>
      <c r="D75" s="92">
        <f t="shared" si="44"/>
        <v>1.2445208845208845E-2</v>
      </c>
      <c r="E75" s="92">
        <f t="shared" si="44"/>
        <v>1.3223034398034399E-2</v>
      </c>
      <c r="F75" s="92">
        <f t="shared" si="44"/>
        <v>1.4260135135135134E-2</v>
      </c>
      <c r="G75" s="92">
        <f t="shared" si="44"/>
        <v>1.2963759213759212E-2</v>
      </c>
      <c r="H75" s="92">
        <f t="shared" si="44"/>
        <v>1.2963759213759212E-2</v>
      </c>
      <c r="I75" s="92">
        <f t="shared" si="44"/>
        <v>1.2963759213759212E-2</v>
      </c>
      <c r="J75" s="92">
        <f t="shared" si="44"/>
        <v>1.2963759213759212E-2</v>
      </c>
      <c r="K75" s="92">
        <f t="shared" si="44"/>
        <v>1.2963759213759212E-2</v>
      </c>
      <c r="L75" s="92">
        <f t="shared" si="44"/>
        <v>1.1667383292383291E-2</v>
      </c>
      <c r="M75" s="92">
        <f t="shared" si="44"/>
        <v>1.1667383292383291E-2</v>
      </c>
      <c r="N75" s="92">
        <f t="shared" si="44"/>
        <v>1.1667383292383291E-2</v>
      </c>
      <c r="O75" s="92">
        <f t="shared" si="44"/>
        <v>1.1667383292383291E-2</v>
      </c>
      <c r="P75" s="92">
        <f t="shared" si="44"/>
        <v>1.1667383292383291E-2</v>
      </c>
      <c r="Q75" s="92">
        <f t="shared" si="44"/>
        <v>1.1667383292383291E-2</v>
      </c>
      <c r="R75" s="92">
        <f t="shared" si="44"/>
        <v>1.1667383292383291E-2</v>
      </c>
      <c r="S75" s="92">
        <f t="shared" si="44"/>
        <v>1.1667383292383291E-2</v>
      </c>
      <c r="T75" s="92">
        <f t="shared" si="44"/>
        <v>1.1667383292383291E-2</v>
      </c>
      <c r="U75" s="92">
        <f t="shared" si="44"/>
        <v>1.1667383292383291E-2</v>
      </c>
      <c r="V75" s="92">
        <f>$AA$4*V17/(100*$D$12)</f>
        <v>1.1667383292383291E-2</v>
      </c>
    </row>
    <row r="76" spans="1:45" x14ac:dyDescent="0.3">
      <c r="A76" s="90" t="s">
        <v>83</v>
      </c>
    </row>
    <row r="77" spans="1:45" x14ac:dyDescent="0.3">
      <c r="A77" s="91" t="s">
        <v>77</v>
      </c>
      <c r="B77" s="92">
        <f>$AA$5*B16/(100*$D$12)</f>
        <v>2.5060042997542942E-2</v>
      </c>
      <c r="C77" s="92">
        <f t="shared" ref="C77:V78" si="45">$AA$5*C16/(100*$D$12)</f>
        <v>3.1654791154791147E-2</v>
      </c>
      <c r="D77" s="92">
        <f t="shared" si="45"/>
        <v>4.1942598280098276E-2</v>
      </c>
      <c r="E77" s="92">
        <f t="shared" si="45"/>
        <v>5.4604514742014734E-2</v>
      </c>
      <c r="F77" s="92">
        <f t="shared" si="45"/>
        <v>5.5395884520884515E-2</v>
      </c>
      <c r="G77" s="92">
        <f t="shared" si="45"/>
        <v>5.1439035626535623E-2</v>
      </c>
      <c r="H77" s="92">
        <f t="shared" si="45"/>
        <v>5.1439035626535623E-2</v>
      </c>
      <c r="I77" s="92">
        <f t="shared" si="45"/>
        <v>5.1439035626535623E-2</v>
      </c>
      <c r="J77" s="92">
        <f t="shared" si="45"/>
        <v>5.1439035626535623E-2</v>
      </c>
      <c r="K77" s="92">
        <f t="shared" si="45"/>
        <v>4.7482186732186731E-2</v>
      </c>
      <c r="L77" s="92">
        <f t="shared" si="45"/>
        <v>4.7482186732186731E-2</v>
      </c>
      <c r="M77" s="92">
        <f t="shared" si="45"/>
        <v>4.7482186732186731E-2</v>
      </c>
      <c r="N77" s="92">
        <f t="shared" si="45"/>
        <v>4.7482186732186731E-2</v>
      </c>
      <c r="O77" s="92">
        <f t="shared" si="45"/>
        <v>4.3525337837837824E-2</v>
      </c>
      <c r="P77" s="92">
        <f t="shared" si="45"/>
        <v>4.3525337837837824E-2</v>
      </c>
      <c r="Q77" s="92">
        <f t="shared" si="45"/>
        <v>4.3525337837837824E-2</v>
      </c>
      <c r="R77" s="92">
        <f t="shared" si="45"/>
        <v>4.3525337837837824E-2</v>
      </c>
      <c r="S77" s="92">
        <f t="shared" si="45"/>
        <v>4.3525337837837824E-2</v>
      </c>
      <c r="T77" s="92">
        <f t="shared" si="45"/>
        <v>4.3525337837837824E-2</v>
      </c>
      <c r="U77" s="92">
        <f t="shared" si="45"/>
        <v>4.3525337837837824E-2</v>
      </c>
      <c r="V77" s="92">
        <f t="shared" si="45"/>
        <v>4.3525337837837824E-2</v>
      </c>
    </row>
    <row r="78" spans="1:45" x14ac:dyDescent="0.3">
      <c r="A78" s="91" t="s">
        <v>78</v>
      </c>
      <c r="B78" s="92">
        <f>$AA$5*B17/(100*$D$12)</f>
        <v>2.3741093366093365E-2</v>
      </c>
      <c r="C78" s="92">
        <f t="shared" si="45"/>
        <v>3.0072051597051595E-2</v>
      </c>
      <c r="D78" s="92">
        <f t="shared" si="45"/>
        <v>3.7985749385749383E-2</v>
      </c>
      <c r="E78" s="92">
        <f t="shared" si="45"/>
        <v>4.035985872235872E-2</v>
      </c>
      <c r="F78" s="92">
        <f t="shared" si="45"/>
        <v>4.3525337837837824E-2</v>
      </c>
      <c r="G78" s="92">
        <f t="shared" si="45"/>
        <v>3.9568488943488932E-2</v>
      </c>
      <c r="H78" s="92">
        <f t="shared" si="45"/>
        <v>3.9568488943488932E-2</v>
      </c>
      <c r="I78" s="92">
        <f t="shared" si="45"/>
        <v>3.9568488943488932E-2</v>
      </c>
      <c r="J78" s="92">
        <f t="shared" si="45"/>
        <v>3.9568488943488932E-2</v>
      </c>
      <c r="K78" s="92">
        <f t="shared" si="45"/>
        <v>3.9568488943488932E-2</v>
      </c>
      <c r="L78" s="92">
        <f t="shared" si="45"/>
        <v>3.5611640049140039E-2</v>
      </c>
      <c r="M78" s="92">
        <f t="shared" si="45"/>
        <v>3.5611640049140039E-2</v>
      </c>
      <c r="N78" s="92">
        <f t="shared" si="45"/>
        <v>3.5611640049140039E-2</v>
      </c>
      <c r="O78" s="92">
        <f t="shared" si="45"/>
        <v>3.5611640049140039E-2</v>
      </c>
      <c r="P78" s="92">
        <f t="shared" si="45"/>
        <v>3.5611640049140039E-2</v>
      </c>
      <c r="Q78" s="92">
        <f t="shared" si="45"/>
        <v>3.5611640049140039E-2</v>
      </c>
      <c r="R78" s="92">
        <f t="shared" si="45"/>
        <v>3.5611640049140039E-2</v>
      </c>
      <c r="S78" s="92">
        <f t="shared" si="45"/>
        <v>3.5611640049140039E-2</v>
      </c>
      <c r="T78" s="92">
        <f t="shared" si="45"/>
        <v>3.5611640049140039E-2</v>
      </c>
      <c r="U78" s="92">
        <f t="shared" si="45"/>
        <v>3.5611640049140039E-2</v>
      </c>
      <c r="V78" s="92">
        <f t="shared" si="45"/>
        <v>3.5611640049140039E-2</v>
      </c>
    </row>
    <row r="79" spans="1:45" x14ac:dyDescent="0.3">
      <c r="A79" s="90" t="s">
        <v>6</v>
      </c>
    </row>
    <row r="80" spans="1:45" x14ac:dyDescent="0.3">
      <c r="A80" s="91" t="s">
        <v>77</v>
      </c>
      <c r="B80" s="92">
        <f>$AA$6*B16/(100*$D$12)</f>
        <v>4.7669226044225937E-2</v>
      </c>
      <c r="C80" s="92">
        <f t="shared" ref="C80:V81" si="46">$AA$6*C16/(100*$D$12)</f>
        <v>6.021375921375921E-2</v>
      </c>
      <c r="D80" s="92">
        <f t="shared" si="46"/>
        <v>7.978323095823095E-2</v>
      </c>
      <c r="E80" s="92">
        <f t="shared" si="46"/>
        <v>0.10386873464373464</v>
      </c>
      <c r="F80" s="92">
        <f t="shared" si="46"/>
        <v>0.10537407862407862</v>
      </c>
      <c r="G80" s="92">
        <f t="shared" si="46"/>
        <v>9.784735872235871E-2</v>
      </c>
      <c r="H80" s="92">
        <f t="shared" si="46"/>
        <v>9.784735872235871E-2</v>
      </c>
      <c r="I80" s="92">
        <f t="shared" si="46"/>
        <v>9.784735872235871E-2</v>
      </c>
      <c r="J80" s="92">
        <f t="shared" si="46"/>
        <v>9.784735872235871E-2</v>
      </c>
      <c r="K80" s="92">
        <f t="shared" si="46"/>
        <v>9.0320638820638816E-2</v>
      </c>
      <c r="L80" s="92">
        <f t="shared" si="46"/>
        <v>9.0320638820638816E-2</v>
      </c>
      <c r="M80" s="92">
        <f t="shared" si="46"/>
        <v>9.0320638820638816E-2</v>
      </c>
      <c r="N80" s="92">
        <f t="shared" si="46"/>
        <v>9.0320638820638816E-2</v>
      </c>
      <c r="O80" s="92">
        <f t="shared" si="46"/>
        <v>8.2793918918918921E-2</v>
      </c>
      <c r="P80" s="92">
        <f t="shared" si="46"/>
        <v>8.2793918918918921E-2</v>
      </c>
      <c r="Q80" s="92">
        <f t="shared" si="46"/>
        <v>8.2793918918918921E-2</v>
      </c>
      <c r="R80" s="92">
        <f t="shared" si="46"/>
        <v>8.2793918918918921E-2</v>
      </c>
      <c r="S80" s="92">
        <f t="shared" si="46"/>
        <v>8.2793918918918921E-2</v>
      </c>
      <c r="T80" s="92">
        <f t="shared" si="46"/>
        <v>8.2793918918918921E-2</v>
      </c>
      <c r="U80" s="92">
        <f t="shared" si="46"/>
        <v>8.2793918918918921E-2</v>
      </c>
      <c r="V80" s="92">
        <f t="shared" si="46"/>
        <v>8.2793918918918921E-2</v>
      </c>
    </row>
    <row r="81" spans="1:22" x14ac:dyDescent="0.3">
      <c r="A81" s="91" t="s">
        <v>78</v>
      </c>
      <c r="B81" s="92">
        <f>$AA$6*B17/(100*$D$12)</f>
        <v>4.5160319410319408E-2</v>
      </c>
      <c r="C81" s="92">
        <f t="shared" si="46"/>
        <v>5.7203071253071253E-2</v>
      </c>
      <c r="D81" s="92">
        <f t="shared" si="46"/>
        <v>7.2256511056511055E-2</v>
      </c>
      <c r="E81" s="92">
        <f t="shared" si="46"/>
        <v>7.6772542997543006E-2</v>
      </c>
      <c r="F81" s="92">
        <f t="shared" si="46"/>
        <v>8.2793918918918921E-2</v>
      </c>
      <c r="G81" s="92">
        <f t="shared" si="46"/>
        <v>7.5267199017199013E-2</v>
      </c>
      <c r="H81" s="92">
        <f t="shared" si="46"/>
        <v>7.5267199017199013E-2</v>
      </c>
      <c r="I81" s="92">
        <f t="shared" si="46"/>
        <v>7.5267199017199013E-2</v>
      </c>
      <c r="J81" s="92">
        <f t="shared" si="46"/>
        <v>7.5267199017199013E-2</v>
      </c>
      <c r="K81" s="92">
        <f t="shared" si="46"/>
        <v>7.5267199017199013E-2</v>
      </c>
      <c r="L81" s="92">
        <f t="shared" si="46"/>
        <v>6.7740479115479105E-2</v>
      </c>
      <c r="M81" s="92">
        <f t="shared" si="46"/>
        <v>6.7740479115479105E-2</v>
      </c>
      <c r="N81" s="92">
        <f t="shared" si="46"/>
        <v>6.7740479115479105E-2</v>
      </c>
      <c r="O81" s="92">
        <f t="shared" si="46"/>
        <v>6.7740479115479105E-2</v>
      </c>
      <c r="P81" s="92">
        <f t="shared" si="46"/>
        <v>6.7740479115479105E-2</v>
      </c>
      <c r="Q81" s="92">
        <f t="shared" si="46"/>
        <v>6.7740479115479105E-2</v>
      </c>
      <c r="R81" s="92">
        <f t="shared" si="46"/>
        <v>6.7740479115479105E-2</v>
      </c>
      <c r="S81" s="92">
        <f t="shared" si="46"/>
        <v>6.7740479115479105E-2</v>
      </c>
      <c r="T81" s="92">
        <f t="shared" si="46"/>
        <v>6.7740479115479105E-2</v>
      </c>
      <c r="U81" s="92">
        <f t="shared" si="46"/>
        <v>6.7740479115479105E-2</v>
      </c>
      <c r="V81" s="92">
        <f t="shared" si="46"/>
        <v>6.7740479115479105E-2</v>
      </c>
    </row>
    <row r="82" spans="1:22" x14ac:dyDescent="0.3">
      <c r="A82" s="90" t="s">
        <v>7</v>
      </c>
      <c r="B82" s="92"/>
      <c r="C82" s="92"/>
      <c r="D82" s="92"/>
      <c r="E82" s="92"/>
      <c r="F82" s="92"/>
      <c r="G82" s="92"/>
      <c r="H82" s="92"/>
      <c r="I82" s="92"/>
      <c r="J82" s="92"/>
      <c r="K82" s="92"/>
      <c r="L82" s="92"/>
      <c r="M82" s="92"/>
      <c r="N82" s="92"/>
      <c r="O82" s="92"/>
      <c r="P82" s="92"/>
      <c r="Q82" s="92"/>
      <c r="R82" s="92"/>
      <c r="S82" s="92"/>
      <c r="T82" s="92"/>
      <c r="U82" s="92"/>
      <c r="V82" s="92"/>
    </row>
    <row r="83" spans="1:22" x14ac:dyDescent="0.3">
      <c r="A83" s="91" t="s">
        <v>77</v>
      </c>
      <c r="B83" s="92">
        <f>$AA$7*B16/(100*$D$12)</f>
        <v>4.5340909090908991E-3</v>
      </c>
      <c r="C83" s="92">
        <f t="shared" ref="C83:V84" si="47">$AA$7*C16/(100*$D$12)</f>
        <v>5.7272727272727267E-3</v>
      </c>
      <c r="D83" s="92">
        <f t="shared" si="47"/>
        <v>7.5886363636363616E-3</v>
      </c>
      <c r="E83" s="92">
        <f t="shared" si="47"/>
        <v>9.8795454545454534E-3</v>
      </c>
      <c r="F83" s="92">
        <f t="shared" si="47"/>
        <v>1.002272727272727E-2</v>
      </c>
      <c r="G83" s="92">
        <f t="shared" si="47"/>
        <v>9.30681818181818E-3</v>
      </c>
      <c r="H83" s="92">
        <f t="shared" si="47"/>
        <v>9.30681818181818E-3</v>
      </c>
      <c r="I83" s="92">
        <f t="shared" si="47"/>
        <v>9.30681818181818E-3</v>
      </c>
      <c r="J83" s="92">
        <f t="shared" si="47"/>
        <v>9.30681818181818E-3</v>
      </c>
      <c r="K83" s="92">
        <f t="shared" si="47"/>
        <v>8.59090909090909E-3</v>
      </c>
      <c r="L83" s="92">
        <f t="shared" si="47"/>
        <v>8.59090909090909E-3</v>
      </c>
      <c r="M83" s="92">
        <f t="shared" si="47"/>
        <v>8.59090909090909E-3</v>
      </c>
      <c r="N83" s="92">
        <f t="shared" si="47"/>
        <v>8.59090909090909E-3</v>
      </c>
      <c r="O83" s="92">
        <f t="shared" si="47"/>
        <v>7.8749999999999983E-3</v>
      </c>
      <c r="P83" s="92">
        <f t="shared" si="47"/>
        <v>7.8749999999999983E-3</v>
      </c>
      <c r="Q83" s="92">
        <f t="shared" si="47"/>
        <v>7.8749999999999983E-3</v>
      </c>
      <c r="R83" s="92">
        <f t="shared" si="47"/>
        <v>7.8749999999999983E-3</v>
      </c>
      <c r="S83" s="92">
        <f t="shared" si="47"/>
        <v>7.8749999999999983E-3</v>
      </c>
      <c r="T83" s="92">
        <f t="shared" si="47"/>
        <v>7.8749999999999983E-3</v>
      </c>
      <c r="U83" s="92">
        <f t="shared" si="47"/>
        <v>7.8749999999999983E-3</v>
      </c>
      <c r="V83" s="92">
        <f t="shared" si="47"/>
        <v>7.8749999999999983E-3</v>
      </c>
    </row>
    <row r="84" spans="1:22" x14ac:dyDescent="0.3">
      <c r="A84" s="91" t="s">
        <v>78</v>
      </c>
      <c r="B84" s="92">
        <f>$AA$7*B17/(100*$D$12)</f>
        <v>4.295454545454545E-3</v>
      </c>
      <c r="C84" s="92">
        <f t="shared" si="47"/>
        <v>5.4409090909090909E-3</v>
      </c>
      <c r="D84" s="92">
        <f t="shared" si="47"/>
        <v>6.8727272727272717E-3</v>
      </c>
      <c r="E84" s="92">
        <f t="shared" si="47"/>
        <v>7.3022727272727267E-3</v>
      </c>
      <c r="F84" s="92">
        <f t="shared" si="47"/>
        <v>7.8749999999999983E-3</v>
      </c>
      <c r="G84" s="92">
        <f t="shared" si="47"/>
        <v>7.1590909090909084E-3</v>
      </c>
      <c r="H84" s="92">
        <f t="shared" si="47"/>
        <v>7.1590909090909084E-3</v>
      </c>
      <c r="I84" s="92">
        <f t="shared" si="47"/>
        <v>7.1590909090909084E-3</v>
      </c>
      <c r="J84" s="92">
        <f t="shared" si="47"/>
        <v>7.1590909090909084E-3</v>
      </c>
      <c r="K84" s="92">
        <f t="shared" si="47"/>
        <v>7.1590909090909084E-3</v>
      </c>
      <c r="L84" s="92">
        <f t="shared" si="47"/>
        <v>6.4431818181818175E-3</v>
      </c>
      <c r="M84" s="92">
        <f t="shared" si="47"/>
        <v>6.4431818181818175E-3</v>
      </c>
      <c r="N84" s="92">
        <f t="shared" si="47"/>
        <v>6.4431818181818175E-3</v>
      </c>
      <c r="O84" s="92">
        <f t="shared" si="47"/>
        <v>6.4431818181818175E-3</v>
      </c>
      <c r="P84" s="92">
        <f t="shared" si="47"/>
        <v>6.4431818181818175E-3</v>
      </c>
      <c r="Q84" s="92">
        <f t="shared" si="47"/>
        <v>6.4431818181818175E-3</v>
      </c>
      <c r="R84" s="92">
        <f t="shared" si="47"/>
        <v>6.4431818181818175E-3</v>
      </c>
      <c r="S84" s="92">
        <f t="shared" si="47"/>
        <v>6.4431818181818175E-3</v>
      </c>
      <c r="T84" s="92">
        <f t="shared" si="47"/>
        <v>6.4431818181818175E-3</v>
      </c>
      <c r="U84" s="92">
        <f t="shared" si="47"/>
        <v>6.4431818181818175E-3</v>
      </c>
      <c r="V84" s="92">
        <f t="shared" si="47"/>
        <v>6.4431818181818175E-3</v>
      </c>
    </row>
    <row r="85" spans="1:22" x14ac:dyDescent="0.3">
      <c r="A85" s="90" t="s">
        <v>12</v>
      </c>
    </row>
    <row r="86" spans="1:22" x14ac:dyDescent="0.3">
      <c r="A86" s="91" t="s">
        <v>77</v>
      </c>
      <c r="B86" s="92">
        <f>$AA$8*B16/(100*$D$12)</f>
        <v>4.2154791154791066E-2</v>
      </c>
      <c r="C86" s="92">
        <f t="shared" ref="C86:V87" si="48">$AA$8*C16/(100*$D$12)</f>
        <v>5.3248157248157242E-2</v>
      </c>
      <c r="D86" s="92">
        <f t="shared" si="48"/>
        <v>7.0553808353808339E-2</v>
      </c>
      <c r="E86" s="92">
        <f t="shared" si="48"/>
        <v>9.1853071253071239E-2</v>
      </c>
      <c r="F86" s="92">
        <f t="shared" si="48"/>
        <v>9.3184275184275162E-2</v>
      </c>
      <c r="G86" s="92">
        <f t="shared" si="48"/>
        <v>8.6528255528255507E-2</v>
      </c>
      <c r="H86" s="92">
        <f t="shared" si="48"/>
        <v>8.6528255528255507E-2</v>
      </c>
      <c r="I86" s="92">
        <f t="shared" si="48"/>
        <v>8.6528255528255507E-2</v>
      </c>
      <c r="J86" s="92">
        <f t="shared" si="48"/>
        <v>8.6528255528255507E-2</v>
      </c>
      <c r="K86" s="92">
        <f t="shared" si="48"/>
        <v>7.9872235872235867E-2</v>
      </c>
      <c r="L86" s="92">
        <f t="shared" si="48"/>
        <v>7.9872235872235867E-2</v>
      </c>
      <c r="M86" s="92">
        <f t="shared" si="48"/>
        <v>7.9872235872235867E-2</v>
      </c>
      <c r="N86" s="92">
        <f t="shared" si="48"/>
        <v>7.9872235872235867E-2</v>
      </c>
      <c r="O86" s="92">
        <f t="shared" si="48"/>
        <v>7.3216216216216212E-2</v>
      </c>
      <c r="P86" s="92">
        <f t="shared" si="48"/>
        <v>7.3216216216216212E-2</v>
      </c>
      <c r="Q86" s="92">
        <f t="shared" si="48"/>
        <v>7.3216216216216212E-2</v>
      </c>
      <c r="R86" s="92">
        <f t="shared" si="48"/>
        <v>7.3216216216216212E-2</v>
      </c>
      <c r="S86" s="92">
        <f t="shared" si="48"/>
        <v>7.3216216216216212E-2</v>
      </c>
      <c r="T86" s="92">
        <f t="shared" si="48"/>
        <v>7.3216216216216212E-2</v>
      </c>
      <c r="U86" s="92">
        <f t="shared" si="48"/>
        <v>7.3216216216216212E-2</v>
      </c>
      <c r="V86" s="92">
        <f t="shared" si="48"/>
        <v>7.3216216216216212E-2</v>
      </c>
    </row>
    <row r="87" spans="1:22" x14ac:dyDescent="0.3">
      <c r="A87" s="91" t="s">
        <v>78</v>
      </c>
      <c r="B87" s="92">
        <f>$AA$8*B17/(100*$D$12)</f>
        <v>3.9936117936117933E-2</v>
      </c>
      <c r="C87" s="92">
        <f t="shared" si="48"/>
        <v>5.0585749385749383E-2</v>
      </c>
      <c r="D87" s="92">
        <f t="shared" si="48"/>
        <v>6.3897788697788699E-2</v>
      </c>
      <c r="E87" s="92">
        <f t="shared" si="48"/>
        <v>6.7891400491400494E-2</v>
      </c>
      <c r="F87" s="92">
        <f t="shared" si="48"/>
        <v>7.3216216216216212E-2</v>
      </c>
      <c r="G87" s="92">
        <f t="shared" si="48"/>
        <v>6.6560196560196544E-2</v>
      </c>
      <c r="H87" s="92">
        <f t="shared" si="48"/>
        <v>6.6560196560196544E-2</v>
      </c>
      <c r="I87" s="92">
        <f t="shared" si="48"/>
        <v>6.6560196560196544E-2</v>
      </c>
      <c r="J87" s="92">
        <f t="shared" si="48"/>
        <v>6.6560196560196544E-2</v>
      </c>
      <c r="K87" s="92">
        <f t="shared" si="48"/>
        <v>6.6560196560196544E-2</v>
      </c>
      <c r="L87" s="92">
        <f t="shared" si="48"/>
        <v>5.9904176904176897E-2</v>
      </c>
      <c r="M87" s="92">
        <f t="shared" si="48"/>
        <v>5.9904176904176897E-2</v>
      </c>
      <c r="N87" s="92">
        <f t="shared" si="48"/>
        <v>5.9904176904176897E-2</v>
      </c>
      <c r="O87" s="92">
        <f t="shared" si="48"/>
        <v>5.9904176904176897E-2</v>
      </c>
      <c r="P87" s="92">
        <f t="shared" si="48"/>
        <v>5.9904176904176897E-2</v>
      </c>
      <c r="Q87" s="92">
        <f t="shared" si="48"/>
        <v>5.9904176904176897E-2</v>
      </c>
      <c r="R87" s="92">
        <f t="shared" si="48"/>
        <v>5.9904176904176897E-2</v>
      </c>
      <c r="S87" s="92">
        <f t="shared" si="48"/>
        <v>5.9904176904176897E-2</v>
      </c>
      <c r="T87" s="92">
        <f t="shared" si="48"/>
        <v>5.9904176904176897E-2</v>
      </c>
      <c r="U87" s="92">
        <f t="shared" si="48"/>
        <v>5.9904176904176897E-2</v>
      </c>
      <c r="V87" s="92">
        <f t="shared" si="48"/>
        <v>5.9904176904176897E-2</v>
      </c>
    </row>
    <row r="88" spans="1:22" x14ac:dyDescent="0.3">
      <c r="A88" s="90" t="s">
        <v>81</v>
      </c>
    </row>
    <row r="89" spans="1:22" x14ac:dyDescent="0.3">
      <c r="A89" s="91" t="s">
        <v>77</v>
      </c>
      <c r="B89" s="92">
        <f>$AA$9*B16/(100*$D$12)</f>
        <v>0.17910578163390625</v>
      </c>
      <c r="C89" s="92">
        <f t="shared" ref="C89:V90" si="49">$AA$9*C16/(100*$D$12)</f>
        <v>0.22623888206388204</v>
      </c>
      <c r="D89" s="92">
        <f t="shared" si="49"/>
        <v>0.29976651873464366</v>
      </c>
      <c r="E89" s="92">
        <f t="shared" si="49"/>
        <v>0.39026207156019654</v>
      </c>
      <c r="F89" s="92">
        <f t="shared" si="49"/>
        <v>0.39591804361179361</v>
      </c>
      <c r="G89" s="92">
        <f t="shared" si="49"/>
        <v>0.36763818335380827</v>
      </c>
      <c r="H89" s="92">
        <f t="shared" si="49"/>
        <v>0.36763818335380827</v>
      </c>
      <c r="I89" s="92">
        <f t="shared" si="49"/>
        <v>0.36763818335380827</v>
      </c>
      <c r="J89" s="92">
        <f t="shared" si="49"/>
        <v>0.36763818335380827</v>
      </c>
      <c r="K89" s="92">
        <f t="shared" si="49"/>
        <v>0.33935832309582303</v>
      </c>
      <c r="L89" s="92">
        <f t="shared" si="49"/>
        <v>0.33935832309582303</v>
      </c>
      <c r="M89" s="92">
        <f t="shared" si="49"/>
        <v>0.33935832309582303</v>
      </c>
      <c r="N89" s="92">
        <f t="shared" si="49"/>
        <v>0.33935832309582303</v>
      </c>
      <c r="O89" s="92">
        <f t="shared" si="49"/>
        <v>0.31107846283783785</v>
      </c>
      <c r="P89" s="92">
        <f t="shared" si="49"/>
        <v>0.31107846283783785</v>
      </c>
      <c r="Q89" s="92">
        <f t="shared" si="49"/>
        <v>0.31107846283783785</v>
      </c>
      <c r="R89" s="92">
        <f t="shared" si="49"/>
        <v>0.31107846283783785</v>
      </c>
      <c r="S89" s="92">
        <f t="shared" si="49"/>
        <v>0.31107846283783785</v>
      </c>
      <c r="T89" s="92">
        <f t="shared" si="49"/>
        <v>0.31107846283783785</v>
      </c>
      <c r="U89" s="92">
        <f t="shared" si="49"/>
        <v>0.31107846283783785</v>
      </c>
      <c r="V89" s="92">
        <f t="shared" si="49"/>
        <v>0.31107846283783785</v>
      </c>
    </row>
    <row r="90" spans="1:22" x14ac:dyDescent="0.3">
      <c r="A90" s="91" t="s">
        <v>78</v>
      </c>
      <c r="B90" s="92">
        <f>$AA$9*B17/(100*$D$12)</f>
        <v>0.16967916154791152</v>
      </c>
      <c r="C90" s="92">
        <f t="shared" si="49"/>
        <v>0.21492693796068796</v>
      </c>
      <c r="D90" s="92">
        <f t="shared" si="49"/>
        <v>0.27148665847665848</v>
      </c>
      <c r="E90" s="92">
        <f t="shared" si="49"/>
        <v>0.28845457463144963</v>
      </c>
      <c r="F90" s="92">
        <f t="shared" si="49"/>
        <v>0.31107846283783785</v>
      </c>
      <c r="G90" s="92">
        <f t="shared" si="49"/>
        <v>0.28279860257985256</v>
      </c>
      <c r="H90" s="92">
        <f t="shared" si="49"/>
        <v>0.28279860257985256</v>
      </c>
      <c r="I90" s="92">
        <f t="shared" si="49"/>
        <v>0.28279860257985256</v>
      </c>
      <c r="J90" s="92">
        <f t="shared" si="49"/>
        <v>0.28279860257985256</v>
      </c>
      <c r="K90" s="92">
        <f t="shared" si="49"/>
        <v>0.28279860257985256</v>
      </c>
      <c r="L90" s="92">
        <f t="shared" si="49"/>
        <v>0.25451874232186728</v>
      </c>
      <c r="M90" s="92">
        <f t="shared" si="49"/>
        <v>0.25451874232186728</v>
      </c>
      <c r="N90" s="92">
        <f t="shared" si="49"/>
        <v>0.25451874232186728</v>
      </c>
      <c r="O90" s="92">
        <f t="shared" si="49"/>
        <v>0.25451874232186728</v>
      </c>
      <c r="P90" s="92">
        <f t="shared" si="49"/>
        <v>0.25451874232186728</v>
      </c>
      <c r="Q90" s="92">
        <f t="shared" si="49"/>
        <v>0.25451874232186728</v>
      </c>
      <c r="R90" s="92">
        <f t="shared" si="49"/>
        <v>0.25451874232186728</v>
      </c>
      <c r="S90" s="92">
        <f t="shared" si="49"/>
        <v>0.25451874232186728</v>
      </c>
      <c r="T90" s="92">
        <f t="shared" si="49"/>
        <v>0.25451874232186728</v>
      </c>
      <c r="U90" s="92">
        <f t="shared" si="49"/>
        <v>0.25451874232186728</v>
      </c>
      <c r="V90" s="92">
        <f t="shared" si="49"/>
        <v>0.25451874232186728</v>
      </c>
    </row>
    <row r="91" spans="1:22" x14ac:dyDescent="0.3">
      <c r="A91" s="90" t="s">
        <v>92</v>
      </c>
    </row>
    <row r="92" spans="1:22" x14ac:dyDescent="0.3">
      <c r="A92" s="91" t="s">
        <v>77</v>
      </c>
      <c r="B92" s="92">
        <f>$AA$10*B16/(100*$D$12)</f>
        <v>7.2046091830466674E-2</v>
      </c>
      <c r="C92" s="92">
        <f t="shared" ref="C92:V93" si="50">$AA$10*C16/(100*$D$12)</f>
        <v>9.1005589680589666E-2</v>
      </c>
      <c r="D92" s="92">
        <f t="shared" si="50"/>
        <v>0.12058240632678131</v>
      </c>
      <c r="E92" s="92">
        <f t="shared" si="50"/>
        <v>0.15698464219901717</v>
      </c>
      <c r="F92" s="92">
        <f t="shared" si="50"/>
        <v>0.15925978194103194</v>
      </c>
      <c r="G92" s="92">
        <f t="shared" si="50"/>
        <v>0.14788408323095822</v>
      </c>
      <c r="H92" s="92">
        <f t="shared" si="50"/>
        <v>0.14788408323095822</v>
      </c>
      <c r="I92" s="92">
        <f t="shared" si="50"/>
        <v>0.14788408323095822</v>
      </c>
      <c r="J92" s="92">
        <f t="shared" si="50"/>
        <v>0.14788408323095822</v>
      </c>
      <c r="K92" s="92">
        <f t="shared" si="50"/>
        <v>0.13650838452088448</v>
      </c>
      <c r="L92" s="92">
        <f t="shared" si="50"/>
        <v>0.13650838452088448</v>
      </c>
      <c r="M92" s="92">
        <f t="shared" si="50"/>
        <v>0.13650838452088448</v>
      </c>
      <c r="N92" s="92">
        <f t="shared" si="50"/>
        <v>0.13650838452088448</v>
      </c>
      <c r="O92" s="92">
        <f t="shared" si="50"/>
        <v>0.1251326858108108</v>
      </c>
      <c r="P92" s="92">
        <f t="shared" si="50"/>
        <v>0.1251326858108108</v>
      </c>
      <c r="Q92" s="92">
        <f t="shared" si="50"/>
        <v>0.1251326858108108</v>
      </c>
      <c r="R92" s="92">
        <f t="shared" si="50"/>
        <v>0.1251326858108108</v>
      </c>
      <c r="S92" s="92">
        <f t="shared" si="50"/>
        <v>0.1251326858108108</v>
      </c>
      <c r="T92" s="92">
        <f t="shared" si="50"/>
        <v>0.1251326858108108</v>
      </c>
      <c r="U92" s="92">
        <f t="shared" si="50"/>
        <v>0.1251326858108108</v>
      </c>
      <c r="V92" s="92">
        <f t="shared" si="50"/>
        <v>0.1251326858108108</v>
      </c>
    </row>
    <row r="93" spans="1:22" x14ac:dyDescent="0.3">
      <c r="A93" s="91" t="s">
        <v>78</v>
      </c>
      <c r="B93" s="92">
        <f>$AA$10*B17/(100*$D$12)</f>
        <v>6.8254192260442242E-2</v>
      </c>
      <c r="C93" s="92">
        <f t="shared" si="50"/>
        <v>8.6455310196560192E-2</v>
      </c>
      <c r="D93" s="92">
        <f t="shared" si="50"/>
        <v>0.1092067076167076</v>
      </c>
      <c r="E93" s="92">
        <f t="shared" si="50"/>
        <v>0.11603212684275184</v>
      </c>
      <c r="F93" s="92">
        <f t="shared" si="50"/>
        <v>0.1251326858108108</v>
      </c>
      <c r="G93" s="92">
        <f t="shared" si="50"/>
        <v>0.11375698710073708</v>
      </c>
      <c r="H93" s="92">
        <f t="shared" si="50"/>
        <v>0.11375698710073708</v>
      </c>
      <c r="I93" s="92">
        <f t="shared" si="50"/>
        <v>0.11375698710073708</v>
      </c>
      <c r="J93" s="92">
        <f t="shared" si="50"/>
        <v>0.11375698710073708</v>
      </c>
      <c r="K93" s="92">
        <f t="shared" si="50"/>
        <v>0.11375698710073708</v>
      </c>
      <c r="L93" s="92">
        <f t="shared" si="50"/>
        <v>0.10238128839066338</v>
      </c>
      <c r="M93" s="92">
        <f t="shared" si="50"/>
        <v>0.10238128839066338</v>
      </c>
      <c r="N93" s="92">
        <f t="shared" si="50"/>
        <v>0.10238128839066338</v>
      </c>
      <c r="O93" s="92">
        <f t="shared" si="50"/>
        <v>0.10238128839066338</v>
      </c>
      <c r="P93" s="92">
        <f t="shared" si="50"/>
        <v>0.10238128839066338</v>
      </c>
      <c r="Q93" s="92">
        <f t="shared" si="50"/>
        <v>0.10238128839066338</v>
      </c>
      <c r="R93" s="92">
        <f t="shared" si="50"/>
        <v>0.10238128839066338</v>
      </c>
      <c r="S93" s="92">
        <f t="shared" si="50"/>
        <v>0.10238128839066338</v>
      </c>
      <c r="T93" s="92">
        <f t="shared" si="50"/>
        <v>0.10238128839066338</v>
      </c>
      <c r="U93" s="92">
        <f t="shared" si="50"/>
        <v>0.10238128839066338</v>
      </c>
      <c r="V93" s="92">
        <f t="shared" si="50"/>
        <v>0.10238128839066338</v>
      </c>
    </row>
    <row r="94" spans="1:22" x14ac:dyDescent="0.3">
      <c r="A94" s="90" t="s">
        <v>85</v>
      </c>
      <c r="B94" s="92"/>
      <c r="C94" s="92"/>
      <c r="D94" s="92"/>
      <c r="E94" s="92"/>
      <c r="F94" s="92"/>
      <c r="G94" s="92"/>
      <c r="H94" s="92"/>
      <c r="I94" s="92"/>
      <c r="J94" s="92"/>
      <c r="K94" s="92"/>
      <c r="L94" s="92"/>
      <c r="M94" s="92"/>
      <c r="N94" s="92"/>
      <c r="O94" s="92"/>
      <c r="P94" s="92"/>
      <c r="Q94" s="92"/>
      <c r="R94" s="92"/>
      <c r="S94" s="92"/>
      <c r="T94" s="92"/>
      <c r="U94" s="92"/>
      <c r="V94" s="92"/>
    </row>
    <row r="95" spans="1:22" x14ac:dyDescent="0.3">
      <c r="A95" s="91" t="s">
        <v>77</v>
      </c>
      <c r="B95" s="92">
        <f>$AA$11*B16/(100*$D$12)</f>
        <v>0.2294617628992624</v>
      </c>
      <c r="C95" s="92">
        <f t="shared" ref="C95:V96" si="51">$AA$11*C16/(100*$D$12)</f>
        <v>0.28984643734643734</v>
      </c>
      <c r="D95" s="92">
        <f t="shared" si="51"/>
        <v>0.38404652948402945</v>
      </c>
      <c r="E95" s="92">
        <f t="shared" si="51"/>
        <v>0.49998510442260446</v>
      </c>
      <c r="F95" s="92">
        <f t="shared" si="51"/>
        <v>0.50723126535626528</v>
      </c>
      <c r="G95" s="92">
        <f t="shared" si="51"/>
        <v>0.47100046068796064</v>
      </c>
      <c r="H95" s="92">
        <f t="shared" si="51"/>
        <v>0.47100046068796064</v>
      </c>
      <c r="I95" s="92">
        <f t="shared" si="51"/>
        <v>0.47100046068796064</v>
      </c>
      <c r="J95" s="92">
        <f t="shared" si="51"/>
        <v>0.47100046068796064</v>
      </c>
      <c r="K95" s="92">
        <f t="shared" si="51"/>
        <v>0.43476965601965595</v>
      </c>
      <c r="L95" s="92">
        <f t="shared" si="51"/>
        <v>0.43476965601965595</v>
      </c>
      <c r="M95" s="92">
        <f t="shared" si="51"/>
        <v>0.43476965601965595</v>
      </c>
      <c r="N95" s="92">
        <f t="shared" si="51"/>
        <v>0.43476965601965595</v>
      </c>
      <c r="O95" s="92">
        <f t="shared" si="51"/>
        <v>0.39853885135135131</v>
      </c>
      <c r="P95" s="92">
        <f t="shared" si="51"/>
        <v>0.39853885135135131</v>
      </c>
      <c r="Q95" s="92">
        <f t="shared" si="51"/>
        <v>0.39853885135135131</v>
      </c>
      <c r="R95" s="92">
        <f t="shared" si="51"/>
        <v>0.39853885135135131</v>
      </c>
      <c r="S95" s="92">
        <f t="shared" si="51"/>
        <v>0.39853885135135131</v>
      </c>
      <c r="T95" s="92">
        <f t="shared" si="51"/>
        <v>0.39853885135135131</v>
      </c>
      <c r="U95" s="92">
        <f t="shared" si="51"/>
        <v>0.39853885135135131</v>
      </c>
      <c r="V95" s="92">
        <f t="shared" si="51"/>
        <v>0.39853885135135131</v>
      </c>
    </row>
    <row r="96" spans="1:22" x14ac:dyDescent="0.3">
      <c r="A96" s="91" t="s">
        <v>78</v>
      </c>
      <c r="B96" s="92">
        <f>$AA$11*B17/(100*$D$12)</f>
        <v>0.21738482800982797</v>
      </c>
      <c r="C96" s="92">
        <f t="shared" si="51"/>
        <v>0.27535411547911548</v>
      </c>
      <c r="D96" s="92">
        <f t="shared" si="51"/>
        <v>0.34781572481572481</v>
      </c>
      <c r="E96" s="92">
        <f t="shared" si="51"/>
        <v>0.36955420761670765</v>
      </c>
      <c r="F96" s="92">
        <f t="shared" si="51"/>
        <v>0.39853885135135131</v>
      </c>
      <c r="G96" s="92">
        <f t="shared" si="51"/>
        <v>0.36230804668304661</v>
      </c>
      <c r="H96" s="92">
        <f t="shared" si="51"/>
        <v>0.36230804668304661</v>
      </c>
      <c r="I96" s="92">
        <f t="shared" si="51"/>
        <v>0.36230804668304661</v>
      </c>
      <c r="J96" s="92">
        <f t="shared" si="51"/>
        <v>0.36230804668304661</v>
      </c>
      <c r="K96" s="92">
        <f t="shared" si="51"/>
        <v>0.36230804668304661</v>
      </c>
      <c r="L96" s="92">
        <f t="shared" si="51"/>
        <v>0.32607724201474203</v>
      </c>
      <c r="M96" s="92">
        <f t="shared" si="51"/>
        <v>0.32607724201474203</v>
      </c>
      <c r="N96" s="92">
        <f t="shared" si="51"/>
        <v>0.32607724201474203</v>
      </c>
      <c r="O96" s="92">
        <f t="shared" si="51"/>
        <v>0.32607724201474203</v>
      </c>
      <c r="P96" s="92">
        <f t="shared" si="51"/>
        <v>0.32607724201474203</v>
      </c>
      <c r="Q96" s="92">
        <f t="shared" si="51"/>
        <v>0.32607724201474203</v>
      </c>
      <c r="R96" s="92">
        <f t="shared" si="51"/>
        <v>0.32607724201474203</v>
      </c>
      <c r="S96" s="92">
        <f t="shared" si="51"/>
        <v>0.32607724201474203</v>
      </c>
      <c r="T96" s="92">
        <f t="shared" si="51"/>
        <v>0.32607724201474203</v>
      </c>
      <c r="U96" s="92">
        <f t="shared" si="51"/>
        <v>0.32607724201474203</v>
      </c>
      <c r="V96" s="92">
        <f t="shared" si="51"/>
        <v>0.32607724201474203</v>
      </c>
    </row>
  </sheetData>
  <mergeCells count="4">
    <mergeCell ref="B2:C2"/>
    <mergeCell ref="D2:E2"/>
    <mergeCell ref="F2:G2"/>
    <mergeCell ref="H2:H3"/>
  </mergeCells>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33BD6-E24D-413F-B458-4E4837DA802C}">
  <dimension ref="A1:Q559"/>
  <sheetViews>
    <sheetView topLeftCell="A4" zoomScaleNormal="100" workbookViewId="0"/>
  </sheetViews>
  <sheetFormatPr defaultRowHeight="15" customHeight="1" x14ac:dyDescent="0.3"/>
  <cols>
    <col min="1" max="1" width="28.6640625" customWidth="1"/>
    <col min="2" max="2" width="12.6640625" customWidth="1"/>
    <col min="3" max="3" width="14.33203125" customWidth="1"/>
    <col min="4" max="4" width="13.44140625" customWidth="1"/>
    <col min="7" max="7" width="18.77734375" customWidth="1"/>
    <col min="8" max="8" width="8.88671875" customWidth="1"/>
    <col min="9" max="9" width="11.5546875" customWidth="1"/>
    <col min="15" max="15" width="10.6640625" customWidth="1"/>
  </cols>
  <sheetData>
    <row r="1" spans="1:17" ht="15" customHeight="1" x14ac:dyDescent="0.3">
      <c r="A1" t="s">
        <v>863</v>
      </c>
      <c r="C1" t="s">
        <v>864</v>
      </c>
    </row>
    <row r="3" spans="1:17" ht="15" customHeight="1" x14ac:dyDescent="0.3">
      <c r="A3" s="170" t="s">
        <v>349</v>
      </c>
      <c r="B3" s="171" t="s">
        <v>350</v>
      </c>
      <c r="C3" s="171" t="s">
        <v>351</v>
      </c>
      <c r="D3" s="171" t="s">
        <v>352</v>
      </c>
      <c r="G3" s="4"/>
      <c r="H3" s="4" t="s">
        <v>862</v>
      </c>
      <c r="I3" s="193"/>
      <c r="J3" s="193"/>
    </row>
    <row r="4" spans="1:17" ht="15" customHeight="1" x14ac:dyDescent="0.3">
      <c r="A4" s="172" t="s">
        <v>861</v>
      </c>
      <c r="B4" s="171" t="s">
        <v>353</v>
      </c>
      <c r="C4" s="171" t="s">
        <v>354</v>
      </c>
      <c r="D4" s="171" t="s">
        <v>354</v>
      </c>
      <c r="G4" s="5" t="s">
        <v>0</v>
      </c>
      <c r="H4" s="179"/>
      <c r="I4" s="171" t="s">
        <v>350</v>
      </c>
      <c r="J4" s="171" t="s">
        <v>351</v>
      </c>
      <c r="K4" s="171" t="s">
        <v>352</v>
      </c>
      <c r="L4" s="178"/>
      <c r="M4" s="178"/>
      <c r="O4" s="178"/>
      <c r="P4" s="178"/>
    </row>
    <row r="5" spans="1:17" ht="15" customHeight="1" x14ac:dyDescent="0.3">
      <c r="A5" s="170" t="s">
        <v>355</v>
      </c>
      <c r="B5" s="173"/>
      <c r="C5" s="173"/>
      <c r="D5" s="173"/>
      <c r="G5" s="66" t="s">
        <v>5</v>
      </c>
      <c r="H5" s="66"/>
      <c r="N5" s="192" t="s">
        <v>94</v>
      </c>
      <c r="O5" t="s">
        <v>866</v>
      </c>
      <c r="P5" t="s">
        <v>865</v>
      </c>
      <c r="Q5" t="s">
        <v>865</v>
      </c>
    </row>
    <row r="6" spans="1:17" ht="15" customHeight="1" x14ac:dyDescent="0.3">
      <c r="A6" s="172" t="s">
        <v>357</v>
      </c>
      <c r="B6" s="174">
        <v>334</v>
      </c>
      <c r="C6" s="174">
        <v>12.2</v>
      </c>
      <c r="D6" s="174">
        <v>2.2999999999999998</v>
      </c>
      <c r="G6" s="4" t="s">
        <v>47</v>
      </c>
      <c r="H6" s="4">
        <v>89090747.032727256</v>
      </c>
      <c r="I6">
        <f>SUMPRODUCT(I7:I8,$H7:$H8) / SUM($H7:$H8)</f>
        <v>189.66686425882642</v>
      </c>
      <c r="J6">
        <f>SUMPRODUCT(J7:J8,$H7:$H8) / SUM($H7:$H8)</f>
        <v>17.889306884874259</v>
      </c>
      <c r="K6">
        <f>SUMPRODUCT(K7:K8,$H7:$H8) / SUM($H7:$H8)</f>
        <v>9.5368418640914072</v>
      </c>
      <c r="N6" s="192"/>
      <c r="O6" s="171" t="s">
        <v>350</v>
      </c>
      <c r="P6" s="171" t="s">
        <v>351</v>
      </c>
      <c r="Q6" s="171" t="s">
        <v>352</v>
      </c>
    </row>
    <row r="7" spans="1:17" ht="15" customHeight="1" x14ac:dyDescent="0.3">
      <c r="A7" s="172" t="s">
        <v>359</v>
      </c>
      <c r="B7" s="174">
        <v>364</v>
      </c>
      <c r="C7" s="174">
        <v>10.9</v>
      </c>
      <c r="D7" s="174">
        <v>1.1000000000000001</v>
      </c>
      <c r="G7" s="9" t="s">
        <v>14</v>
      </c>
      <c r="H7" s="9">
        <v>72330136.62999998</v>
      </c>
      <c r="I7">
        <f>AVERAGE(B319:B328)</f>
        <v>197.7</v>
      </c>
      <c r="J7">
        <f>AVERAGE(C319:C328)</f>
        <v>18.75</v>
      </c>
      <c r="K7">
        <f>AVERAGE(D319:D328)</f>
        <v>9.36</v>
      </c>
      <c r="M7" t="s">
        <v>82</v>
      </c>
      <c r="N7" s="92">
        <v>1.2</v>
      </c>
      <c r="O7">
        <v>189.66686425882642</v>
      </c>
      <c r="P7">
        <v>17.889306884874259</v>
      </c>
      <c r="Q7">
        <v>9.5368418640914072</v>
      </c>
    </row>
    <row r="8" spans="1:17" ht="15" customHeight="1" x14ac:dyDescent="0.3">
      <c r="A8" s="172" t="s">
        <v>361</v>
      </c>
      <c r="B8" s="174">
        <v>213</v>
      </c>
      <c r="C8" s="174">
        <v>12.1</v>
      </c>
      <c r="D8" s="174">
        <v>3.1</v>
      </c>
      <c r="G8" s="9" t="s">
        <v>29</v>
      </c>
      <c r="H8" s="9">
        <v>16760610.402727274</v>
      </c>
      <c r="I8">
        <f>AVERAGE(B330:B333)</f>
        <v>155</v>
      </c>
      <c r="J8">
        <f>AVERAGE(C330:C333)</f>
        <v>14.175000000000001</v>
      </c>
      <c r="K8">
        <f>AVERAGE(D330:D333)</f>
        <v>10.3</v>
      </c>
      <c r="M8" t="s">
        <v>83</v>
      </c>
      <c r="N8" s="92">
        <v>1.5456366668226973</v>
      </c>
      <c r="O8">
        <v>195.5920518652735</v>
      </c>
      <c r="P8">
        <v>17.448340381599653</v>
      </c>
      <c r="Q8">
        <v>12.645020175610169</v>
      </c>
    </row>
    <row r="9" spans="1:17" ht="15" customHeight="1" x14ac:dyDescent="0.3">
      <c r="A9" s="172" t="s">
        <v>363</v>
      </c>
      <c r="B9" s="174">
        <v>367</v>
      </c>
      <c r="C9" s="174">
        <v>11</v>
      </c>
      <c r="D9" s="174">
        <v>1.1000000000000001</v>
      </c>
      <c r="G9" s="62" t="s">
        <v>48</v>
      </c>
      <c r="H9" s="62">
        <v>415716822.37</v>
      </c>
      <c r="I9">
        <f>SUMPRODUCT(I10:I12,$H10:$H12) / SUM($H10:$H12)</f>
        <v>195.5920518652735</v>
      </c>
      <c r="J9">
        <f>SUMPRODUCT(J10:J12,$H10:$H12) / SUM($H10:$H12)</f>
        <v>17.448340381599653</v>
      </c>
      <c r="K9">
        <f>SUMPRODUCT(K10:K12,$H10:$H12) / SUM($H10:$H12)</f>
        <v>12.645020175610169</v>
      </c>
      <c r="M9" t="s">
        <v>6</v>
      </c>
      <c r="N9" s="92">
        <v>0.6</v>
      </c>
      <c r="O9">
        <v>170.21212121212122</v>
      </c>
      <c r="P9">
        <v>13.687878787878789</v>
      </c>
      <c r="Q9">
        <v>6.4090909090909101</v>
      </c>
    </row>
    <row r="10" spans="1:17" ht="15" customHeight="1" x14ac:dyDescent="0.3">
      <c r="A10" s="172" t="s">
        <v>365</v>
      </c>
      <c r="B10" s="174">
        <v>382</v>
      </c>
      <c r="C10" s="174">
        <v>29.1</v>
      </c>
      <c r="D10" s="174">
        <v>10.7</v>
      </c>
      <c r="G10" s="9" t="s">
        <v>15</v>
      </c>
      <c r="H10" s="9">
        <v>127724962.21181817</v>
      </c>
      <c r="I10">
        <f>AVERAGE(B340:B351)</f>
        <v>200.75</v>
      </c>
      <c r="J10">
        <f>AVERAGE(C340:C351)</f>
        <v>15.6</v>
      </c>
      <c r="K10">
        <f>AVERAGE(D340:D351)</f>
        <v>14.066666666666668</v>
      </c>
      <c r="M10" s="126" t="s">
        <v>7</v>
      </c>
      <c r="N10" s="92">
        <v>1.4298150163220891</v>
      </c>
      <c r="O10">
        <v>220.6</v>
      </c>
      <c r="P10">
        <v>17.999999999999996</v>
      </c>
      <c r="Q10">
        <v>14.979999999999999</v>
      </c>
    </row>
    <row r="11" spans="1:17" ht="15" customHeight="1" x14ac:dyDescent="0.3">
      <c r="A11" s="172" t="s">
        <v>367</v>
      </c>
      <c r="B11" s="174">
        <v>249</v>
      </c>
      <c r="C11" s="174">
        <v>8.1999999999999993</v>
      </c>
      <c r="D11" s="174">
        <v>1.2</v>
      </c>
      <c r="G11" s="9" t="s">
        <v>16</v>
      </c>
      <c r="H11" s="9">
        <v>117502314.70363636</v>
      </c>
      <c r="I11">
        <f>AVERAGE(B335:B339)</f>
        <v>270.2</v>
      </c>
      <c r="J11">
        <f>AVERAGE(C335:C339)</f>
        <v>14.520000000000001</v>
      </c>
      <c r="K11">
        <f>AVERAGE(D335:D339)</f>
        <v>22.94</v>
      </c>
      <c r="M11" t="s">
        <v>81</v>
      </c>
      <c r="N11" s="92">
        <v>3.4424410540915393</v>
      </c>
      <c r="O11">
        <v>348.25</v>
      </c>
      <c r="P11">
        <v>24.149999999999995</v>
      </c>
      <c r="Q11">
        <v>3.375</v>
      </c>
    </row>
    <row r="12" spans="1:17" ht="15" customHeight="1" x14ac:dyDescent="0.3">
      <c r="A12" s="172" t="s">
        <v>369</v>
      </c>
      <c r="B12" s="174">
        <v>345</v>
      </c>
      <c r="C12" s="174">
        <v>12.3</v>
      </c>
      <c r="D12" s="174">
        <v>2</v>
      </c>
      <c r="G12" s="9" t="s">
        <v>8</v>
      </c>
      <c r="H12" s="9">
        <v>170489545.45454547</v>
      </c>
      <c r="I12">
        <f>AVERAGE(B375:B414)</f>
        <v>140.30769230769232</v>
      </c>
      <c r="J12">
        <f>AVERAGE(C375:C414)</f>
        <v>20.851282051282048</v>
      </c>
      <c r="K12">
        <f>AVERAGE(D375:D414)</f>
        <v>4.4846153846153838</v>
      </c>
      <c r="M12" t="s">
        <v>12</v>
      </c>
      <c r="N12" s="92">
        <v>3.2067183462532296</v>
      </c>
      <c r="O12">
        <v>351.45454545454544</v>
      </c>
      <c r="P12">
        <v>14.23636363636364</v>
      </c>
      <c r="Q12">
        <v>3.732727272727272</v>
      </c>
    </row>
    <row r="13" spans="1:17" ht="15" customHeight="1" x14ac:dyDescent="0.3">
      <c r="A13" s="172" t="s">
        <v>371</v>
      </c>
      <c r="B13" s="174">
        <v>369</v>
      </c>
      <c r="C13" s="174">
        <v>7.4</v>
      </c>
      <c r="D13" s="174">
        <v>17</v>
      </c>
      <c r="G13" s="4" t="s">
        <v>6</v>
      </c>
      <c r="H13" s="4">
        <v>873717474.42363632</v>
      </c>
      <c r="I13">
        <f>AVERAGE(B420:B452)</f>
        <v>170.21212121212122</v>
      </c>
      <c r="J13">
        <f>AVERAGE(C420:C452)</f>
        <v>13.687878787878789</v>
      </c>
      <c r="K13">
        <f>AVERAGE(D420:D452)</f>
        <v>6.4090909090909101</v>
      </c>
      <c r="M13" t="s">
        <v>84</v>
      </c>
      <c r="N13" s="92">
        <v>0.48304880897582098</v>
      </c>
      <c r="O13">
        <v>107.5032736593468</v>
      </c>
      <c r="P13">
        <v>1.7991506471176779</v>
      </c>
      <c r="Q13">
        <v>0.40234258934039924</v>
      </c>
    </row>
    <row r="14" spans="1:17" ht="15" customHeight="1" x14ac:dyDescent="0.3">
      <c r="A14" s="172" t="s">
        <v>373</v>
      </c>
      <c r="B14" s="174">
        <v>362</v>
      </c>
      <c r="C14" s="174">
        <v>0.5</v>
      </c>
      <c r="D14" s="174">
        <v>0.3</v>
      </c>
      <c r="G14" s="6" t="s">
        <v>7</v>
      </c>
      <c r="H14" s="4">
        <v>86322230.36636363</v>
      </c>
      <c r="I14">
        <f>AVERAGE(B369:B373)</f>
        <v>220.6</v>
      </c>
      <c r="J14">
        <f>AVERAGE(C369:C373)</f>
        <v>17.999999999999996</v>
      </c>
      <c r="K14">
        <f>AVERAGE(D369:D373)</f>
        <v>14.979999999999999</v>
      </c>
      <c r="M14" t="s">
        <v>85</v>
      </c>
      <c r="N14" s="92">
        <v>0.8</v>
      </c>
      <c r="O14">
        <v>360.80529030747255</v>
      </c>
      <c r="P14">
        <v>0.25897898339475883</v>
      </c>
      <c r="Q14">
        <v>9.5072471046008538</v>
      </c>
    </row>
    <row r="15" spans="1:17" ht="15" customHeight="1" x14ac:dyDescent="0.3">
      <c r="A15" s="172" t="s">
        <v>375</v>
      </c>
      <c r="B15" s="174">
        <v>380</v>
      </c>
      <c r="C15" s="174">
        <v>95</v>
      </c>
      <c r="D15" s="174">
        <v>0</v>
      </c>
      <c r="G15" s="4" t="s">
        <v>12</v>
      </c>
      <c r="H15" s="4">
        <v>87114217.88181819</v>
      </c>
      <c r="I15">
        <f>AVERAGE(B101:B112)</f>
        <v>348.25</v>
      </c>
      <c r="J15">
        <f>AVERAGE(C101:C112)</f>
        <v>24.149999999999995</v>
      </c>
      <c r="K15">
        <f>AVERAGE(D101:D112)</f>
        <v>3.375</v>
      </c>
      <c r="N15" s="92">
        <v>1.52604801675541</v>
      </c>
    </row>
    <row r="16" spans="1:17" ht="15" customHeight="1" x14ac:dyDescent="0.3">
      <c r="A16" s="172" t="s">
        <v>377</v>
      </c>
      <c r="B16" s="174">
        <v>280</v>
      </c>
      <c r="C16" s="174">
        <v>6</v>
      </c>
      <c r="D16" s="174">
        <v>1.4</v>
      </c>
      <c r="G16" s="4" t="s">
        <v>21</v>
      </c>
      <c r="H16" s="4">
        <v>2949808064.4127274</v>
      </c>
      <c r="I16">
        <f>AVERAGE(B6:B60)</f>
        <v>351.45454545454544</v>
      </c>
      <c r="J16">
        <f>AVERAGE(C6:C60)</f>
        <v>14.23636363636364</v>
      </c>
      <c r="K16">
        <f>AVERAGE(D6:D60)</f>
        <v>3.732727272727272</v>
      </c>
    </row>
    <row r="17" spans="1:11" ht="15" customHeight="1" x14ac:dyDescent="0.3">
      <c r="A17" s="172" t="s">
        <v>379</v>
      </c>
      <c r="B17" s="174">
        <v>357</v>
      </c>
      <c r="C17" s="174">
        <v>7.5</v>
      </c>
      <c r="D17" s="174">
        <v>1.8</v>
      </c>
      <c r="G17" s="9" t="s">
        <v>18</v>
      </c>
      <c r="H17" s="9">
        <v>758442905.32818186</v>
      </c>
    </row>
    <row r="18" spans="1:11" ht="15" customHeight="1" x14ac:dyDescent="0.3">
      <c r="A18" s="172" t="s">
        <v>381</v>
      </c>
      <c r="B18" s="174">
        <v>360</v>
      </c>
      <c r="C18" s="174">
        <v>6.7</v>
      </c>
      <c r="D18" s="174">
        <v>0.7</v>
      </c>
      <c r="G18" s="9" t="s">
        <v>19</v>
      </c>
      <c r="H18" s="9">
        <v>760863070.41272724</v>
      </c>
    </row>
    <row r="19" spans="1:11" ht="15" customHeight="1" x14ac:dyDescent="0.3">
      <c r="A19" s="172" t="s">
        <v>383</v>
      </c>
      <c r="B19" s="174">
        <v>360</v>
      </c>
      <c r="C19" s="174">
        <v>6.7</v>
      </c>
      <c r="D19" s="174">
        <v>0.7</v>
      </c>
      <c r="G19" s="9" t="s">
        <v>20</v>
      </c>
      <c r="H19" s="9">
        <v>1125799963.5518181</v>
      </c>
    </row>
    <row r="20" spans="1:11" ht="15" customHeight="1" x14ac:dyDescent="0.3">
      <c r="A20" s="172" t="s">
        <v>385</v>
      </c>
      <c r="B20" s="174">
        <v>366</v>
      </c>
      <c r="C20" s="174">
        <v>6.4</v>
      </c>
      <c r="D20" s="174">
        <v>0.8</v>
      </c>
      <c r="G20" s="9" t="s">
        <v>37</v>
      </c>
      <c r="H20" s="9">
        <v>304702125.12000012</v>
      </c>
    </row>
    <row r="21" spans="1:11" ht="15" customHeight="1" x14ac:dyDescent="0.3">
      <c r="A21" s="172" t="s">
        <v>386</v>
      </c>
      <c r="B21" s="174">
        <v>380</v>
      </c>
      <c r="C21" s="174">
        <v>95</v>
      </c>
      <c r="D21" s="174">
        <v>0</v>
      </c>
      <c r="G21" s="4" t="s">
        <v>13</v>
      </c>
      <c r="H21" s="4">
        <v>2855573821.4754548</v>
      </c>
      <c r="I21">
        <f>SUMPRODUCT(I22:I24,$H22:$H24) / SUM($H22:$H24)</f>
        <v>107.5032736593468</v>
      </c>
      <c r="J21">
        <f>SUMPRODUCT(J22:J24,$H22:$H24) / SUM($H22:$H24)</f>
        <v>1.7991506471176779</v>
      </c>
      <c r="K21">
        <f>SUMPRODUCT(K22:K24,$H22:$H24) / SUM($H22:$H24)</f>
        <v>0.40234258934039924</v>
      </c>
    </row>
    <row r="22" spans="1:11" ht="15" customHeight="1" x14ac:dyDescent="0.3">
      <c r="A22" s="172" t="s">
        <v>388</v>
      </c>
      <c r="B22" s="174">
        <v>362</v>
      </c>
      <c r="C22" s="174">
        <v>0.5</v>
      </c>
      <c r="D22" s="174">
        <v>0.3</v>
      </c>
      <c r="G22" s="9" t="s">
        <v>22</v>
      </c>
      <c r="H22" s="9">
        <v>1115305413.1918185</v>
      </c>
      <c r="I22">
        <f>AVERAGE(B163:B205)</f>
        <v>52.953488372093027</v>
      </c>
      <c r="J22">
        <f>AVERAGE(C163:C205)</f>
        <v>2.3651162790697673</v>
      </c>
      <c r="K22">
        <f>AVERAGE(D163:D205)</f>
        <v>0.39069767441860465</v>
      </c>
    </row>
    <row r="23" spans="1:11" ht="15" customHeight="1" x14ac:dyDescent="0.3">
      <c r="A23" s="172" t="s">
        <v>390</v>
      </c>
      <c r="B23" s="174">
        <v>276</v>
      </c>
      <c r="C23" s="174">
        <v>13.3</v>
      </c>
      <c r="D23" s="174">
        <v>15.8</v>
      </c>
      <c r="G23" s="9" t="s">
        <v>23</v>
      </c>
      <c r="H23" s="9">
        <v>874800887.81545448</v>
      </c>
      <c r="I23">
        <f>AVERAGE(B208:B269)</f>
        <v>69.129032258064512</v>
      </c>
      <c r="J23">
        <f>AVERAGE(C208:C269)</f>
        <v>0.80322580645161235</v>
      </c>
      <c r="K23">
        <f>AVERAGE(D208:D269)</f>
        <v>0.49516129032258077</v>
      </c>
    </row>
    <row r="24" spans="1:11" ht="15" customHeight="1" x14ac:dyDescent="0.3">
      <c r="A24" s="172" t="s">
        <v>392</v>
      </c>
      <c r="B24" s="174">
        <v>332</v>
      </c>
      <c r="C24" s="174">
        <v>11</v>
      </c>
      <c r="D24" s="174">
        <v>1.8</v>
      </c>
      <c r="G24" s="9" t="s">
        <v>24</v>
      </c>
      <c r="H24" s="9">
        <v>865467520.46818173</v>
      </c>
      <c r="I24">
        <f>AVERAGE(B62:B78)</f>
        <v>216.58823529411765</v>
      </c>
      <c r="J24">
        <f>AVERAGE(C62:C78)</f>
        <v>2.0764705882352938</v>
      </c>
      <c r="K24">
        <f>AVERAGE(D62:D78)</f>
        <v>0.32352941176470584</v>
      </c>
    </row>
    <row r="25" spans="1:11" ht="15" customHeight="1" x14ac:dyDescent="0.3">
      <c r="A25" s="172" t="s">
        <v>394</v>
      </c>
      <c r="B25" s="174">
        <v>348</v>
      </c>
      <c r="C25" s="174">
        <v>9.6</v>
      </c>
      <c r="D25" s="174">
        <v>1.1000000000000001</v>
      </c>
      <c r="G25" s="4" t="s">
        <v>80</v>
      </c>
      <c r="H25" s="4"/>
      <c r="I25">
        <f>SUMPRODUCT(I26:I30,$H26:$H30) / SUM($H26:$H30)</f>
        <v>360.80529030747255</v>
      </c>
      <c r="J25">
        <f>SUMPRODUCT(J26:J30,$H26:$H30) / SUM($H26:$H30)</f>
        <v>0.25897898339475883</v>
      </c>
      <c r="K25">
        <f>SUMPRODUCT(K26:K30,$H26:$H30) / SUM($H26:$H30)</f>
        <v>9.5072471046008538</v>
      </c>
    </row>
    <row r="26" spans="1:11" ht="15" customHeight="1" x14ac:dyDescent="0.3">
      <c r="A26" s="172" t="s">
        <v>396</v>
      </c>
      <c r="B26" s="174">
        <v>346</v>
      </c>
      <c r="C26" s="174">
        <v>9</v>
      </c>
      <c r="D26" s="174">
        <v>1.4</v>
      </c>
      <c r="G26" s="9" t="s">
        <v>25</v>
      </c>
      <c r="H26" s="9">
        <v>0</v>
      </c>
    </row>
    <row r="27" spans="1:11" ht="15" customHeight="1" x14ac:dyDescent="0.3">
      <c r="A27" s="172" t="s">
        <v>398</v>
      </c>
      <c r="B27" s="174">
        <v>343</v>
      </c>
      <c r="C27" s="174">
        <v>9.1999999999999993</v>
      </c>
      <c r="D27" s="174">
        <v>1.7</v>
      </c>
      <c r="G27" s="9" t="s">
        <v>9</v>
      </c>
      <c r="H27" s="9">
        <v>229976276.94272727</v>
      </c>
      <c r="I27">
        <f>AVERAGE(B495:B521)</f>
        <v>866.11111111111109</v>
      </c>
      <c r="J27">
        <f>AVERAGE(C495:C521)</f>
        <v>4.4444444444444446E-2</v>
      </c>
      <c r="K27">
        <f>AVERAGE(D495:D521)</f>
        <v>98.037037037037038</v>
      </c>
    </row>
    <row r="28" spans="1:11" ht="15" customHeight="1" x14ac:dyDescent="0.3">
      <c r="A28" s="172" t="s">
        <v>400</v>
      </c>
      <c r="B28" s="174">
        <v>368</v>
      </c>
      <c r="C28" s="174">
        <v>13.1</v>
      </c>
      <c r="D28" s="174">
        <v>1.9</v>
      </c>
      <c r="G28" s="9" t="s">
        <v>26</v>
      </c>
      <c r="H28" s="9">
        <v>2176334168.5754547</v>
      </c>
      <c r="I28">
        <f>AVERAGE(B81:B98)</f>
        <v>307.22222222222223</v>
      </c>
      <c r="J28">
        <f>AVERAGE(C81:C98)</f>
        <v>0.17777777777777776</v>
      </c>
      <c r="K28">
        <f>AVERAGE(D81:D98)</f>
        <v>5.5555555555555558E-3</v>
      </c>
    </row>
    <row r="29" spans="1:11" ht="15" customHeight="1" x14ac:dyDescent="0.3">
      <c r="A29" s="172" t="s">
        <v>402</v>
      </c>
      <c r="B29" s="174">
        <v>367</v>
      </c>
      <c r="C29" s="174">
        <v>6</v>
      </c>
      <c r="D29" s="174">
        <v>0</v>
      </c>
      <c r="G29" s="9" t="s">
        <v>36</v>
      </c>
      <c r="H29" s="9">
        <v>0</v>
      </c>
    </row>
    <row r="30" spans="1:11" ht="15" customHeight="1" x14ac:dyDescent="0.3">
      <c r="A30" s="172" t="s">
        <v>404</v>
      </c>
      <c r="B30" s="174">
        <v>356</v>
      </c>
      <c r="C30" s="174">
        <v>9.5</v>
      </c>
      <c r="D30" s="174">
        <v>4.3</v>
      </c>
      <c r="G30" s="9" t="s">
        <v>10</v>
      </c>
      <c r="H30" s="9">
        <v>15214575.944545455</v>
      </c>
      <c r="I30">
        <f>AVERAGE(B115:B161)</f>
        <v>387.51063829787233</v>
      </c>
      <c r="J30">
        <f>AVERAGE(C115:C161)</f>
        <v>15.117021276595747</v>
      </c>
      <c r="K30">
        <f>AVERAGE(D115:D161)</f>
        <v>30.480851063829789</v>
      </c>
    </row>
    <row r="31" spans="1:11" ht="15" customHeight="1" x14ac:dyDescent="0.3">
      <c r="A31" s="172" t="s">
        <v>406</v>
      </c>
      <c r="B31" s="174">
        <v>373</v>
      </c>
      <c r="C31" s="174">
        <v>11.1</v>
      </c>
      <c r="D31" s="174">
        <v>38.5</v>
      </c>
    </row>
    <row r="32" spans="1:11" ht="15" customHeight="1" x14ac:dyDescent="0.3">
      <c r="A32" s="172" t="s">
        <v>408</v>
      </c>
      <c r="B32" s="174">
        <v>363</v>
      </c>
      <c r="C32" s="174">
        <v>8.4</v>
      </c>
      <c r="D32" s="174">
        <v>1.2</v>
      </c>
    </row>
    <row r="33" spans="1:4" ht="15" customHeight="1" x14ac:dyDescent="0.3">
      <c r="A33" s="172" t="s">
        <v>410</v>
      </c>
      <c r="B33" s="174">
        <v>380</v>
      </c>
      <c r="C33" s="174">
        <v>95</v>
      </c>
      <c r="D33" s="174">
        <v>0</v>
      </c>
    </row>
    <row r="34" spans="1:4" ht="15" customHeight="1" x14ac:dyDescent="0.3">
      <c r="A34" s="172" t="s">
        <v>412</v>
      </c>
      <c r="B34" s="174">
        <v>362</v>
      </c>
      <c r="C34" s="174">
        <v>0.5</v>
      </c>
      <c r="D34" s="174">
        <v>0.3</v>
      </c>
    </row>
    <row r="35" spans="1:4" ht="15" customHeight="1" x14ac:dyDescent="0.3">
      <c r="A35" s="172" t="s">
        <v>414</v>
      </c>
      <c r="B35" s="174">
        <v>356</v>
      </c>
      <c r="C35" s="174">
        <v>9.5</v>
      </c>
      <c r="D35" s="174">
        <v>4.3</v>
      </c>
    </row>
    <row r="36" spans="1:4" ht="15" customHeight="1" x14ac:dyDescent="0.3">
      <c r="A36" s="172" t="s">
        <v>416</v>
      </c>
      <c r="B36" s="174">
        <v>319</v>
      </c>
      <c r="C36" s="174">
        <v>11</v>
      </c>
      <c r="D36" s="174">
        <v>1.9</v>
      </c>
    </row>
    <row r="37" spans="1:4" ht="15" customHeight="1" x14ac:dyDescent="0.3">
      <c r="A37" s="172" t="s">
        <v>418</v>
      </c>
      <c r="B37" s="174">
        <v>341</v>
      </c>
      <c r="C37" s="174">
        <v>9</v>
      </c>
      <c r="D37" s="174">
        <v>1.8</v>
      </c>
    </row>
    <row r="38" spans="1:4" ht="15" customHeight="1" x14ac:dyDescent="0.3">
      <c r="A38" s="172" t="s">
        <v>420</v>
      </c>
      <c r="B38" s="174">
        <v>385</v>
      </c>
      <c r="C38" s="174">
        <v>13</v>
      </c>
      <c r="D38" s="174">
        <v>7.5</v>
      </c>
    </row>
    <row r="39" spans="1:4" ht="15" customHeight="1" x14ac:dyDescent="0.3">
      <c r="A39" s="172" t="s">
        <v>422</v>
      </c>
      <c r="B39" s="174">
        <v>384</v>
      </c>
      <c r="C39" s="174">
        <v>16</v>
      </c>
      <c r="D39" s="174">
        <v>6.3</v>
      </c>
    </row>
    <row r="40" spans="1:4" ht="15" customHeight="1" x14ac:dyDescent="0.3">
      <c r="A40" s="172" t="s">
        <v>423</v>
      </c>
      <c r="B40" s="174">
        <v>340</v>
      </c>
      <c r="C40" s="174">
        <v>9.6999999999999993</v>
      </c>
      <c r="D40" s="174">
        <v>3</v>
      </c>
    </row>
    <row r="41" spans="1:4" ht="15" customHeight="1" x14ac:dyDescent="0.3">
      <c r="A41" s="172" t="s">
        <v>425</v>
      </c>
      <c r="B41" s="174">
        <v>340</v>
      </c>
      <c r="C41" s="174">
        <v>9.6999999999999993</v>
      </c>
      <c r="D41" s="174">
        <v>3</v>
      </c>
    </row>
    <row r="42" spans="1:4" ht="15" customHeight="1" x14ac:dyDescent="0.3">
      <c r="A42" s="172" t="s">
        <v>427</v>
      </c>
      <c r="B42" s="174">
        <v>343</v>
      </c>
      <c r="C42" s="174">
        <v>10.1</v>
      </c>
      <c r="D42" s="174">
        <v>3.3</v>
      </c>
    </row>
    <row r="43" spans="1:4" ht="15" customHeight="1" x14ac:dyDescent="0.3">
      <c r="A43" s="172" t="s">
        <v>429</v>
      </c>
      <c r="B43" s="174">
        <v>343</v>
      </c>
      <c r="C43" s="174">
        <v>10.1</v>
      </c>
      <c r="D43" s="174">
        <v>3.3</v>
      </c>
    </row>
    <row r="44" spans="1:4" ht="15" customHeight="1" x14ac:dyDescent="0.3">
      <c r="A44" s="172" t="s">
        <v>431</v>
      </c>
      <c r="B44" s="174">
        <v>330</v>
      </c>
      <c r="C44" s="174">
        <v>11</v>
      </c>
      <c r="D44" s="174">
        <v>2</v>
      </c>
    </row>
    <row r="45" spans="1:4" ht="15" customHeight="1" x14ac:dyDescent="0.3">
      <c r="A45" s="172" t="s">
        <v>433</v>
      </c>
      <c r="B45" s="174">
        <v>344</v>
      </c>
      <c r="C45" s="174">
        <v>6.4</v>
      </c>
      <c r="D45" s="174">
        <v>1.2</v>
      </c>
    </row>
    <row r="46" spans="1:4" ht="15" customHeight="1" x14ac:dyDescent="0.3">
      <c r="A46" s="172" t="s">
        <v>356</v>
      </c>
      <c r="B46" s="174">
        <v>342</v>
      </c>
      <c r="C46" s="174">
        <v>12</v>
      </c>
      <c r="D46" s="174">
        <v>5</v>
      </c>
    </row>
    <row r="47" spans="1:4" ht="15" customHeight="1" x14ac:dyDescent="0.3">
      <c r="A47" s="172" t="s">
        <v>358</v>
      </c>
      <c r="B47" s="174">
        <v>338</v>
      </c>
      <c r="C47" s="174">
        <v>8</v>
      </c>
      <c r="D47" s="174">
        <v>3</v>
      </c>
    </row>
    <row r="48" spans="1:4" ht="15" customHeight="1" x14ac:dyDescent="0.3">
      <c r="A48" s="172" t="s">
        <v>360</v>
      </c>
      <c r="B48" s="174">
        <v>355</v>
      </c>
      <c r="C48" s="174">
        <v>9</v>
      </c>
      <c r="D48" s="174">
        <v>2.2000000000000002</v>
      </c>
    </row>
    <row r="49" spans="1:4" ht="15" customHeight="1" x14ac:dyDescent="0.3">
      <c r="A49" s="172" t="s">
        <v>362</v>
      </c>
      <c r="B49" s="174">
        <v>327</v>
      </c>
      <c r="C49" s="174">
        <v>11.6</v>
      </c>
      <c r="D49" s="174">
        <v>2.1</v>
      </c>
    </row>
    <row r="50" spans="1:4" ht="15" customHeight="1" x14ac:dyDescent="0.3">
      <c r="A50" s="172" t="s">
        <v>364</v>
      </c>
      <c r="B50" s="174">
        <v>341</v>
      </c>
      <c r="C50" s="174">
        <v>11.4</v>
      </c>
      <c r="D50" s="174">
        <v>2.1</v>
      </c>
    </row>
    <row r="51" spans="1:4" ht="15" customHeight="1" x14ac:dyDescent="0.3">
      <c r="A51" s="172" t="s">
        <v>366</v>
      </c>
      <c r="B51" s="174">
        <v>388</v>
      </c>
      <c r="C51" s="174">
        <v>16</v>
      </c>
      <c r="D51" s="174">
        <v>6</v>
      </c>
    </row>
    <row r="52" spans="1:4" ht="15" customHeight="1" x14ac:dyDescent="0.3">
      <c r="A52" s="172" t="s">
        <v>368</v>
      </c>
      <c r="B52" s="174">
        <v>340</v>
      </c>
      <c r="C52" s="174">
        <v>8</v>
      </c>
      <c r="D52" s="174">
        <v>1.5</v>
      </c>
    </row>
    <row r="53" spans="1:4" ht="15" customHeight="1" x14ac:dyDescent="0.3">
      <c r="A53" s="172" t="s">
        <v>370</v>
      </c>
      <c r="B53" s="174">
        <v>364</v>
      </c>
      <c r="C53" s="174">
        <v>10</v>
      </c>
      <c r="D53" s="174">
        <v>1.1000000000000001</v>
      </c>
    </row>
    <row r="54" spans="1:4" ht="15" customHeight="1" x14ac:dyDescent="0.3">
      <c r="A54" s="172" t="s">
        <v>372</v>
      </c>
      <c r="B54" s="174">
        <v>340</v>
      </c>
      <c r="C54" s="174">
        <v>8</v>
      </c>
      <c r="D54" s="174">
        <v>1.5</v>
      </c>
    </row>
    <row r="55" spans="1:4" ht="15" customHeight="1" x14ac:dyDescent="0.3">
      <c r="A55" s="172" t="s">
        <v>374</v>
      </c>
      <c r="B55" s="174">
        <v>439</v>
      </c>
      <c r="C55" s="174">
        <v>9.1999999999999993</v>
      </c>
      <c r="D55" s="174">
        <v>13.1</v>
      </c>
    </row>
    <row r="56" spans="1:4" ht="15" customHeight="1" x14ac:dyDescent="0.3">
      <c r="A56" s="172" t="s">
        <v>376</v>
      </c>
      <c r="B56" s="174">
        <v>364</v>
      </c>
      <c r="C56" s="174">
        <v>10</v>
      </c>
      <c r="D56" s="174">
        <v>1.1000000000000001</v>
      </c>
    </row>
    <row r="57" spans="1:4" ht="15" customHeight="1" x14ac:dyDescent="0.3">
      <c r="A57" s="172" t="s">
        <v>378</v>
      </c>
      <c r="B57" s="174">
        <v>389</v>
      </c>
      <c r="C57" s="174">
        <v>7.4</v>
      </c>
      <c r="D57" s="174">
        <v>0.7</v>
      </c>
    </row>
    <row r="58" spans="1:4" ht="15" customHeight="1" x14ac:dyDescent="0.3">
      <c r="A58" s="172" t="s">
        <v>380</v>
      </c>
      <c r="B58" s="174">
        <v>364</v>
      </c>
      <c r="C58" s="174">
        <v>10</v>
      </c>
      <c r="D58" s="174">
        <v>1.1000000000000001</v>
      </c>
    </row>
    <row r="59" spans="1:4" ht="15" customHeight="1" x14ac:dyDescent="0.3">
      <c r="A59" s="172" t="s">
        <v>382</v>
      </c>
      <c r="B59" s="174">
        <v>393</v>
      </c>
      <c r="C59" s="174">
        <v>6.2</v>
      </c>
      <c r="D59" s="174">
        <v>12</v>
      </c>
    </row>
    <row r="60" spans="1:4" ht="15" customHeight="1" x14ac:dyDescent="0.3">
      <c r="A60" s="172" t="s">
        <v>384</v>
      </c>
      <c r="B60" s="174">
        <v>377</v>
      </c>
      <c r="C60" s="174">
        <v>7.5</v>
      </c>
      <c r="D60" s="174">
        <v>2.7</v>
      </c>
    </row>
    <row r="61" spans="1:4" ht="15" customHeight="1" x14ac:dyDescent="0.3">
      <c r="A61" s="170" t="s">
        <v>387</v>
      </c>
      <c r="B61" s="174"/>
      <c r="C61" s="174"/>
      <c r="D61" s="174"/>
    </row>
    <row r="62" spans="1:4" ht="15" customHeight="1" x14ac:dyDescent="0.3">
      <c r="A62" s="172" t="s">
        <v>389</v>
      </c>
      <c r="B62" s="174">
        <v>67</v>
      </c>
      <c r="C62" s="174">
        <v>1.6</v>
      </c>
      <c r="D62" s="174">
        <v>0.1</v>
      </c>
    </row>
    <row r="63" spans="1:4" ht="15" customHeight="1" x14ac:dyDescent="0.3">
      <c r="A63" s="172" t="s">
        <v>391</v>
      </c>
      <c r="B63" s="174">
        <v>349</v>
      </c>
      <c r="C63" s="174">
        <v>8.5</v>
      </c>
      <c r="D63" s="174">
        <v>0.4</v>
      </c>
    </row>
    <row r="64" spans="1:4" ht="15" customHeight="1" x14ac:dyDescent="0.3">
      <c r="A64" s="172" t="s">
        <v>393</v>
      </c>
      <c r="B64" s="174">
        <v>73</v>
      </c>
      <c r="C64" s="174">
        <v>1.2</v>
      </c>
      <c r="D64" s="174">
        <v>0</v>
      </c>
    </row>
    <row r="65" spans="1:4" ht="15" customHeight="1" x14ac:dyDescent="0.3">
      <c r="A65" s="172" t="s">
        <v>395</v>
      </c>
      <c r="B65" s="174">
        <v>362</v>
      </c>
      <c r="C65" s="174">
        <v>0.5</v>
      </c>
      <c r="D65" s="174">
        <v>0.3</v>
      </c>
    </row>
    <row r="66" spans="1:4" ht="15" customHeight="1" x14ac:dyDescent="0.3">
      <c r="A66" s="172" t="s">
        <v>397</v>
      </c>
      <c r="B66" s="174">
        <v>362</v>
      </c>
      <c r="C66" s="174">
        <v>0.5</v>
      </c>
      <c r="D66" s="174">
        <v>0.3</v>
      </c>
    </row>
    <row r="67" spans="1:4" ht="15" customHeight="1" x14ac:dyDescent="0.3">
      <c r="A67" s="172" t="s">
        <v>399</v>
      </c>
      <c r="B67" s="174">
        <v>92</v>
      </c>
      <c r="C67" s="174">
        <v>0.7</v>
      </c>
      <c r="D67" s="174">
        <v>0.2</v>
      </c>
    </row>
    <row r="68" spans="1:4" ht="15" customHeight="1" x14ac:dyDescent="0.3">
      <c r="A68" s="172" t="s">
        <v>401</v>
      </c>
      <c r="B68" s="174">
        <v>109</v>
      </c>
      <c r="C68" s="174">
        <v>0.9</v>
      </c>
      <c r="D68" s="174">
        <v>0.2</v>
      </c>
    </row>
    <row r="69" spans="1:4" ht="15" customHeight="1" x14ac:dyDescent="0.3">
      <c r="A69" s="172" t="s">
        <v>403</v>
      </c>
      <c r="B69" s="174">
        <v>338</v>
      </c>
      <c r="C69" s="174">
        <v>1.5</v>
      </c>
      <c r="D69" s="174">
        <v>0.6</v>
      </c>
    </row>
    <row r="70" spans="1:4" ht="15" customHeight="1" x14ac:dyDescent="0.3">
      <c r="A70" s="172" t="s">
        <v>405</v>
      </c>
      <c r="B70" s="174">
        <v>362</v>
      </c>
      <c r="C70" s="174">
        <v>0.5</v>
      </c>
      <c r="D70" s="174">
        <v>0.3</v>
      </c>
    </row>
    <row r="71" spans="1:4" ht="15" customHeight="1" x14ac:dyDescent="0.3">
      <c r="A71" s="172" t="s">
        <v>407</v>
      </c>
      <c r="B71" s="174">
        <v>255</v>
      </c>
      <c r="C71" s="174">
        <v>2.8</v>
      </c>
      <c r="D71" s="174">
        <v>0.7</v>
      </c>
    </row>
    <row r="72" spans="1:4" ht="15" customHeight="1" x14ac:dyDescent="0.3">
      <c r="A72" s="172" t="s">
        <v>409</v>
      </c>
      <c r="B72" s="174">
        <v>362</v>
      </c>
      <c r="C72" s="174">
        <v>0.5</v>
      </c>
      <c r="D72" s="174">
        <v>0.3</v>
      </c>
    </row>
    <row r="73" spans="1:4" ht="15" customHeight="1" x14ac:dyDescent="0.3">
      <c r="A73" s="172" t="s">
        <v>411</v>
      </c>
      <c r="B73" s="174">
        <v>109</v>
      </c>
      <c r="C73" s="174">
        <v>1.7</v>
      </c>
      <c r="D73" s="174">
        <v>0.3</v>
      </c>
    </row>
    <row r="74" spans="1:4" ht="15" customHeight="1" x14ac:dyDescent="0.3">
      <c r="A74" s="172" t="s">
        <v>413</v>
      </c>
      <c r="B74" s="174">
        <v>86</v>
      </c>
      <c r="C74" s="174">
        <v>1.5</v>
      </c>
      <c r="D74" s="174">
        <v>0.2</v>
      </c>
    </row>
    <row r="75" spans="1:4" ht="15" customHeight="1" x14ac:dyDescent="0.3">
      <c r="A75" s="172" t="s">
        <v>415</v>
      </c>
      <c r="B75" s="174">
        <v>101</v>
      </c>
      <c r="C75" s="174">
        <v>1.3</v>
      </c>
      <c r="D75" s="174">
        <v>0.2</v>
      </c>
    </row>
    <row r="76" spans="1:4" ht="15" customHeight="1" x14ac:dyDescent="0.3">
      <c r="A76" s="172" t="s">
        <v>417</v>
      </c>
      <c r="B76" s="174">
        <v>91</v>
      </c>
      <c r="C76" s="174">
        <v>1.6</v>
      </c>
      <c r="D76" s="174">
        <v>0.2</v>
      </c>
    </row>
    <row r="77" spans="1:4" ht="15" customHeight="1" x14ac:dyDescent="0.3">
      <c r="A77" s="172" t="s">
        <v>419</v>
      </c>
      <c r="B77" s="174">
        <v>282</v>
      </c>
      <c r="C77" s="174">
        <v>5</v>
      </c>
      <c r="D77" s="174">
        <v>0.6</v>
      </c>
    </row>
    <row r="78" spans="1:4" ht="15" customHeight="1" x14ac:dyDescent="0.3">
      <c r="A78" s="172" t="s">
        <v>421</v>
      </c>
      <c r="B78" s="174">
        <v>282</v>
      </c>
      <c r="C78" s="174">
        <v>5</v>
      </c>
      <c r="D78" s="174">
        <v>0.6</v>
      </c>
    </row>
    <row r="79" spans="1:4" ht="15" customHeight="1" x14ac:dyDescent="0.3">
      <c r="A79" s="172"/>
      <c r="B79" s="174"/>
      <c r="C79" s="174"/>
      <c r="D79" s="174"/>
    </row>
    <row r="80" spans="1:4" ht="15" customHeight="1" x14ac:dyDescent="0.3">
      <c r="A80" s="170" t="s">
        <v>424</v>
      </c>
      <c r="B80" s="174"/>
      <c r="C80" s="174"/>
      <c r="D80" s="174"/>
    </row>
    <row r="81" spans="1:4" ht="15" customHeight="1" x14ac:dyDescent="0.3">
      <c r="A81" s="172" t="s">
        <v>426</v>
      </c>
      <c r="B81" s="174">
        <v>30</v>
      </c>
      <c r="C81" s="174">
        <v>0.2</v>
      </c>
      <c r="D81" s="174">
        <v>0</v>
      </c>
    </row>
    <row r="82" spans="1:4" ht="15" customHeight="1" x14ac:dyDescent="0.3">
      <c r="A82" s="172" t="s">
        <v>428</v>
      </c>
      <c r="B82" s="174">
        <v>70</v>
      </c>
      <c r="C82" s="174">
        <v>1.3</v>
      </c>
      <c r="D82" s="174">
        <v>0.1</v>
      </c>
    </row>
    <row r="83" spans="1:4" ht="15" customHeight="1" x14ac:dyDescent="0.3">
      <c r="A83" s="172" t="s">
        <v>430</v>
      </c>
      <c r="B83" s="174">
        <v>390</v>
      </c>
      <c r="C83" s="174">
        <v>0</v>
      </c>
      <c r="D83" s="174">
        <v>0</v>
      </c>
    </row>
    <row r="84" spans="1:4" ht="15" customHeight="1" x14ac:dyDescent="0.3">
      <c r="A84" s="172" t="s">
        <v>432</v>
      </c>
      <c r="B84" s="174">
        <v>373</v>
      </c>
      <c r="C84" s="174">
        <v>0</v>
      </c>
      <c r="D84" s="174">
        <v>0</v>
      </c>
    </row>
    <row r="85" spans="1:4" ht="15" customHeight="1" x14ac:dyDescent="0.3">
      <c r="A85" s="172" t="s">
        <v>434</v>
      </c>
      <c r="B85" s="174">
        <v>387</v>
      </c>
      <c r="C85" s="174">
        <v>0</v>
      </c>
      <c r="D85" s="174">
        <v>0</v>
      </c>
    </row>
    <row r="86" spans="1:4" ht="15" customHeight="1" x14ac:dyDescent="0.3">
      <c r="A86" s="172" t="s">
        <v>435</v>
      </c>
      <c r="B86" s="174">
        <v>351</v>
      </c>
      <c r="C86" s="174">
        <v>1</v>
      </c>
      <c r="D86" s="174">
        <v>0</v>
      </c>
    </row>
    <row r="87" spans="1:4" ht="15" customHeight="1" x14ac:dyDescent="0.3">
      <c r="A87" s="172" t="s">
        <v>437</v>
      </c>
      <c r="B87" s="174">
        <v>232</v>
      </c>
      <c r="C87" s="174">
        <v>0</v>
      </c>
      <c r="D87" s="174">
        <v>0</v>
      </c>
    </row>
    <row r="88" spans="1:4" ht="15" customHeight="1" x14ac:dyDescent="0.3">
      <c r="A88" s="172" t="s">
        <v>439</v>
      </c>
      <c r="B88" s="174">
        <v>348</v>
      </c>
      <c r="C88" s="174">
        <v>0</v>
      </c>
      <c r="D88" s="174">
        <v>0</v>
      </c>
    </row>
    <row r="89" spans="1:4" ht="15" customHeight="1" x14ac:dyDescent="0.3">
      <c r="A89" s="172" t="s">
        <v>441</v>
      </c>
      <c r="B89" s="174">
        <v>310</v>
      </c>
      <c r="C89" s="174">
        <v>0</v>
      </c>
      <c r="D89" s="174">
        <v>0</v>
      </c>
    </row>
    <row r="90" spans="1:4" ht="15" customHeight="1" x14ac:dyDescent="0.3">
      <c r="A90" s="172" t="s">
        <v>443</v>
      </c>
      <c r="B90" s="174">
        <v>310</v>
      </c>
      <c r="C90" s="174">
        <v>0</v>
      </c>
      <c r="D90" s="174">
        <v>0</v>
      </c>
    </row>
    <row r="91" spans="1:4" ht="15" customHeight="1" x14ac:dyDescent="0.3">
      <c r="A91" s="176" t="s">
        <v>445</v>
      </c>
      <c r="B91" s="177">
        <v>310</v>
      </c>
      <c r="C91" s="177">
        <v>0</v>
      </c>
      <c r="D91" s="177">
        <v>0</v>
      </c>
    </row>
    <row r="92" spans="1:4" ht="15" customHeight="1" x14ac:dyDescent="0.3">
      <c r="A92" s="172" t="s">
        <v>447</v>
      </c>
      <c r="B92" s="174">
        <v>368</v>
      </c>
      <c r="C92" s="174">
        <v>0</v>
      </c>
      <c r="D92" s="174">
        <v>0</v>
      </c>
    </row>
    <row r="93" spans="1:4" ht="15" customHeight="1" x14ac:dyDescent="0.3">
      <c r="A93" s="172" t="s">
        <v>449</v>
      </c>
      <c r="B93" s="174">
        <v>387</v>
      </c>
      <c r="C93" s="174">
        <v>0</v>
      </c>
      <c r="D93" s="174">
        <v>0</v>
      </c>
    </row>
    <row r="94" spans="1:4" ht="15" customHeight="1" x14ac:dyDescent="0.3">
      <c r="A94" s="172" t="s">
        <v>451</v>
      </c>
      <c r="B94" s="174">
        <v>318</v>
      </c>
      <c r="C94" s="174">
        <v>0</v>
      </c>
      <c r="D94" s="174">
        <v>0</v>
      </c>
    </row>
    <row r="95" spans="1:4" ht="15" customHeight="1" x14ac:dyDescent="0.3">
      <c r="A95" s="172" t="s">
        <v>453</v>
      </c>
      <c r="B95" s="174">
        <v>375</v>
      </c>
      <c r="C95" s="174">
        <v>0</v>
      </c>
      <c r="D95" s="174">
        <v>0</v>
      </c>
    </row>
    <row r="96" spans="1:4" ht="15" customHeight="1" x14ac:dyDescent="0.3">
      <c r="A96" s="172" t="s">
        <v>455</v>
      </c>
      <c r="B96" s="174">
        <v>298</v>
      </c>
      <c r="C96" s="174">
        <v>0.3</v>
      </c>
      <c r="D96" s="174">
        <v>0</v>
      </c>
    </row>
    <row r="97" spans="1:4" ht="15" customHeight="1" x14ac:dyDescent="0.3">
      <c r="A97" s="172" t="s">
        <v>457</v>
      </c>
      <c r="B97" s="174">
        <v>375</v>
      </c>
      <c r="C97" s="174">
        <v>0</v>
      </c>
      <c r="D97" s="174">
        <v>0</v>
      </c>
    </row>
    <row r="98" spans="1:4" ht="15" customHeight="1" x14ac:dyDescent="0.3">
      <c r="A98" s="172" t="s">
        <v>459</v>
      </c>
      <c r="B98" s="174">
        <v>298</v>
      </c>
      <c r="C98" s="174">
        <v>0.4</v>
      </c>
      <c r="D98" s="174">
        <v>0</v>
      </c>
    </row>
    <row r="99" spans="1:4" ht="15" customHeight="1" x14ac:dyDescent="0.3">
      <c r="A99" s="172"/>
      <c r="B99" s="174"/>
      <c r="C99" s="174"/>
      <c r="D99" s="174"/>
    </row>
    <row r="100" spans="1:4" ht="15" customHeight="1" x14ac:dyDescent="0.3">
      <c r="A100" s="170" t="s">
        <v>462</v>
      </c>
      <c r="B100" s="174"/>
      <c r="C100" s="174"/>
      <c r="D100" s="174"/>
    </row>
    <row r="101" spans="1:4" ht="15" customHeight="1" x14ac:dyDescent="0.3">
      <c r="A101" s="172" t="s">
        <v>464</v>
      </c>
      <c r="B101" s="174">
        <v>341</v>
      </c>
      <c r="C101" s="174">
        <v>22.1</v>
      </c>
      <c r="D101" s="174">
        <v>1.7</v>
      </c>
    </row>
    <row r="102" spans="1:4" ht="15" customHeight="1" x14ac:dyDescent="0.3">
      <c r="A102" s="172" t="s">
        <v>466</v>
      </c>
      <c r="B102" s="174">
        <v>343</v>
      </c>
      <c r="C102" s="174">
        <v>23.4</v>
      </c>
      <c r="D102" s="174">
        <v>2</v>
      </c>
    </row>
    <row r="103" spans="1:4" ht="15" customHeight="1" x14ac:dyDescent="0.3">
      <c r="A103" s="172" t="s">
        <v>468</v>
      </c>
      <c r="B103" s="174">
        <v>346</v>
      </c>
      <c r="C103" s="174">
        <v>22.5</v>
      </c>
      <c r="D103" s="174">
        <v>1.8</v>
      </c>
    </row>
    <row r="104" spans="1:4" ht="15" customHeight="1" x14ac:dyDescent="0.3">
      <c r="A104" s="172" t="s">
        <v>470</v>
      </c>
      <c r="B104" s="174">
        <v>358</v>
      </c>
      <c r="C104" s="174">
        <v>20.100000000000001</v>
      </c>
      <c r="D104" s="174">
        <v>4.5</v>
      </c>
    </row>
    <row r="105" spans="1:4" ht="15" customHeight="1" x14ac:dyDescent="0.3">
      <c r="A105" s="172" t="s">
        <v>472</v>
      </c>
      <c r="B105" s="174">
        <v>342</v>
      </c>
      <c r="C105" s="174">
        <v>23.4</v>
      </c>
      <c r="D105" s="174">
        <v>1.8</v>
      </c>
    </row>
    <row r="106" spans="1:4" ht="15" customHeight="1" x14ac:dyDescent="0.3">
      <c r="A106" s="172" t="s">
        <v>474</v>
      </c>
      <c r="B106" s="174">
        <v>343</v>
      </c>
      <c r="C106" s="174">
        <v>20.9</v>
      </c>
      <c r="D106" s="174">
        <v>1.7</v>
      </c>
    </row>
    <row r="107" spans="1:4" ht="15" customHeight="1" x14ac:dyDescent="0.3">
      <c r="A107" s="172" t="s">
        <v>476</v>
      </c>
      <c r="B107" s="174">
        <v>346</v>
      </c>
      <c r="C107" s="174">
        <v>24.2</v>
      </c>
      <c r="D107" s="174">
        <v>1.8</v>
      </c>
    </row>
    <row r="108" spans="1:4" ht="15" customHeight="1" x14ac:dyDescent="0.3">
      <c r="A108" s="172" t="s">
        <v>478</v>
      </c>
      <c r="B108" s="174">
        <v>365</v>
      </c>
      <c r="C108" s="174">
        <v>17.7</v>
      </c>
      <c r="D108" s="174">
        <v>6.3</v>
      </c>
    </row>
    <row r="109" spans="1:4" ht="15" customHeight="1" x14ac:dyDescent="0.3">
      <c r="A109" s="172" t="s">
        <v>480</v>
      </c>
      <c r="B109" s="174">
        <v>325</v>
      </c>
      <c r="C109" s="174">
        <v>31.5</v>
      </c>
      <c r="D109" s="174">
        <v>1.9</v>
      </c>
    </row>
    <row r="110" spans="1:4" ht="15" customHeight="1" x14ac:dyDescent="0.3">
      <c r="A110" s="172" t="s">
        <v>482</v>
      </c>
      <c r="B110" s="174">
        <v>390</v>
      </c>
      <c r="C110" s="174">
        <v>40</v>
      </c>
      <c r="D110" s="174">
        <v>13</v>
      </c>
    </row>
    <row r="111" spans="1:4" ht="15" customHeight="1" x14ac:dyDescent="0.3">
      <c r="A111" s="172" t="s">
        <v>484</v>
      </c>
      <c r="B111" s="174">
        <v>340</v>
      </c>
      <c r="C111" s="174">
        <v>22</v>
      </c>
      <c r="D111" s="174">
        <v>2</v>
      </c>
    </row>
    <row r="112" spans="1:4" ht="15" customHeight="1" x14ac:dyDescent="0.3">
      <c r="A112" s="172" t="s">
        <v>486</v>
      </c>
      <c r="B112" s="174">
        <v>340</v>
      </c>
      <c r="C112" s="174">
        <v>22</v>
      </c>
      <c r="D112" s="174">
        <v>2</v>
      </c>
    </row>
    <row r="113" spans="1:4" ht="15" customHeight="1" x14ac:dyDescent="0.3">
      <c r="A113" s="172"/>
      <c r="B113" s="174"/>
      <c r="C113" s="174"/>
      <c r="D113" s="174"/>
    </row>
    <row r="114" spans="1:4" ht="15" customHeight="1" x14ac:dyDescent="0.3">
      <c r="A114" s="170" t="s">
        <v>489</v>
      </c>
      <c r="B114" s="174"/>
      <c r="C114" s="174"/>
      <c r="D114" s="174"/>
    </row>
    <row r="115" spans="1:4" ht="15" customHeight="1" x14ac:dyDescent="0.3">
      <c r="A115" s="172" t="s">
        <v>491</v>
      </c>
      <c r="B115" s="174">
        <v>315</v>
      </c>
      <c r="C115" s="174">
        <v>6.9</v>
      </c>
      <c r="D115" s="174">
        <v>31.8</v>
      </c>
    </row>
    <row r="116" spans="1:4" ht="15" customHeight="1" x14ac:dyDescent="0.3">
      <c r="A116" s="172" t="s">
        <v>493</v>
      </c>
      <c r="B116" s="174">
        <v>252</v>
      </c>
      <c r="C116" s="174">
        <v>7.7</v>
      </c>
      <c r="D116" s="174">
        <v>20.6</v>
      </c>
    </row>
    <row r="117" spans="1:4" ht="15" customHeight="1" x14ac:dyDescent="0.3">
      <c r="A117" s="172" t="s">
        <v>494</v>
      </c>
      <c r="B117" s="174">
        <v>158</v>
      </c>
      <c r="C117" s="174">
        <v>1.8</v>
      </c>
      <c r="D117" s="174">
        <v>1.7</v>
      </c>
    </row>
    <row r="118" spans="1:4" ht="15" customHeight="1" x14ac:dyDescent="0.3">
      <c r="A118" s="172" t="s">
        <v>496</v>
      </c>
      <c r="B118" s="174">
        <v>236</v>
      </c>
      <c r="C118" s="174">
        <v>8</v>
      </c>
      <c r="D118" s="174">
        <v>20.9</v>
      </c>
    </row>
    <row r="119" spans="1:4" ht="15" customHeight="1" x14ac:dyDescent="0.3">
      <c r="A119" s="172" t="s">
        <v>498</v>
      </c>
      <c r="B119" s="174">
        <v>289</v>
      </c>
      <c r="C119" s="174">
        <v>6.4</v>
      </c>
      <c r="D119" s="174">
        <v>27.8</v>
      </c>
    </row>
    <row r="120" spans="1:4" ht="15" customHeight="1" x14ac:dyDescent="0.3">
      <c r="A120" s="172" t="s">
        <v>500</v>
      </c>
      <c r="B120" s="174">
        <v>289</v>
      </c>
      <c r="C120" s="174">
        <v>10.3</v>
      </c>
      <c r="D120" s="174">
        <v>24.2</v>
      </c>
    </row>
    <row r="121" spans="1:4" ht="15" customHeight="1" x14ac:dyDescent="0.3">
      <c r="A121" s="172" t="s">
        <v>502</v>
      </c>
      <c r="B121" s="174">
        <v>349</v>
      </c>
      <c r="C121" s="174">
        <v>9</v>
      </c>
      <c r="D121" s="174">
        <v>2</v>
      </c>
    </row>
    <row r="122" spans="1:4" ht="15" customHeight="1" x14ac:dyDescent="0.3">
      <c r="A122" s="172" t="s">
        <v>504</v>
      </c>
      <c r="B122" s="174">
        <v>291</v>
      </c>
      <c r="C122" s="174">
        <v>6</v>
      </c>
      <c r="D122" s="174">
        <v>28.8</v>
      </c>
    </row>
    <row r="123" spans="1:4" ht="15" customHeight="1" x14ac:dyDescent="0.3">
      <c r="A123" s="172" t="s">
        <v>506</v>
      </c>
      <c r="B123" s="174">
        <v>245</v>
      </c>
      <c r="C123" s="174">
        <v>4.9000000000000004</v>
      </c>
      <c r="D123" s="174">
        <v>4.4000000000000004</v>
      </c>
    </row>
    <row r="124" spans="1:4" ht="15" customHeight="1" x14ac:dyDescent="0.3">
      <c r="A124" s="172" t="s">
        <v>508</v>
      </c>
      <c r="B124" s="174">
        <v>656</v>
      </c>
      <c r="C124" s="174">
        <v>14.3</v>
      </c>
      <c r="D124" s="174">
        <v>66.2</v>
      </c>
    </row>
    <row r="125" spans="1:4" ht="15" customHeight="1" x14ac:dyDescent="0.3">
      <c r="A125" s="172" t="s">
        <v>510</v>
      </c>
      <c r="B125" s="174">
        <v>574</v>
      </c>
      <c r="C125" s="174">
        <v>15.3</v>
      </c>
      <c r="D125" s="174">
        <v>46.4</v>
      </c>
    </row>
    <row r="126" spans="1:4" ht="15" customHeight="1" x14ac:dyDescent="0.3">
      <c r="A126" s="172" t="s">
        <v>512</v>
      </c>
      <c r="B126" s="174">
        <v>589</v>
      </c>
      <c r="C126" s="174">
        <v>20</v>
      </c>
      <c r="D126" s="174">
        <v>52.2</v>
      </c>
    </row>
    <row r="127" spans="1:4" ht="15" customHeight="1" x14ac:dyDescent="0.3">
      <c r="A127" s="172" t="s">
        <v>514</v>
      </c>
      <c r="B127" s="174">
        <v>642</v>
      </c>
      <c r="C127" s="174">
        <v>14.3</v>
      </c>
      <c r="D127" s="174">
        <v>61.9</v>
      </c>
    </row>
    <row r="128" spans="1:4" ht="15" customHeight="1" x14ac:dyDescent="0.3">
      <c r="A128" s="172" t="s">
        <v>516</v>
      </c>
      <c r="B128" s="174">
        <v>632</v>
      </c>
      <c r="C128" s="174">
        <v>13</v>
      </c>
      <c r="D128" s="174">
        <v>62.6</v>
      </c>
    </row>
    <row r="129" spans="1:4" ht="15" customHeight="1" x14ac:dyDescent="0.3">
      <c r="A129" s="172" t="s">
        <v>518</v>
      </c>
      <c r="B129" s="174">
        <v>262</v>
      </c>
      <c r="C129" s="174">
        <v>7</v>
      </c>
      <c r="D129" s="174">
        <v>25</v>
      </c>
    </row>
    <row r="130" spans="1:4" ht="15" customHeight="1" x14ac:dyDescent="0.3">
      <c r="A130" s="172" t="s">
        <v>520</v>
      </c>
      <c r="B130" s="174">
        <v>615</v>
      </c>
      <c r="C130" s="174">
        <v>15.5</v>
      </c>
      <c r="D130" s="174">
        <v>56.2</v>
      </c>
    </row>
    <row r="131" spans="1:4" ht="15" customHeight="1" x14ac:dyDescent="0.3">
      <c r="A131" s="172" t="s">
        <v>522</v>
      </c>
      <c r="B131" s="174">
        <v>335</v>
      </c>
      <c r="C131" s="174">
        <v>38</v>
      </c>
      <c r="D131" s="174">
        <v>18</v>
      </c>
    </row>
    <row r="132" spans="1:4" ht="15" customHeight="1" x14ac:dyDescent="0.3">
      <c r="A132" s="172" t="s">
        <v>436</v>
      </c>
      <c r="B132" s="174">
        <v>261</v>
      </c>
      <c r="C132" s="174">
        <v>46</v>
      </c>
      <c r="D132" s="174">
        <v>5</v>
      </c>
    </row>
    <row r="133" spans="1:4" ht="15" customHeight="1" x14ac:dyDescent="0.3">
      <c r="A133" s="172" t="s">
        <v>438</v>
      </c>
      <c r="B133" s="174">
        <v>56</v>
      </c>
      <c r="C133" s="174">
        <v>5.5</v>
      </c>
      <c r="D133" s="174">
        <v>0.5</v>
      </c>
    </row>
    <row r="134" spans="1:4" ht="15" customHeight="1" x14ac:dyDescent="0.3">
      <c r="A134" s="172" t="s">
        <v>440</v>
      </c>
      <c r="B134" s="174">
        <v>114</v>
      </c>
      <c r="C134" s="174">
        <v>11</v>
      </c>
      <c r="D134" s="174">
        <v>5.8</v>
      </c>
    </row>
    <row r="135" spans="1:4" ht="15" customHeight="1" x14ac:dyDescent="0.3">
      <c r="A135" s="172" t="s">
        <v>442</v>
      </c>
      <c r="B135" s="174">
        <v>58</v>
      </c>
      <c r="C135" s="174">
        <v>6.3</v>
      </c>
      <c r="D135" s="174">
        <v>3.1</v>
      </c>
    </row>
    <row r="136" spans="1:4" ht="15" customHeight="1" x14ac:dyDescent="0.3">
      <c r="A136" s="172" t="s">
        <v>444</v>
      </c>
      <c r="B136" s="174">
        <v>414</v>
      </c>
      <c r="C136" s="174">
        <v>18.7</v>
      </c>
      <c r="D136" s="174">
        <v>35.9</v>
      </c>
    </row>
    <row r="137" spans="1:4" ht="15" customHeight="1" x14ac:dyDescent="0.3">
      <c r="A137" s="172" t="s">
        <v>446</v>
      </c>
      <c r="B137" s="174">
        <v>567</v>
      </c>
      <c r="C137" s="174">
        <v>25.7</v>
      </c>
      <c r="D137" s="174">
        <v>49.2</v>
      </c>
    </row>
    <row r="138" spans="1:4" ht="15" customHeight="1" x14ac:dyDescent="0.3">
      <c r="A138" s="172" t="s">
        <v>448</v>
      </c>
      <c r="B138" s="174">
        <v>363</v>
      </c>
      <c r="C138" s="174">
        <v>41.7</v>
      </c>
      <c r="D138" s="174">
        <v>7.6</v>
      </c>
    </row>
    <row r="139" spans="1:4" ht="15" customHeight="1" x14ac:dyDescent="0.3">
      <c r="A139" s="172" t="s">
        <v>450</v>
      </c>
      <c r="B139" s="174">
        <v>580</v>
      </c>
      <c r="C139" s="174">
        <v>26.8</v>
      </c>
      <c r="D139" s="174">
        <v>49.2</v>
      </c>
    </row>
    <row r="140" spans="1:4" ht="15" customHeight="1" x14ac:dyDescent="0.3">
      <c r="A140" s="172" t="s">
        <v>452</v>
      </c>
      <c r="B140" s="174">
        <v>589</v>
      </c>
      <c r="C140" s="174">
        <v>24.3</v>
      </c>
      <c r="D140" s="174">
        <v>50</v>
      </c>
    </row>
    <row r="141" spans="1:4" ht="15" customHeight="1" x14ac:dyDescent="0.3">
      <c r="A141" s="172" t="s">
        <v>454</v>
      </c>
      <c r="B141" s="174">
        <v>184</v>
      </c>
      <c r="C141" s="174">
        <v>1.7</v>
      </c>
      <c r="D141" s="174">
        <v>17.399999999999999</v>
      </c>
    </row>
    <row r="142" spans="1:4" ht="15" customHeight="1" x14ac:dyDescent="0.3">
      <c r="A142" s="172" t="s">
        <v>456</v>
      </c>
      <c r="B142" s="174">
        <v>660</v>
      </c>
      <c r="C142" s="174">
        <v>6.9</v>
      </c>
      <c r="D142" s="174">
        <v>64.5</v>
      </c>
    </row>
    <row r="143" spans="1:4" ht="15" customHeight="1" x14ac:dyDescent="0.3">
      <c r="A143" s="172" t="s">
        <v>458</v>
      </c>
      <c r="B143" s="174">
        <v>636</v>
      </c>
      <c r="C143" s="174">
        <v>6</v>
      </c>
      <c r="D143" s="174">
        <v>61.4</v>
      </c>
    </row>
    <row r="144" spans="1:4" ht="15" customHeight="1" x14ac:dyDescent="0.3">
      <c r="A144" s="172" t="s">
        <v>460</v>
      </c>
      <c r="B144" s="174">
        <v>158</v>
      </c>
      <c r="C144" s="174">
        <v>0.3</v>
      </c>
      <c r="D144" s="174">
        <v>13.2</v>
      </c>
    </row>
    <row r="145" spans="1:4" ht="15" customHeight="1" x14ac:dyDescent="0.3">
      <c r="A145" s="172" t="s">
        <v>461</v>
      </c>
      <c r="B145" s="174">
        <v>514</v>
      </c>
      <c r="C145" s="174">
        <v>7.3</v>
      </c>
      <c r="D145" s="174">
        <v>43.4</v>
      </c>
    </row>
    <row r="146" spans="1:4" ht="15" customHeight="1" x14ac:dyDescent="0.3">
      <c r="A146" s="172" t="s">
        <v>463</v>
      </c>
      <c r="B146" s="174">
        <v>175</v>
      </c>
      <c r="C146" s="174">
        <v>1.3</v>
      </c>
      <c r="D146" s="174">
        <v>17.5</v>
      </c>
    </row>
    <row r="147" spans="1:4" ht="15" customHeight="1" x14ac:dyDescent="0.3">
      <c r="A147" s="172" t="s">
        <v>465</v>
      </c>
      <c r="B147" s="174">
        <v>109</v>
      </c>
      <c r="C147" s="174">
        <v>1.1000000000000001</v>
      </c>
      <c r="D147" s="174">
        <v>11.1</v>
      </c>
    </row>
    <row r="148" spans="1:4" ht="15" customHeight="1" x14ac:dyDescent="0.3">
      <c r="A148" s="172" t="s">
        <v>467</v>
      </c>
      <c r="B148" s="174">
        <v>579</v>
      </c>
      <c r="C148" s="174">
        <v>6.8</v>
      </c>
      <c r="D148" s="174">
        <v>49</v>
      </c>
    </row>
    <row r="149" spans="1:4" ht="15" customHeight="1" x14ac:dyDescent="0.3">
      <c r="A149" s="172" t="s">
        <v>469</v>
      </c>
      <c r="B149" s="174">
        <v>308</v>
      </c>
      <c r="C149" s="174">
        <v>12.3</v>
      </c>
      <c r="D149" s="174">
        <v>26.8</v>
      </c>
    </row>
    <row r="150" spans="1:4" ht="15" customHeight="1" x14ac:dyDescent="0.3">
      <c r="A150" s="172" t="s">
        <v>471</v>
      </c>
      <c r="B150" s="174">
        <v>494</v>
      </c>
      <c r="C150" s="174">
        <v>19.600000000000001</v>
      </c>
      <c r="D150" s="174">
        <v>45</v>
      </c>
    </row>
    <row r="151" spans="1:4" ht="15" customHeight="1" x14ac:dyDescent="0.3">
      <c r="A151" s="172" t="s">
        <v>473</v>
      </c>
      <c r="B151" s="174">
        <v>314</v>
      </c>
      <c r="C151" s="174">
        <v>9.6999999999999993</v>
      </c>
      <c r="D151" s="174">
        <v>30.3</v>
      </c>
    </row>
    <row r="152" spans="1:4" ht="15" customHeight="1" x14ac:dyDescent="0.3">
      <c r="A152" s="172" t="s">
        <v>475</v>
      </c>
      <c r="B152" s="174">
        <v>573</v>
      </c>
      <c r="C152" s="174">
        <v>17.7</v>
      </c>
      <c r="D152" s="174">
        <v>49.7</v>
      </c>
    </row>
    <row r="153" spans="1:4" ht="15" customHeight="1" x14ac:dyDescent="0.3">
      <c r="A153" s="172" t="s">
        <v>477</v>
      </c>
      <c r="B153" s="174">
        <v>376</v>
      </c>
      <c r="C153" s="174">
        <v>40.700000000000003</v>
      </c>
      <c r="D153" s="174">
        <v>3.4</v>
      </c>
    </row>
    <row r="154" spans="1:4" ht="15" customHeight="1" x14ac:dyDescent="0.3">
      <c r="A154" s="172" t="s">
        <v>479</v>
      </c>
      <c r="B154" s="174">
        <v>469</v>
      </c>
      <c r="C154" s="174">
        <v>24.9</v>
      </c>
      <c r="D154" s="174">
        <v>28.8</v>
      </c>
    </row>
    <row r="155" spans="1:4" ht="15" customHeight="1" x14ac:dyDescent="0.3">
      <c r="A155" s="172" t="s">
        <v>481</v>
      </c>
      <c r="B155" s="174">
        <v>469</v>
      </c>
      <c r="C155" s="174">
        <v>26.4</v>
      </c>
      <c r="D155" s="174">
        <v>36.299999999999997</v>
      </c>
    </row>
    <row r="156" spans="1:4" ht="15" customHeight="1" x14ac:dyDescent="0.3">
      <c r="A156" s="172" t="s">
        <v>483</v>
      </c>
      <c r="B156" s="174">
        <v>533</v>
      </c>
      <c r="C156" s="174">
        <v>18</v>
      </c>
      <c r="D156" s="174">
        <v>44.7</v>
      </c>
    </row>
    <row r="157" spans="1:4" ht="15" customHeight="1" x14ac:dyDescent="0.3">
      <c r="A157" s="172" t="s">
        <v>485</v>
      </c>
      <c r="B157" s="174">
        <v>400</v>
      </c>
      <c r="C157" s="174">
        <v>18.2</v>
      </c>
      <c r="D157" s="174">
        <v>33.9</v>
      </c>
    </row>
    <row r="158" spans="1:4" ht="15" customHeight="1" x14ac:dyDescent="0.3">
      <c r="A158" s="172" t="s">
        <v>487</v>
      </c>
      <c r="B158" s="174">
        <v>253</v>
      </c>
      <c r="C158" s="174">
        <v>17.3</v>
      </c>
      <c r="D158" s="174">
        <v>17.899999999999999</v>
      </c>
    </row>
    <row r="159" spans="1:4" ht="15" customHeight="1" x14ac:dyDescent="0.3">
      <c r="A159" s="172" t="s">
        <v>488</v>
      </c>
      <c r="B159" s="174">
        <v>498</v>
      </c>
      <c r="C159" s="174">
        <v>18</v>
      </c>
      <c r="D159" s="174">
        <v>34</v>
      </c>
    </row>
    <row r="160" spans="1:4" ht="15" customHeight="1" x14ac:dyDescent="0.3">
      <c r="A160" s="172" t="s">
        <v>490</v>
      </c>
      <c r="B160" s="174">
        <v>387</v>
      </c>
      <c r="C160" s="174">
        <v>14.7</v>
      </c>
      <c r="D160" s="174">
        <v>31.7</v>
      </c>
    </row>
    <row r="161" spans="1:4" ht="15" customHeight="1" x14ac:dyDescent="0.3">
      <c r="A161" s="172" t="s">
        <v>492</v>
      </c>
      <c r="B161" s="174">
        <v>393</v>
      </c>
      <c r="C161" s="174">
        <v>37.200000000000003</v>
      </c>
      <c r="D161" s="174">
        <v>15.6</v>
      </c>
    </row>
    <row r="162" spans="1:4" ht="15" customHeight="1" x14ac:dyDescent="0.3">
      <c r="A162" s="170" t="s">
        <v>495</v>
      </c>
      <c r="B162" s="174"/>
      <c r="C162" s="174"/>
      <c r="D162" s="174"/>
    </row>
    <row r="163" spans="1:4" ht="15" customHeight="1" x14ac:dyDescent="0.3">
      <c r="A163" s="172" t="s">
        <v>497</v>
      </c>
      <c r="B163" s="174">
        <v>19</v>
      </c>
      <c r="C163" s="174">
        <v>1</v>
      </c>
      <c r="D163" s="174">
        <v>0.1</v>
      </c>
    </row>
    <row r="164" spans="1:4" ht="15" customHeight="1" x14ac:dyDescent="0.3">
      <c r="A164" s="172" t="s">
        <v>499</v>
      </c>
      <c r="B164" s="174">
        <v>20</v>
      </c>
      <c r="C164" s="174">
        <v>1.1000000000000001</v>
      </c>
      <c r="D164" s="174">
        <v>0.1</v>
      </c>
    </row>
    <row r="165" spans="1:4" ht="15" customHeight="1" x14ac:dyDescent="0.3">
      <c r="A165" s="172" t="s">
        <v>501</v>
      </c>
      <c r="B165" s="174">
        <v>12</v>
      </c>
      <c r="C165" s="174">
        <v>1.6</v>
      </c>
      <c r="D165" s="174">
        <v>0.1</v>
      </c>
    </row>
    <row r="166" spans="1:4" ht="15" customHeight="1" x14ac:dyDescent="0.3">
      <c r="A166" s="172" t="s">
        <v>503</v>
      </c>
      <c r="B166" s="174">
        <v>12</v>
      </c>
      <c r="C166" s="174">
        <v>1.1000000000000001</v>
      </c>
      <c r="D166" s="174">
        <v>0.2</v>
      </c>
    </row>
    <row r="167" spans="1:4" ht="15" customHeight="1" x14ac:dyDescent="0.3">
      <c r="A167" s="172" t="s">
        <v>505</v>
      </c>
      <c r="B167" s="174">
        <v>16</v>
      </c>
      <c r="C167" s="174">
        <v>2.1</v>
      </c>
      <c r="D167" s="174">
        <v>0.3</v>
      </c>
    </row>
    <row r="168" spans="1:4" ht="15" customHeight="1" x14ac:dyDescent="0.3">
      <c r="A168" s="172" t="s">
        <v>507</v>
      </c>
      <c r="B168" s="174">
        <v>53</v>
      </c>
      <c r="C168" s="174">
        <v>5.8</v>
      </c>
      <c r="D168" s="174">
        <v>1.1000000000000001</v>
      </c>
    </row>
    <row r="169" spans="1:4" ht="15" customHeight="1" x14ac:dyDescent="0.3">
      <c r="A169" s="172" t="s">
        <v>509</v>
      </c>
      <c r="B169" s="174">
        <v>17</v>
      </c>
      <c r="C169" s="174">
        <v>0.8</v>
      </c>
      <c r="D169" s="174">
        <v>0.2</v>
      </c>
    </row>
    <row r="170" spans="1:4" ht="15" customHeight="1" x14ac:dyDescent="0.3">
      <c r="A170" s="172" t="s">
        <v>511</v>
      </c>
      <c r="B170" s="174">
        <v>17</v>
      </c>
      <c r="C170" s="174">
        <v>0.8</v>
      </c>
      <c r="D170" s="174">
        <v>0.1</v>
      </c>
    </row>
    <row r="171" spans="1:4" ht="15" customHeight="1" x14ac:dyDescent="0.3">
      <c r="A171" s="172" t="s">
        <v>513</v>
      </c>
      <c r="B171" s="174">
        <v>76</v>
      </c>
      <c r="C171" s="174">
        <v>3.4</v>
      </c>
      <c r="D171" s="174">
        <v>0.4</v>
      </c>
    </row>
    <row r="172" spans="1:4" ht="15" customHeight="1" x14ac:dyDescent="0.3">
      <c r="A172" s="172" t="s">
        <v>515</v>
      </c>
      <c r="B172" s="174">
        <v>84</v>
      </c>
      <c r="C172" s="174">
        <v>3.8</v>
      </c>
      <c r="D172" s="174">
        <v>0.9</v>
      </c>
    </row>
    <row r="173" spans="1:4" ht="15" customHeight="1" x14ac:dyDescent="0.3">
      <c r="A173" s="172" t="s">
        <v>517</v>
      </c>
      <c r="B173" s="174">
        <v>19</v>
      </c>
      <c r="C173" s="174">
        <v>0.9</v>
      </c>
      <c r="D173" s="174">
        <v>0.2</v>
      </c>
    </row>
    <row r="174" spans="1:4" ht="15" customHeight="1" x14ac:dyDescent="0.3">
      <c r="A174" s="172" t="s">
        <v>519</v>
      </c>
      <c r="B174" s="174">
        <v>9</v>
      </c>
      <c r="C174" s="174">
        <v>0.8</v>
      </c>
      <c r="D174" s="174">
        <v>0.1</v>
      </c>
    </row>
    <row r="175" spans="1:4" ht="15" customHeight="1" x14ac:dyDescent="0.3">
      <c r="A175" s="172" t="s">
        <v>521</v>
      </c>
      <c r="B175" s="174">
        <v>19</v>
      </c>
      <c r="C175" s="174">
        <v>0.9</v>
      </c>
      <c r="D175" s="174">
        <v>0.1</v>
      </c>
    </row>
    <row r="176" spans="1:4" ht="15" customHeight="1" x14ac:dyDescent="0.3">
      <c r="A176" s="172" t="s">
        <v>523</v>
      </c>
      <c r="B176" s="174">
        <v>13</v>
      </c>
      <c r="C176" s="174">
        <v>0.5</v>
      </c>
      <c r="D176" s="174">
        <v>0.1</v>
      </c>
    </row>
    <row r="177" spans="1:4" ht="15" customHeight="1" x14ac:dyDescent="0.3">
      <c r="A177" s="172" t="s">
        <v>524</v>
      </c>
      <c r="B177" s="174">
        <v>21</v>
      </c>
      <c r="C177" s="174">
        <v>0.9</v>
      </c>
      <c r="D177" s="174">
        <v>0.1</v>
      </c>
    </row>
    <row r="178" spans="1:4" ht="15" customHeight="1" x14ac:dyDescent="0.3">
      <c r="A178" s="172" t="s">
        <v>526</v>
      </c>
      <c r="B178" s="174">
        <v>25</v>
      </c>
      <c r="C178" s="174">
        <v>1.1000000000000001</v>
      </c>
      <c r="D178" s="174">
        <v>0.3</v>
      </c>
    </row>
    <row r="179" spans="1:4" ht="15" customHeight="1" x14ac:dyDescent="0.3">
      <c r="A179" s="172" t="s">
        <v>528</v>
      </c>
      <c r="B179" s="174">
        <v>24</v>
      </c>
      <c r="C179" s="174">
        <v>1.7</v>
      </c>
      <c r="D179" s="174">
        <v>0.1</v>
      </c>
    </row>
    <row r="180" spans="1:4" ht="15" customHeight="1" x14ac:dyDescent="0.3">
      <c r="A180" s="172" t="s">
        <v>530</v>
      </c>
      <c r="B180" s="174">
        <v>31</v>
      </c>
      <c r="C180" s="174">
        <v>1.1000000000000001</v>
      </c>
      <c r="D180" s="174">
        <v>0.2</v>
      </c>
    </row>
    <row r="181" spans="1:4" ht="15" customHeight="1" x14ac:dyDescent="0.3">
      <c r="A181" s="172" t="s">
        <v>532</v>
      </c>
      <c r="B181" s="174">
        <v>130</v>
      </c>
      <c r="C181" s="174">
        <v>5.5</v>
      </c>
      <c r="D181" s="174">
        <v>0.4</v>
      </c>
    </row>
    <row r="182" spans="1:4" ht="15" customHeight="1" x14ac:dyDescent="0.3">
      <c r="A182" s="172" t="s">
        <v>534</v>
      </c>
      <c r="B182" s="174">
        <v>37</v>
      </c>
      <c r="C182" s="174">
        <v>0.7</v>
      </c>
      <c r="D182" s="174">
        <v>0.1</v>
      </c>
    </row>
    <row r="183" spans="1:4" ht="15" customHeight="1" x14ac:dyDescent="0.3">
      <c r="A183" s="176" t="s">
        <v>536</v>
      </c>
      <c r="B183" s="177">
        <v>50</v>
      </c>
      <c r="C183" s="177">
        <v>3</v>
      </c>
      <c r="D183" s="177">
        <v>0.4</v>
      </c>
    </row>
    <row r="184" spans="1:4" ht="15" customHeight="1" x14ac:dyDescent="0.3">
      <c r="A184" s="172" t="s">
        <v>538</v>
      </c>
      <c r="B184" s="174">
        <v>31</v>
      </c>
      <c r="C184" s="174">
        <v>2.1</v>
      </c>
      <c r="D184" s="174">
        <v>0.2</v>
      </c>
    </row>
    <row r="185" spans="1:4" ht="15" customHeight="1" x14ac:dyDescent="0.3">
      <c r="A185" s="172" t="s">
        <v>540</v>
      </c>
      <c r="B185" s="174">
        <v>23</v>
      </c>
      <c r="C185" s="174">
        <v>2.2999999999999998</v>
      </c>
      <c r="D185" s="174">
        <v>0.1</v>
      </c>
    </row>
    <row r="186" spans="1:4" ht="15" customHeight="1" x14ac:dyDescent="0.3">
      <c r="A186" s="172" t="s">
        <v>542</v>
      </c>
      <c r="B186" s="174">
        <v>27</v>
      </c>
      <c r="C186" s="174">
        <v>1.6</v>
      </c>
      <c r="D186" s="174">
        <v>0.1</v>
      </c>
    </row>
    <row r="187" spans="1:4" ht="15" customHeight="1" x14ac:dyDescent="0.3">
      <c r="A187" s="172" t="s">
        <v>544</v>
      </c>
      <c r="B187" s="174">
        <v>38</v>
      </c>
      <c r="C187" s="174">
        <v>0.9</v>
      </c>
      <c r="D187" s="174">
        <v>0.2</v>
      </c>
    </row>
    <row r="188" spans="1:4" ht="15" customHeight="1" x14ac:dyDescent="0.3">
      <c r="A188" s="172" t="s">
        <v>546</v>
      </c>
      <c r="B188" s="174">
        <v>31</v>
      </c>
      <c r="C188" s="174">
        <v>1.6</v>
      </c>
      <c r="D188" s="174">
        <v>0.3</v>
      </c>
    </row>
    <row r="189" spans="1:4" ht="15" customHeight="1" x14ac:dyDescent="0.3">
      <c r="A189" s="172" t="s">
        <v>548</v>
      </c>
      <c r="B189" s="174">
        <v>56</v>
      </c>
      <c r="C189" s="174">
        <v>2.1</v>
      </c>
      <c r="D189" s="174">
        <v>0.8</v>
      </c>
    </row>
    <row r="190" spans="1:4" ht="15" customHeight="1" x14ac:dyDescent="0.3">
      <c r="A190" s="172" t="s">
        <v>550</v>
      </c>
      <c r="B190" s="174">
        <v>54</v>
      </c>
      <c r="C190" s="174">
        <v>1.8</v>
      </c>
      <c r="D190" s="174">
        <v>0.4</v>
      </c>
    </row>
    <row r="191" spans="1:4" ht="15" customHeight="1" x14ac:dyDescent="0.3">
      <c r="A191" s="172" t="s">
        <v>552</v>
      </c>
      <c r="B191" s="174">
        <v>77</v>
      </c>
      <c r="C191" s="174">
        <v>2.2999999999999998</v>
      </c>
      <c r="D191" s="174">
        <v>0.6</v>
      </c>
    </row>
    <row r="192" spans="1:4" ht="15" customHeight="1" x14ac:dyDescent="0.3">
      <c r="A192" s="172" t="s">
        <v>554</v>
      </c>
      <c r="B192" s="174">
        <v>24</v>
      </c>
      <c r="C192" s="174">
        <v>2</v>
      </c>
      <c r="D192" s="174">
        <v>0.4</v>
      </c>
    </row>
    <row r="193" spans="1:4" ht="15" customHeight="1" x14ac:dyDescent="0.3">
      <c r="A193" s="172" t="s">
        <v>556</v>
      </c>
      <c r="B193" s="174">
        <v>24</v>
      </c>
      <c r="C193" s="174">
        <v>1.9</v>
      </c>
      <c r="D193" s="174">
        <v>0.3</v>
      </c>
    </row>
    <row r="194" spans="1:4" ht="15" customHeight="1" x14ac:dyDescent="0.3">
      <c r="A194" s="172" t="s">
        <v>558</v>
      </c>
      <c r="B194" s="174">
        <v>296</v>
      </c>
      <c r="C194" s="174">
        <v>9.6</v>
      </c>
      <c r="D194" s="174">
        <v>1</v>
      </c>
    </row>
    <row r="195" spans="1:4" ht="15" customHeight="1" x14ac:dyDescent="0.3">
      <c r="A195" s="172" t="s">
        <v>560</v>
      </c>
      <c r="B195" s="174">
        <v>22</v>
      </c>
      <c r="C195" s="174">
        <v>1.4</v>
      </c>
      <c r="D195" s="174">
        <v>0.2</v>
      </c>
    </row>
    <row r="196" spans="1:4" ht="15" customHeight="1" x14ac:dyDescent="0.3">
      <c r="A196" s="172" t="s">
        <v>562</v>
      </c>
      <c r="B196" s="174">
        <v>176</v>
      </c>
      <c r="C196" s="174">
        <v>11.2</v>
      </c>
      <c r="D196" s="174">
        <v>1.6</v>
      </c>
    </row>
    <row r="197" spans="1:4" ht="15" customHeight="1" x14ac:dyDescent="0.3">
      <c r="A197" s="172" t="s">
        <v>564</v>
      </c>
      <c r="B197" s="174">
        <v>36</v>
      </c>
      <c r="C197" s="174">
        <v>1.4</v>
      </c>
      <c r="D197" s="174">
        <v>0.3</v>
      </c>
    </row>
    <row r="198" spans="1:4" ht="15" customHeight="1" x14ac:dyDescent="0.3">
      <c r="A198" s="172" t="s">
        <v>566</v>
      </c>
      <c r="B198" s="174">
        <v>19</v>
      </c>
      <c r="C198" s="174">
        <v>0.6</v>
      </c>
      <c r="D198" s="174">
        <v>0.1</v>
      </c>
    </row>
    <row r="199" spans="1:4" ht="15" customHeight="1" x14ac:dyDescent="0.3">
      <c r="A199" s="172" t="s">
        <v>568</v>
      </c>
      <c r="B199" s="174">
        <v>341</v>
      </c>
      <c r="C199" s="174">
        <v>6.6</v>
      </c>
      <c r="D199" s="174">
        <v>1.3</v>
      </c>
    </row>
    <row r="200" spans="1:4" ht="15" customHeight="1" x14ac:dyDescent="0.3">
      <c r="A200" s="172" t="s">
        <v>570</v>
      </c>
      <c r="B200" s="174">
        <v>29</v>
      </c>
      <c r="C200" s="174">
        <v>1.4</v>
      </c>
      <c r="D200" s="174">
        <v>1.3</v>
      </c>
    </row>
    <row r="201" spans="1:4" ht="15" customHeight="1" x14ac:dyDescent="0.3">
      <c r="A201" s="172" t="s">
        <v>572</v>
      </c>
      <c r="B201" s="174">
        <v>38</v>
      </c>
      <c r="C201" s="174">
        <v>2.1</v>
      </c>
      <c r="D201" s="174">
        <v>0.3</v>
      </c>
    </row>
    <row r="202" spans="1:4" ht="15" customHeight="1" x14ac:dyDescent="0.3">
      <c r="A202" s="172" t="s">
        <v>574</v>
      </c>
      <c r="B202" s="174">
        <v>71</v>
      </c>
      <c r="C202" s="174">
        <v>3.3</v>
      </c>
      <c r="D202" s="174">
        <v>0.5</v>
      </c>
    </row>
    <row r="203" spans="1:4" ht="15" customHeight="1" x14ac:dyDescent="0.3">
      <c r="A203" s="172" t="s">
        <v>576</v>
      </c>
      <c r="B203" s="174">
        <v>65</v>
      </c>
      <c r="C203" s="174">
        <v>3.3</v>
      </c>
      <c r="D203" s="174">
        <v>0.3</v>
      </c>
    </row>
    <row r="204" spans="1:4" ht="15" customHeight="1" x14ac:dyDescent="0.3">
      <c r="A204" s="172" t="s">
        <v>578</v>
      </c>
      <c r="B204" s="174">
        <v>54</v>
      </c>
      <c r="C204" s="174">
        <v>2.4</v>
      </c>
      <c r="D204" s="174">
        <v>0.4</v>
      </c>
    </row>
    <row r="205" spans="1:4" ht="15" customHeight="1" x14ac:dyDescent="0.3">
      <c r="A205" s="172" t="s">
        <v>580</v>
      </c>
      <c r="B205" s="174">
        <v>41</v>
      </c>
      <c r="C205" s="174">
        <v>1.2</v>
      </c>
      <c r="D205" s="174">
        <v>0.5</v>
      </c>
    </row>
    <row r="206" spans="1:4" ht="15" customHeight="1" x14ac:dyDescent="0.3">
      <c r="A206" s="172"/>
      <c r="B206" s="174"/>
      <c r="C206" s="174"/>
      <c r="D206" s="174"/>
    </row>
    <row r="207" spans="1:4" ht="15" customHeight="1" x14ac:dyDescent="0.3">
      <c r="A207" s="170" t="s">
        <v>583</v>
      </c>
      <c r="B207" s="174"/>
      <c r="C207" s="174"/>
      <c r="D207" s="174"/>
    </row>
    <row r="208" spans="1:4" ht="15" customHeight="1" x14ac:dyDescent="0.3">
      <c r="A208" s="172" t="s">
        <v>585</v>
      </c>
      <c r="B208" s="174">
        <v>60</v>
      </c>
      <c r="C208" s="174">
        <v>0.7</v>
      </c>
      <c r="D208" s="174">
        <v>0.3</v>
      </c>
    </row>
    <row r="209" spans="1:4" ht="15" customHeight="1" x14ac:dyDescent="0.3">
      <c r="A209" s="172" t="s">
        <v>587</v>
      </c>
      <c r="B209" s="174">
        <v>75</v>
      </c>
      <c r="C209" s="174">
        <v>0.8</v>
      </c>
      <c r="D209" s="174">
        <v>0.3</v>
      </c>
    </row>
    <row r="210" spans="1:4" ht="15" customHeight="1" x14ac:dyDescent="0.3">
      <c r="A210" s="172" t="s">
        <v>589</v>
      </c>
      <c r="B210" s="174">
        <v>34</v>
      </c>
      <c r="C210" s="174">
        <v>0.7</v>
      </c>
      <c r="D210" s="174">
        <v>0.1</v>
      </c>
    </row>
    <row r="211" spans="1:4" ht="15" customHeight="1" x14ac:dyDescent="0.3">
      <c r="A211" s="172" t="s">
        <v>591</v>
      </c>
      <c r="B211" s="174">
        <v>42</v>
      </c>
      <c r="C211" s="174">
        <v>0.6</v>
      </c>
      <c r="D211" s="174">
        <v>0.1</v>
      </c>
    </row>
    <row r="212" spans="1:4" ht="15" customHeight="1" x14ac:dyDescent="0.3">
      <c r="A212" s="172" t="s">
        <v>593</v>
      </c>
      <c r="B212" s="174">
        <v>159</v>
      </c>
      <c r="C212" s="174">
        <v>2.4</v>
      </c>
      <c r="D212" s="174">
        <v>0.2</v>
      </c>
    </row>
    <row r="213" spans="1:4" ht="15" customHeight="1" x14ac:dyDescent="0.3">
      <c r="A213" s="172" t="s">
        <v>595</v>
      </c>
      <c r="B213" s="174">
        <v>32</v>
      </c>
      <c r="C213" s="174">
        <v>0.5</v>
      </c>
      <c r="D213" s="174">
        <v>0.1</v>
      </c>
    </row>
    <row r="214" spans="1:4" ht="15" customHeight="1" x14ac:dyDescent="0.3">
      <c r="A214" s="172" t="s">
        <v>597</v>
      </c>
      <c r="B214" s="174">
        <v>43</v>
      </c>
      <c r="C214" s="174">
        <v>0.5</v>
      </c>
      <c r="D214" s="174">
        <v>0.2</v>
      </c>
    </row>
    <row r="215" spans="1:4" ht="15" customHeight="1" x14ac:dyDescent="0.3">
      <c r="A215" s="172" t="s">
        <v>599</v>
      </c>
      <c r="B215" s="174">
        <v>15</v>
      </c>
      <c r="C215" s="174">
        <v>0.6</v>
      </c>
      <c r="D215" s="174">
        <v>0.2</v>
      </c>
    </row>
    <row r="216" spans="1:4" ht="15" customHeight="1" x14ac:dyDescent="0.3">
      <c r="A216" s="172" t="s">
        <v>601</v>
      </c>
      <c r="B216" s="174">
        <v>22</v>
      </c>
      <c r="C216" s="174">
        <v>0.5</v>
      </c>
      <c r="D216" s="174">
        <v>0.3</v>
      </c>
    </row>
    <row r="217" spans="1:4" ht="15" customHeight="1" x14ac:dyDescent="0.3">
      <c r="A217" s="172" t="s">
        <v>603</v>
      </c>
      <c r="B217" s="174">
        <v>116</v>
      </c>
      <c r="C217" s="174">
        <v>2.2999999999999998</v>
      </c>
      <c r="D217" s="174">
        <v>0.9</v>
      </c>
    </row>
    <row r="218" spans="1:4" ht="15" customHeight="1" x14ac:dyDescent="0.3">
      <c r="A218" s="172" t="s">
        <v>605</v>
      </c>
      <c r="B218" s="174">
        <v>16</v>
      </c>
      <c r="C218" s="174">
        <v>0.3</v>
      </c>
      <c r="D218" s="174">
        <v>0.1</v>
      </c>
    </row>
    <row r="219" spans="1:4" ht="15" customHeight="1" x14ac:dyDescent="0.3">
      <c r="A219" s="172" t="s">
        <v>607</v>
      </c>
      <c r="B219" s="174">
        <v>39</v>
      </c>
      <c r="C219" s="174">
        <v>0.5</v>
      </c>
      <c r="D219" s="174">
        <v>0.1</v>
      </c>
    </row>
    <row r="220" spans="1:4" ht="15" customHeight="1" x14ac:dyDescent="0.3">
      <c r="A220" s="172" t="s">
        <v>609</v>
      </c>
      <c r="B220" s="174">
        <v>146</v>
      </c>
      <c r="C220" s="174">
        <v>2</v>
      </c>
      <c r="D220" s="174">
        <v>0.5</v>
      </c>
    </row>
    <row r="221" spans="1:4" ht="15" customHeight="1" x14ac:dyDescent="0.3">
      <c r="A221" s="172" t="s">
        <v>611</v>
      </c>
      <c r="B221" s="174">
        <v>26</v>
      </c>
      <c r="C221" s="174">
        <v>0.5</v>
      </c>
      <c r="D221" s="174">
        <v>0.2</v>
      </c>
    </row>
    <row r="222" spans="1:4" ht="15" customHeight="1" x14ac:dyDescent="0.3">
      <c r="A222" s="172" t="s">
        <v>613</v>
      </c>
      <c r="B222" s="174">
        <v>47</v>
      </c>
      <c r="C222" s="174">
        <v>0.6</v>
      </c>
      <c r="D222" s="174">
        <v>0.2</v>
      </c>
    </row>
    <row r="223" spans="1:4" ht="15" customHeight="1" x14ac:dyDescent="0.3">
      <c r="A223" s="172" t="s">
        <v>525</v>
      </c>
      <c r="B223" s="174">
        <v>157</v>
      </c>
      <c r="C223" s="174">
        <v>2.1</v>
      </c>
      <c r="D223" s="174">
        <v>0.5</v>
      </c>
    </row>
    <row r="224" spans="1:4" ht="15" customHeight="1" x14ac:dyDescent="0.3">
      <c r="A224" s="172" t="s">
        <v>527</v>
      </c>
      <c r="B224" s="174">
        <v>48</v>
      </c>
      <c r="C224" s="174">
        <v>0.1</v>
      </c>
      <c r="D224" s="174">
        <v>0.3</v>
      </c>
    </row>
    <row r="225" spans="1:4" ht="15" customHeight="1" x14ac:dyDescent="0.3">
      <c r="A225" s="172" t="s">
        <v>529</v>
      </c>
      <c r="B225" s="174">
        <v>47</v>
      </c>
      <c r="C225" s="174">
        <v>0.1</v>
      </c>
      <c r="D225" s="174">
        <v>0.1</v>
      </c>
    </row>
    <row r="226" spans="1:4" ht="15" customHeight="1" x14ac:dyDescent="0.3">
      <c r="A226" s="172" t="s">
        <v>531</v>
      </c>
      <c r="B226" s="174">
        <v>166</v>
      </c>
      <c r="C226" s="174">
        <v>0.5</v>
      </c>
      <c r="D226" s="174">
        <v>0.4</v>
      </c>
    </row>
    <row r="227" spans="1:4" ht="15" customHeight="1" x14ac:dyDescent="0.3">
      <c r="A227" s="172" t="s">
        <v>533</v>
      </c>
      <c r="B227" s="174">
        <v>54</v>
      </c>
      <c r="C227" s="174">
        <v>0.4</v>
      </c>
      <c r="D227" s="174">
        <v>0.4</v>
      </c>
    </row>
    <row r="228" spans="1:4" ht="15" customHeight="1" x14ac:dyDescent="0.3">
      <c r="A228" s="172" t="s">
        <v>535</v>
      </c>
      <c r="B228" s="174">
        <v>35</v>
      </c>
      <c r="C228" s="174">
        <v>0.2</v>
      </c>
      <c r="D228" s="174">
        <v>0.1</v>
      </c>
    </row>
    <row r="229" spans="1:4" ht="15" customHeight="1" x14ac:dyDescent="0.3">
      <c r="A229" s="172" t="s">
        <v>537</v>
      </c>
      <c r="B229" s="174">
        <v>45</v>
      </c>
      <c r="C229" s="174">
        <v>1.3</v>
      </c>
      <c r="D229" s="174">
        <v>0.4</v>
      </c>
    </row>
    <row r="230" spans="1:4" ht="15" customHeight="1" x14ac:dyDescent="0.3">
      <c r="A230" s="172" t="s">
        <v>539</v>
      </c>
      <c r="B230" s="174">
        <v>45</v>
      </c>
      <c r="C230" s="174">
        <v>0.9</v>
      </c>
      <c r="D230" s="174">
        <v>0.3</v>
      </c>
    </row>
    <row r="231" spans="1:4" ht="15" customHeight="1" x14ac:dyDescent="0.3">
      <c r="A231" s="172" t="s">
        <v>541</v>
      </c>
      <c r="B231" s="174">
        <v>65</v>
      </c>
      <c r="C231" s="174">
        <v>1.1000000000000001</v>
      </c>
      <c r="D231" s="174">
        <v>0.9</v>
      </c>
    </row>
    <row r="232" spans="1:4" ht="15" customHeight="1" x14ac:dyDescent="0.3">
      <c r="A232" s="172" t="s">
        <v>543</v>
      </c>
      <c r="B232" s="174">
        <v>33</v>
      </c>
      <c r="C232" s="174">
        <v>0.5</v>
      </c>
      <c r="D232" s="174">
        <v>0.1</v>
      </c>
    </row>
    <row r="233" spans="1:4" ht="15" customHeight="1" x14ac:dyDescent="0.3">
      <c r="A233" s="176" t="s">
        <v>545</v>
      </c>
      <c r="B233" s="177">
        <v>52</v>
      </c>
      <c r="C233" s="177">
        <v>0.7</v>
      </c>
      <c r="D233" s="177">
        <v>0.6</v>
      </c>
    </row>
    <row r="234" spans="1:4" ht="15" customHeight="1" x14ac:dyDescent="0.3">
      <c r="A234" s="172" t="s">
        <v>547</v>
      </c>
      <c r="B234" s="174">
        <v>71</v>
      </c>
      <c r="C234" s="174">
        <v>0.6</v>
      </c>
      <c r="D234" s="174">
        <v>0</v>
      </c>
    </row>
    <row r="235" spans="1:4" ht="15" customHeight="1" x14ac:dyDescent="0.3">
      <c r="A235" s="172" t="s">
        <v>549</v>
      </c>
      <c r="B235" s="174">
        <v>215</v>
      </c>
      <c r="C235" s="174">
        <v>2</v>
      </c>
      <c r="D235" s="174">
        <v>0.1</v>
      </c>
    </row>
    <row r="236" spans="1:4" ht="15" customHeight="1" x14ac:dyDescent="0.3">
      <c r="A236" s="172" t="s">
        <v>551</v>
      </c>
      <c r="B236" s="174">
        <v>52</v>
      </c>
      <c r="C236" s="174">
        <v>0.9</v>
      </c>
      <c r="D236" s="174">
        <v>0.3</v>
      </c>
    </row>
    <row r="237" spans="1:4" ht="15" customHeight="1" x14ac:dyDescent="0.3">
      <c r="A237" s="172" t="s">
        <v>553</v>
      </c>
      <c r="B237" s="174">
        <v>48</v>
      </c>
      <c r="C237" s="174">
        <v>0.4</v>
      </c>
      <c r="D237" s="174">
        <v>0.3</v>
      </c>
    </row>
    <row r="238" spans="1:4" ht="15" customHeight="1" x14ac:dyDescent="0.3">
      <c r="A238" s="172" t="s">
        <v>555</v>
      </c>
      <c r="B238" s="174">
        <v>111</v>
      </c>
      <c r="C238" s="174">
        <v>1.6</v>
      </c>
      <c r="D238" s="174">
        <v>0.5</v>
      </c>
    </row>
    <row r="239" spans="1:4" ht="15" customHeight="1" x14ac:dyDescent="0.3">
      <c r="A239" s="172" t="s">
        <v>557</v>
      </c>
      <c r="B239" s="174">
        <v>28</v>
      </c>
      <c r="C239" s="174">
        <v>0.6</v>
      </c>
      <c r="D239" s="174">
        <v>0.4</v>
      </c>
    </row>
    <row r="240" spans="1:4" ht="15" customHeight="1" x14ac:dyDescent="0.3">
      <c r="A240" s="172" t="s">
        <v>559</v>
      </c>
      <c r="B240" s="174">
        <v>47</v>
      </c>
      <c r="C240" s="174">
        <v>0.9</v>
      </c>
      <c r="D240" s="174">
        <v>0.5</v>
      </c>
    </row>
    <row r="241" spans="1:4" ht="15" customHeight="1" x14ac:dyDescent="0.3">
      <c r="A241" s="172" t="s">
        <v>561</v>
      </c>
      <c r="B241" s="174">
        <v>44</v>
      </c>
      <c r="C241" s="174">
        <v>0.9</v>
      </c>
      <c r="D241" s="174">
        <v>0.6</v>
      </c>
    </row>
    <row r="242" spans="1:4" ht="15" customHeight="1" x14ac:dyDescent="0.3">
      <c r="A242" s="172" t="s">
        <v>563</v>
      </c>
      <c r="B242" s="174">
        <v>59</v>
      </c>
      <c r="C242" s="174">
        <v>1.4</v>
      </c>
      <c r="D242" s="174">
        <v>0.3</v>
      </c>
    </row>
    <row r="243" spans="1:4" ht="15" customHeight="1" x14ac:dyDescent="0.3">
      <c r="A243" s="172" t="s">
        <v>565</v>
      </c>
      <c r="B243" s="174">
        <v>55</v>
      </c>
      <c r="C243" s="174">
        <v>0.7</v>
      </c>
      <c r="D243" s="174">
        <v>0.4</v>
      </c>
    </row>
    <row r="244" spans="1:4" ht="15" customHeight="1" x14ac:dyDescent="0.3">
      <c r="A244" s="172" t="s">
        <v>567</v>
      </c>
      <c r="B244" s="174">
        <v>47</v>
      </c>
      <c r="C244" s="174">
        <v>0.4</v>
      </c>
      <c r="D244" s="174">
        <v>0.2</v>
      </c>
    </row>
    <row r="245" spans="1:4" ht="15" customHeight="1" x14ac:dyDescent="0.3">
      <c r="A245" s="172" t="s">
        <v>569</v>
      </c>
      <c r="B245" s="174">
        <v>49</v>
      </c>
      <c r="C245" s="174">
        <v>1</v>
      </c>
      <c r="D245" s="174">
        <v>0.7</v>
      </c>
    </row>
    <row r="246" spans="1:4" ht="15" customHeight="1" x14ac:dyDescent="0.3">
      <c r="A246" s="172" t="s">
        <v>571</v>
      </c>
      <c r="B246" s="174">
        <v>53</v>
      </c>
      <c r="C246" s="174">
        <v>0.5</v>
      </c>
      <c r="D246" s="174">
        <v>0.4</v>
      </c>
    </row>
    <row r="247" spans="1:4" ht="15" customHeight="1" x14ac:dyDescent="0.3">
      <c r="A247" s="172" t="s">
        <v>573</v>
      </c>
      <c r="B247" s="174">
        <v>61</v>
      </c>
      <c r="C247" s="174">
        <v>0.6</v>
      </c>
      <c r="D247" s="174">
        <v>0.1</v>
      </c>
    </row>
    <row r="248" spans="1:4" ht="15" customHeight="1" x14ac:dyDescent="0.3">
      <c r="A248" s="172" t="s">
        <v>575</v>
      </c>
      <c r="B248" s="174">
        <v>17</v>
      </c>
      <c r="C248" s="174">
        <v>0.3</v>
      </c>
      <c r="D248" s="174">
        <v>0.2</v>
      </c>
    </row>
    <row r="249" spans="1:4" ht="15" customHeight="1" x14ac:dyDescent="0.3">
      <c r="A249" s="172" t="s">
        <v>577</v>
      </c>
      <c r="B249" s="174">
        <v>17</v>
      </c>
      <c r="C249" s="174">
        <v>0.4</v>
      </c>
      <c r="D249" s="174">
        <v>0.1</v>
      </c>
    </row>
    <row r="250" spans="1:4" ht="15" customHeight="1" x14ac:dyDescent="0.3">
      <c r="A250" s="172" t="s">
        <v>579</v>
      </c>
      <c r="B250" s="174">
        <v>73</v>
      </c>
      <c r="C250" s="174">
        <v>0.8</v>
      </c>
      <c r="D250" s="174">
        <v>0.3</v>
      </c>
    </row>
    <row r="251" spans="1:4" ht="15" customHeight="1" x14ac:dyDescent="0.3">
      <c r="A251" s="172" t="s">
        <v>581</v>
      </c>
      <c r="B251" s="174">
        <v>45</v>
      </c>
      <c r="C251" s="174">
        <v>0.4</v>
      </c>
      <c r="D251" s="174">
        <v>0.2</v>
      </c>
    </row>
    <row r="252" spans="1:4" ht="15" customHeight="1" x14ac:dyDescent="0.3">
      <c r="A252" s="172" t="s">
        <v>582</v>
      </c>
      <c r="B252" s="174">
        <v>62</v>
      </c>
      <c r="C252" s="174">
        <v>0.3</v>
      </c>
      <c r="D252" s="174">
        <v>0.4</v>
      </c>
    </row>
    <row r="253" spans="1:4" ht="15" customHeight="1" x14ac:dyDescent="0.3">
      <c r="A253" s="172" t="s">
        <v>584</v>
      </c>
      <c r="B253" s="174">
        <v>65</v>
      </c>
      <c r="C253" s="174">
        <v>0.5</v>
      </c>
      <c r="D253" s="174">
        <v>0.3</v>
      </c>
    </row>
    <row r="254" spans="1:4" ht="15" customHeight="1" x14ac:dyDescent="0.3">
      <c r="A254" s="172" t="s">
        <v>586</v>
      </c>
      <c r="B254" s="174">
        <v>119</v>
      </c>
      <c r="C254" s="174">
        <v>1.5</v>
      </c>
      <c r="D254" s="174">
        <v>11.3</v>
      </c>
    </row>
    <row r="255" spans="1:4" ht="15" customHeight="1" x14ac:dyDescent="0.3">
      <c r="A255" s="172" t="s">
        <v>588</v>
      </c>
      <c r="B255" s="174">
        <v>26</v>
      </c>
      <c r="C255" s="174">
        <v>0.2</v>
      </c>
      <c r="D255" s="174">
        <v>0.2</v>
      </c>
    </row>
    <row r="256" spans="1:4" ht="15" customHeight="1" x14ac:dyDescent="0.3">
      <c r="A256" s="172" t="s">
        <v>590</v>
      </c>
      <c r="B256" s="174">
        <v>78</v>
      </c>
      <c r="C256" s="174">
        <v>0.4</v>
      </c>
      <c r="D256" s="174">
        <v>0.1</v>
      </c>
    </row>
    <row r="257" spans="1:4" ht="15" customHeight="1" x14ac:dyDescent="0.3">
      <c r="A257" s="172" t="s">
        <v>592</v>
      </c>
      <c r="B257" s="174">
        <v>56</v>
      </c>
      <c r="C257" s="174">
        <v>0.3</v>
      </c>
      <c r="D257" s="174">
        <v>0.1</v>
      </c>
    </row>
    <row r="258" spans="1:4" ht="15" customHeight="1" x14ac:dyDescent="0.3">
      <c r="A258" s="172" t="s">
        <v>594</v>
      </c>
      <c r="B258" s="174">
        <v>179</v>
      </c>
      <c r="C258" s="174">
        <v>1.3</v>
      </c>
      <c r="D258" s="174">
        <v>0.1</v>
      </c>
    </row>
    <row r="259" spans="1:4" ht="15" customHeight="1" x14ac:dyDescent="0.3">
      <c r="A259" s="172" t="s">
        <v>596</v>
      </c>
      <c r="B259" s="174">
        <v>82</v>
      </c>
      <c r="C259" s="174">
        <v>0.6</v>
      </c>
      <c r="D259" s="174">
        <v>0.3</v>
      </c>
    </row>
    <row r="260" spans="1:4" ht="15" customHeight="1" x14ac:dyDescent="0.3">
      <c r="A260" s="172" t="s">
        <v>598</v>
      </c>
      <c r="B260" s="174">
        <v>43</v>
      </c>
      <c r="C260" s="174">
        <v>0.8</v>
      </c>
      <c r="D260" s="174">
        <v>0.6</v>
      </c>
    </row>
    <row r="261" spans="1:4" ht="15" customHeight="1" x14ac:dyDescent="0.3">
      <c r="A261" s="172" t="s">
        <v>600</v>
      </c>
      <c r="B261" s="174">
        <v>52</v>
      </c>
      <c r="C261" s="174">
        <v>0.9</v>
      </c>
      <c r="D261" s="174">
        <v>0.4</v>
      </c>
    </row>
    <row r="262" spans="1:4" ht="15" customHeight="1" x14ac:dyDescent="0.3">
      <c r="A262" s="172" t="s">
        <v>602</v>
      </c>
      <c r="B262" s="174">
        <v>26</v>
      </c>
      <c r="C262" s="174">
        <v>0.4</v>
      </c>
      <c r="D262" s="174">
        <v>0.1</v>
      </c>
    </row>
    <row r="263" spans="1:4" ht="15" customHeight="1" x14ac:dyDescent="0.3">
      <c r="A263" s="172" t="s">
        <v>604</v>
      </c>
      <c r="B263" s="174">
        <v>41</v>
      </c>
      <c r="C263" s="174">
        <v>0.5</v>
      </c>
      <c r="D263" s="174">
        <v>0.7</v>
      </c>
    </row>
    <row r="264" spans="1:4" ht="15" customHeight="1" x14ac:dyDescent="0.3">
      <c r="A264" s="172" t="s">
        <v>606</v>
      </c>
      <c r="B264" s="174">
        <v>45</v>
      </c>
      <c r="C264" s="174">
        <v>0.5</v>
      </c>
      <c r="D264" s="174">
        <v>0.5</v>
      </c>
    </row>
    <row r="265" spans="1:4" ht="15" customHeight="1" x14ac:dyDescent="0.3">
      <c r="A265" s="172" t="s">
        <v>608</v>
      </c>
      <c r="B265" s="174">
        <v>48</v>
      </c>
      <c r="C265" s="174">
        <v>0.5</v>
      </c>
      <c r="D265" s="174">
        <v>0.1</v>
      </c>
    </row>
    <row r="266" spans="1:4" ht="15" customHeight="1" x14ac:dyDescent="0.3">
      <c r="A266" s="172" t="s">
        <v>610</v>
      </c>
      <c r="B266" s="174">
        <v>36</v>
      </c>
      <c r="C266" s="174">
        <v>0.5</v>
      </c>
      <c r="D266" s="174">
        <v>0.2</v>
      </c>
    </row>
    <row r="267" spans="1:4" ht="15" customHeight="1" x14ac:dyDescent="0.3">
      <c r="A267" s="172" t="s">
        <v>612</v>
      </c>
      <c r="B267" s="174">
        <v>346</v>
      </c>
      <c r="C267" s="174">
        <v>3.9</v>
      </c>
      <c r="D267" s="174">
        <v>1.8</v>
      </c>
    </row>
    <row r="268" spans="1:4" ht="15" customHeight="1" x14ac:dyDescent="0.3">
      <c r="A268" s="172" t="s">
        <v>614</v>
      </c>
      <c r="B268" s="174">
        <v>212</v>
      </c>
      <c r="C268" s="174">
        <v>0.6</v>
      </c>
      <c r="D268" s="174">
        <v>0</v>
      </c>
    </row>
    <row r="269" spans="1:4" ht="15" customHeight="1" x14ac:dyDescent="0.3">
      <c r="A269" s="172" t="s">
        <v>615</v>
      </c>
      <c r="B269" s="174">
        <v>59</v>
      </c>
      <c r="C269" s="174">
        <v>0.3</v>
      </c>
      <c r="D269" s="174">
        <v>0</v>
      </c>
    </row>
    <row r="270" spans="1:4" ht="15" customHeight="1" x14ac:dyDescent="0.3">
      <c r="A270" s="172"/>
      <c r="B270" s="174"/>
      <c r="C270" s="174"/>
      <c r="D270" s="174"/>
    </row>
    <row r="271" spans="1:4" ht="15" customHeight="1" x14ac:dyDescent="0.3">
      <c r="A271" s="170" t="s">
        <v>618</v>
      </c>
      <c r="B271" s="174"/>
      <c r="C271" s="174"/>
      <c r="D271" s="174"/>
    </row>
    <row r="272" spans="1:4" ht="15" customHeight="1" x14ac:dyDescent="0.3">
      <c r="A272" s="172" t="s">
        <v>620</v>
      </c>
      <c r="B272" s="174">
        <v>238</v>
      </c>
      <c r="C272" s="174">
        <v>3.7</v>
      </c>
      <c r="D272" s="174">
        <v>0.5</v>
      </c>
    </row>
    <row r="273" spans="1:4" ht="15" customHeight="1" x14ac:dyDescent="0.3">
      <c r="A273" s="176" t="s">
        <v>621</v>
      </c>
      <c r="B273" s="177">
        <v>208</v>
      </c>
      <c r="C273" s="177">
        <v>2.2999999999999998</v>
      </c>
      <c r="D273" s="177">
        <v>0.5</v>
      </c>
    </row>
    <row r="274" spans="1:4" ht="15" customHeight="1" x14ac:dyDescent="0.3">
      <c r="A274" s="172" t="s">
        <v>623</v>
      </c>
      <c r="B274" s="174">
        <v>299</v>
      </c>
      <c r="C274" s="174">
        <v>3.2</v>
      </c>
      <c r="D274" s="174">
        <v>0.5</v>
      </c>
    </row>
    <row r="275" spans="1:4" ht="15" customHeight="1" x14ac:dyDescent="0.3">
      <c r="A275" s="172" t="s">
        <v>624</v>
      </c>
      <c r="B275" s="174">
        <v>253</v>
      </c>
      <c r="C275" s="174">
        <v>3</v>
      </c>
      <c r="D275" s="174">
        <v>1.2</v>
      </c>
    </row>
    <row r="276" spans="1:4" ht="15" customHeight="1" x14ac:dyDescent="0.3">
      <c r="A276" s="172" t="s">
        <v>626</v>
      </c>
      <c r="B276" s="174">
        <v>156</v>
      </c>
      <c r="C276" s="174">
        <v>1.5</v>
      </c>
      <c r="D276" s="174">
        <v>0.4</v>
      </c>
    </row>
    <row r="277" spans="1:4" ht="15" customHeight="1" x14ac:dyDescent="0.3">
      <c r="A277" s="172" t="s">
        <v>628</v>
      </c>
      <c r="B277" s="174">
        <v>267</v>
      </c>
      <c r="C277" s="174">
        <v>2.8</v>
      </c>
      <c r="D277" s="174">
        <v>0.6</v>
      </c>
    </row>
    <row r="278" spans="1:4" ht="15" customHeight="1" x14ac:dyDescent="0.3">
      <c r="A278" s="172" t="s">
        <v>630</v>
      </c>
      <c r="B278" s="174">
        <v>267</v>
      </c>
      <c r="C278" s="174">
        <v>2.8</v>
      </c>
      <c r="D278" s="174">
        <v>0.6</v>
      </c>
    </row>
    <row r="279" spans="1:4" ht="15" customHeight="1" x14ac:dyDescent="0.3">
      <c r="A279" s="172"/>
      <c r="B279" s="174"/>
      <c r="C279" s="174"/>
      <c r="D279" s="174"/>
    </row>
    <row r="280" spans="1:4" ht="15" customHeight="1" x14ac:dyDescent="0.3">
      <c r="A280" s="170" t="s">
        <v>633</v>
      </c>
      <c r="B280" s="174"/>
      <c r="C280" s="174"/>
      <c r="D280" s="174"/>
    </row>
    <row r="281" spans="1:4" ht="15" customHeight="1" x14ac:dyDescent="0.3">
      <c r="A281" s="172" t="s">
        <v>635</v>
      </c>
      <c r="B281" s="174">
        <v>47</v>
      </c>
      <c r="C281" s="174">
        <v>6.7</v>
      </c>
      <c r="D281" s="174">
        <v>0</v>
      </c>
    </row>
    <row r="282" spans="1:4" ht="15" customHeight="1" x14ac:dyDescent="0.3">
      <c r="A282" s="172" t="s">
        <v>637</v>
      </c>
      <c r="B282" s="174">
        <v>56</v>
      </c>
      <c r="C282" s="174">
        <v>8</v>
      </c>
      <c r="D282" s="174">
        <v>0</v>
      </c>
    </row>
    <row r="283" spans="1:4" ht="15" customHeight="1" x14ac:dyDescent="0.3">
      <c r="A283" s="172" t="s">
        <v>639</v>
      </c>
      <c r="B283" s="174">
        <v>56</v>
      </c>
      <c r="C283" s="174">
        <v>8</v>
      </c>
      <c r="D283" s="174">
        <v>0</v>
      </c>
    </row>
    <row r="284" spans="1:4" ht="15" customHeight="1" x14ac:dyDescent="0.3">
      <c r="A284" s="172" t="s">
        <v>641</v>
      </c>
      <c r="B284" s="174">
        <v>129</v>
      </c>
      <c r="C284" s="174">
        <v>4</v>
      </c>
      <c r="D284" s="174">
        <v>0</v>
      </c>
    </row>
    <row r="285" spans="1:4" ht="15" customHeight="1" x14ac:dyDescent="0.3">
      <c r="A285" s="172" t="s">
        <v>643</v>
      </c>
      <c r="B285" s="174">
        <v>60</v>
      </c>
      <c r="C285" s="174">
        <v>1.1000000000000001</v>
      </c>
      <c r="D285" s="174">
        <v>0.2</v>
      </c>
    </row>
    <row r="286" spans="1:4" ht="15" customHeight="1" x14ac:dyDescent="0.3">
      <c r="A286" s="172" t="s">
        <v>645</v>
      </c>
      <c r="B286" s="174">
        <v>414</v>
      </c>
      <c r="C286" s="174">
        <v>4</v>
      </c>
      <c r="D286" s="174">
        <v>40</v>
      </c>
    </row>
    <row r="287" spans="1:4" ht="15" customHeight="1" x14ac:dyDescent="0.3">
      <c r="A287" s="172" t="s">
        <v>647</v>
      </c>
      <c r="B287" s="174">
        <v>472</v>
      </c>
      <c r="C287" s="174">
        <v>1.7</v>
      </c>
      <c r="D287" s="174">
        <v>44</v>
      </c>
    </row>
    <row r="288" spans="1:4" ht="15" customHeight="1" x14ac:dyDescent="0.3">
      <c r="A288" s="172" t="s">
        <v>649</v>
      </c>
      <c r="B288" s="174">
        <v>711</v>
      </c>
      <c r="C288" s="174">
        <v>0</v>
      </c>
      <c r="D288" s="174">
        <v>85</v>
      </c>
    </row>
    <row r="289" spans="1:4" ht="15" customHeight="1" x14ac:dyDescent="0.3">
      <c r="A289" s="172" t="s">
        <v>651</v>
      </c>
      <c r="B289" s="174">
        <v>261</v>
      </c>
      <c r="C289" s="174">
        <v>17.3</v>
      </c>
      <c r="D289" s="174">
        <v>19</v>
      </c>
    </row>
    <row r="290" spans="1:4" ht="15" customHeight="1" x14ac:dyDescent="0.3">
      <c r="A290" s="172" t="s">
        <v>653</v>
      </c>
      <c r="B290" s="174">
        <v>393</v>
      </c>
      <c r="C290" s="174">
        <v>4.2</v>
      </c>
      <c r="D290" s="174">
        <v>35.700000000000003</v>
      </c>
    </row>
    <row r="291" spans="1:4" ht="15" customHeight="1" x14ac:dyDescent="0.3">
      <c r="A291" s="172" t="s">
        <v>655</v>
      </c>
      <c r="B291" s="174">
        <v>40</v>
      </c>
      <c r="C291" s="174">
        <v>10</v>
      </c>
      <c r="D291" s="174">
        <v>0</v>
      </c>
    </row>
    <row r="292" spans="1:4" ht="15" customHeight="1" x14ac:dyDescent="0.3">
      <c r="A292" s="172" t="s">
        <v>657</v>
      </c>
      <c r="B292" s="174">
        <v>18</v>
      </c>
      <c r="C292" s="174">
        <v>4.5</v>
      </c>
      <c r="D292" s="174">
        <v>0</v>
      </c>
    </row>
    <row r="293" spans="1:4" ht="15" customHeight="1" x14ac:dyDescent="0.3">
      <c r="A293" s="172" t="s">
        <v>659</v>
      </c>
      <c r="B293" s="174">
        <v>40</v>
      </c>
      <c r="C293" s="174">
        <v>10</v>
      </c>
      <c r="D293" s="174">
        <v>0</v>
      </c>
    </row>
    <row r="294" spans="1:4" ht="15" customHeight="1" x14ac:dyDescent="0.3">
      <c r="A294" s="172" t="s">
        <v>661</v>
      </c>
      <c r="B294" s="174">
        <v>40</v>
      </c>
      <c r="C294" s="174">
        <v>10</v>
      </c>
      <c r="D294" s="174">
        <v>0</v>
      </c>
    </row>
    <row r="295" spans="1:4" ht="15" customHeight="1" x14ac:dyDescent="0.3">
      <c r="A295" s="170" t="s">
        <v>664</v>
      </c>
      <c r="B295" s="174"/>
      <c r="C295" s="174"/>
      <c r="D295" s="174"/>
    </row>
    <row r="296" spans="1:4" ht="15" customHeight="1" x14ac:dyDescent="0.3">
      <c r="A296" s="172" t="s">
        <v>666</v>
      </c>
      <c r="B296" s="174">
        <v>276</v>
      </c>
      <c r="C296" s="174">
        <v>10.7</v>
      </c>
      <c r="D296" s="174">
        <v>2.7</v>
      </c>
    </row>
    <row r="297" spans="1:4" ht="15" customHeight="1" x14ac:dyDescent="0.3">
      <c r="A297" s="172" t="s">
        <v>668</v>
      </c>
      <c r="B297" s="174">
        <v>318</v>
      </c>
      <c r="C297" s="174">
        <v>12</v>
      </c>
      <c r="D297" s="174">
        <v>17.3</v>
      </c>
    </row>
    <row r="298" spans="1:4" ht="15" customHeight="1" x14ac:dyDescent="0.3">
      <c r="A298" s="172" t="s">
        <v>670</v>
      </c>
      <c r="B298" s="174">
        <v>261</v>
      </c>
      <c r="C298" s="174">
        <v>3.9</v>
      </c>
      <c r="D298" s="174">
        <v>3.2</v>
      </c>
    </row>
    <row r="299" spans="1:4" ht="15" customHeight="1" x14ac:dyDescent="0.3">
      <c r="A299" s="172" t="s">
        <v>672</v>
      </c>
      <c r="B299" s="174">
        <v>323</v>
      </c>
      <c r="C299" s="174">
        <v>6</v>
      </c>
      <c r="D299" s="174">
        <v>20.100000000000001</v>
      </c>
    </row>
    <row r="300" spans="1:4" ht="15" customHeight="1" x14ac:dyDescent="0.3">
      <c r="A300" s="172" t="s">
        <v>674</v>
      </c>
      <c r="B300" s="174">
        <v>525</v>
      </c>
      <c r="C300" s="174">
        <v>5.8</v>
      </c>
      <c r="D300" s="174">
        <v>36.299999999999997</v>
      </c>
    </row>
    <row r="301" spans="1:4" ht="15" customHeight="1" x14ac:dyDescent="0.3">
      <c r="A301" s="172" t="s">
        <v>676</v>
      </c>
      <c r="B301" s="174">
        <v>345</v>
      </c>
      <c r="C301" s="174">
        <v>15.8</v>
      </c>
      <c r="D301" s="174">
        <v>14.9</v>
      </c>
    </row>
    <row r="302" spans="1:4" ht="15" customHeight="1" x14ac:dyDescent="0.3">
      <c r="A302" s="172" t="s">
        <v>678</v>
      </c>
      <c r="B302" s="174">
        <v>347</v>
      </c>
      <c r="C302" s="174">
        <v>9.1</v>
      </c>
      <c r="D302" s="174">
        <v>6</v>
      </c>
    </row>
    <row r="303" spans="1:4" ht="15" customHeight="1" x14ac:dyDescent="0.3">
      <c r="A303" s="172" t="s">
        <v>680</v>
      </c>
      <c r="B303" s="174">
        <v>337</v>
      </c>
      <c r="C303" s="174">
        <v>11.3</v>
      </c>
      <c r="D303" s="174">
        <v>15.5</v>
      </c>
    </row>
    <row r="304" spans="1:4" ht="15" customHeight="1" x14ac:dyDescent="0.3">
      <c r="A304" s="170" t="s">
        <v>683</v>
      </c>
      <c r="B304" s="174"/>
      <c r="C304" s="174"/>
      <c r="D304" s="174"/>
    </row>
    <row r="305" spans="1:4" ht="15" customHeight="1" x14ac:dyDescent="0.3">
      <c r="A305" s="172" t="s">
        <v>685</v>
      </c>
      <c r="B305" s="174">
        <v>60</v>
      </c>
      <c r="C305" s="174">
        <v>1.9</v>
      </c>
      <c r="D305" s="174">
        <v>0.3</v>
      </c>
    </row>
    <row r="306" spans="1:4" ht="15" customHeight="1" x14ac:dyDescent="0.3">
      <c r="A306" s="172" t="s">
        <v>687</v>
      </c>
      <c r="B306" s="174">
        <v>133</v>
      </c>
      <c r="C306" s="174">
        <v>0.3</v>
      </c>
      <c r="D306" s="174">
        <v>0</v>
      </c>
    </row>
    <row r="307" spans="1:4" ht="15" customHeight="1" x14ac:dyDescent="0.3">
      <c r="A307" s="172" t="s">
        <v>689</v>
      </c>
      <c r="B307" s="174">
        <v>49</v>
      </c>
      <c r="C307" s="174">
        <v>0.5</v>
      </c>
      <c r="D307" s="174">
        <v>0</v>
      </c>
    </row>
    <row r="308" spans="1:4" ht="15" customHeight="1" x14ac:dyDescent="0.3">
      <c r="A308" s="172" t="s">
        <v>691</v>
      </c>
      <c r="B308" s="174">
        <v>40</v>
      </c>
      <c r="C308" s="174">
        <v>0.4</v>
      </c>
      <c r="D308" s="174">
        <v>0</v>
      </c>
    </row>
    <row r="309" spans="1:4" ht="15" customHeight="1" x14ac:dyDescent="0.3">
      <c r="A309" s="172" t="s">
        <v>693</v>
      </c>
      <c r="B309" s="174">
        <v>40</v>
      </c>
      <c r="C309" s="174">
        <v>0.4</v>
      </c>
      <c r="D309" s="174">
        <v>0</v>
      </c>
    </row>
    <row r="310" spans="1:4" ht="15" customHeight="1" x14ac:dyDescent="0.3">
      <c r="A310" s="172" t="s">
        <v>695</v>
      </c>
      <c r="B310" s="174">
        <v>40</v>
      </c>
      <c r="C310" s="174">
        <v>0.4</v>
      </c>
      <c r="D310" s="174">
        <v>0</v>
      </c>
    </row>
    <row r="311" spans="1:4" ht="15" customHeight="1" x14ac:dyDescent="0.3">
      <c r="A311" s="172" t="s">
        <v>697</v>
      </c>
      <c r="B311" s="174">
        <v>47</v>
      </c>
      <c r="C311" s="174">
        <v>0.1</v>
      </c>
      <c r="D311" s="174">
        <v>0</v>
      </c>
    </row>
    <row r="312" spans="1:4" ht="15" customHeight="1" x14ac:dyDescent="0.3">
      <c r="A312" s="172" t="s">
        <v>699</v>
      </c>
      <c r="B312" s="174">
        <v>61</v>
      </c>
      <c r="C312" s="174">
        <v>0.6</v>
      </c>
      <c r="D312" s="174">
        <v>0.1</v>
      </c>
    </row>
    <row r="313" spans="1:4" ht="15" customHeight="1" x14ac:dyDescent="0.3">
      <c r="A313" s="172" t="s">
        <v>616</v>
      </c>
      <c r="B313" s="174">
        <v>68</v>
      </c>
      <c r="C313" s="174">
        <v>0</v>
      </c>
      <c r="D313" s="174">
        <v>0</v>
      </c>
    </row>
    <row r="314" spans="1:4" ht="15" customHeight="1" x14ac:dyDescent="0.3">
      <c r="A314" s="172" t="s">
        <v>617</v>
      </c>
      <c r="B314" s="174">
        <v>137</v>
      </c>
      <c r="C314" s="174">
        <v>0.1</v>
      </c>
      <c r="D314" s="174">
        <v>0</v>
      </c>
    </row>
    <row r="315" spans="1:4" ht="15" customHeight="1" x14ac:dyDescent="0.3">
      <c r="A315" s="172" t="s">
        <v>619</v>
      </c>
      <c r="B315" s="174">
        <v>295</v>
      </c>
      <c r="C315" s="174">
        <v>0</v>
      </c>
      <c r="D315" s="174">
        <v>0</v>
      </c>
    </row>
    <row r="316" spans="1:4" ht="15" customHeight="1" x14ac:dyDescent="0.3">
      <c r="A316" s="172"/>
      <c r="B316" s="174"/>
      <c r="C316" s="174"/>
      <c r="D316" s="174"/>
    </row>
    <row r="317" spans="1:4" ht="15" customHeight="1" x14ac:dyDescent="0.3">
      <c r="A317" s="170" t="s">
        <v>622</v>
      </c>
      <c r="B317" s="174"/>
      <c r="C317" s="174"/>
      <c r="D317" s="174"/>
    </row>
    <row r="318" spans="1:4" ht="15" customHeight="1" x14ac:dyDescent="0.3">
      <c r="A318" s="172"/>
      <c r="B318" s="174"/>
      <c r="C318" s="174"/>
      <c r="D318" s="174"/>
    </row>
    <row r="319" spans="1:4" ht="15" customHeight="1" x14ac:dyDescent="0.3">
      <c r="A319" s="172" t="s">
        <v>625</v>
      </c>
      <c r="B319" s="174">
        <v>150</v>
      </c>
      <c r="C319" s="174">
        <v>18.5</v>
      </c>
      <c r="D319" s="174">
        <v>7.9</v>
      </c>
    </row>
    <row r="320" spans="1:4" ht="15" customHeight="1" x14ac:dyDescent="0.3">
      <c r="A320" s="172" t="s">
        <v>627</v>
      </c>
      <c r="B320" s="174">
        <v>203</v>
      </c>
      <c r="C320" s="174">
        <v>34.299999999999997</v>
      </c>
      <c r="D320" s="174">
        <v>6.3</v>
      </c>
    </row>
    <row r="321" spans="1:4" ht="15" customHeight="1" x14ac:dyDescent="0.3">
      <c r="A321" s="172" t="s">
        <v>629</v>
      </c>
      <c r="B321" s="174">
        <v>238</v>
      </c>
      <c r="C321" s="174">
        <v>16</v>
      </c>
      <c r="D321" s="174">
        <v>8.9</v>
      </c>
    </row>
    <row r="322" spans="1:4" ht="15" customHeight="1" x14ac:dyDescent="0.3">
      <c r="A322" s="172" t="s">
        <v>631</v>
      </c>
      <c r="B322" s="174">
        <v>313</v>
      </c>
      <c r="C322" s="174">
        <v>11.7</v>
      </c>
      <c r="D322" s="174">
        <v>28.4</v>
      </c>
    </row>
    <row r="323" spans="1:4" ht="15" customHeight="1" x14ac:dyDescent="0.3">
      <c r="A323" s="172" t="s">
        <v>632</v>
      </c>
      <c r="B323" s="174">
        <v>233</v>
      </c>
      <c r="C323" s="174">
        <v>25</v>
      </c>
      <c r="D323" s="174">
        <v>14</v>
      </c>
    </row>
    <row r="324" spans="1:4" ht="15" customHeight="1" x14ac:dyDescent="0.3">
      <c r="A324" s="172" t="s">
        <v>634</v>
      </c>
      <c r="B324" s="174">
        <v>233</v>
      </c>
      <c r="C324" s="174">
        <v>25</v>
      </c>
      <c r="D324" s="174">
        <v>14</v>
      </c>
    </row>
    <row r="325" spans="1:4" ht="15" customHeight="1" x14ac:dyDescent="0.3">
      <c r="A325" s="172" t="s">
        <v>636</v>
      </c>
      <c r="B325" s="174">
        <v>110</v>
      </c>
      <c r="C325" s="174">
        <v>13.7</v>
      </c>
      <c r="D325" s="174">
        <v>5.7</v>
      </c>
    </row>
    <row r="326" spans="1:4" ht="15" customHeight="1" x14ac:dyDescent="0.3">
      <c r="A326" s="172" t="s">
        <v>638</v>
      </c>
      <c r="B326" s="174">
        <v>315</v>
      </c>
      <c r="C326" s="174">
        <v>13.6</v>
      </c>
      <c r="D326" s="174">
        <v>2.8</v>
      </c>
    </row>
    <row r="327" spans="1:4" ht="15" customHeight="1" x14ac:dyDescent="0.3">
      <c r="A327" s="172" t="s">
        <v>640</v>
      </c>
      <c r="B327" s="174">
        <v>105</v>
      </c>
      <c r="C327" s="174">
        <v>18.399999999999999</v>
      </c>
      <c r="D327" s="174">
        <v>2.5</v>
      </c>
    </row>
    <row r="328" spans="1:4" ht="15" customHeight="1" x14ac:dyDescent="0.3">
      <c r="A328" s="172" t="s">
        <v>642</v>
      </c>
      <c r="B328" s="174">
        <v>77</v>
      </c>
      <c r="C328" s="174">
        <v>11.3</v>
      </c>
      <c r="D328" s="174">
        <v>3.1</v>
      </c>
    </row>
    <row r="329" spans="1:4" ht="15" customHeight="1" x14ac:dyDescent="0.3">
      <c r="A329" s="172" t="s">
        <v>644</v>
      </c>
      <c r="B329" s="174">
        <v>105</v>
      </c>
      <c r="C329" s="174">
        <v>18.399999999999999</v>
      </c>
      <c r="D329" s="174">
        <v>2.5</v>
      </c>
    </row>
    <row r="330" spans="1:4" ht="15" customHeight="1" x14ac:dyDescent="0.3">
      <c r="A330" s="172" t="s">
        <v>646</v>
      </c>
      <c r="B330" s="174">
        <v>263</v>
      </c>
      <c r="C330" s="174">
        <v>13.5</v>
      </c>
      <c r="D330" s="174">
        <v>22.8</v>
      </c>
    </row>
    <row r="331" spans="1:4" ht="15" customHeight="1" x14ac:dyDescent="0.3">
      <c r="A331" s="172" t="s">
        <v>648</v>
      </c>
      <c r="B331" s="174">
        <v>117</v>
      </c>
      <c r="C331" s="174">
        <v>14.6</v>
      </c>
      <c r="D331" s="174">
        <v>5.7</v>
      </c>
    </row>
    <row r="332" spans="1:4" ht="15" customHeight="1" x14ac:dyDescent="0.3">
      <c r="A332" s="172" t="s">
        <v>650</v>
      </c>
      <c r="B332" s="174">
        <v>123</v>
      </c>
      <c r="C332" s="174">
        <v>14</v>
      </c>
      <c r="D332" s="174">
        <v>7</v>
      </c>
    </row>
    <row r="333" spans="1:4" ht="15" customHeight="1" x14ac:dyDescent="0.3">
      <c r="A333" s="172" t="s">
        <v>652</v>
      </c>
      <c r="B333" s="174">
        <v>117</v>
      </c>
      <c r="C333" s="174">
        <v>14.6</v>
      </c>
      <c r="D333" s="174">
        <v>5.7</v>
      </c>
    </row>
    <row r="334" spans="1:4" ht="15" customHeight="1" x14ac:dyDescent="0.3">
      <c r="A334" s="172" t="s">
        <v>654</v>
      </c>
      <c r="B334" s="174">
        <v>326</v>
      </c>
      <c r="C334" s="174">
        <v>11</v>
      </c>
      <c r="D334" s="174">
        <v>31</v>
      </c>
    </row>
    <row r="335" spans="1:4" ht="15" customHeight="1" x14ac:dyDescent="0.3">
      <c r="A335" s="172" t="s">
        <v>656</v>
      </c>
      <c r="B335" s="174">
        <v>220</v>
      </c>
      <c r="C335" s="174">
        <v>13.4</v>
      </c>
      <c r="D335" s="174">
        <v>18</v>
      </c>
    </row>
    <row r="336" spans="1:4" ht="15" customHeight="1" x14ac:dyDescent="0.3">
      <c r="A336" s="172" t="s">
        <v>658</v>
      </c>
      <c r="B336" s="174">
        <v>362</v>
      </c>
      <c r="C336" s="174">
        <v>13.1</v>
      </c>
      <c r="D336" s="174">
        <v>34.1</v>
      </c>
    </row>
    <row r="337" spans="1:4" ht="15" customHeight="1" x14ac:dyDescent="0.3">
      <c r="A337" s="172" t="s">
        <v>660</v>
      </c>
      <c r="B337" s="174">
        <v>417</v>
      </c>
      <c r="C337" s="174">
        <v>11.7</v>
      </c>
      <c r="D337" s="174">
        <v>40.299999999999997</v>
      </c>
    </row>
    <row r="338" spans="1:4" ht="15" customHeight="1" x14ac:dyDescent="0.3">
      <c r="A338" s="172" t="s">
        <v>662</v>
      </c>
      <c r="B338" s="174">
        <v>239</v>
      </c>
      <c r="C338" s="174">
        <v>16.100000000000001</v>
      </c>
      <c r="D338" s="174">
        <v>18.8</v>
      </c>
    </row>
    <row r="339" spans="1:4" ht="15" customHeight="1" x14ac:dyDescent="0.3">
      <c r="A339" s="172" t="s">
        <v>663</v>
      </c>
      <c r="B339" s="174">
        <v>113</v>
      </c>
      <c r="C339" s="174">
        <v>18.3</v>
      </c>
      <c r="D339" s="174">
        <v>3.5</v>
      </c>
    </row>
    <row r="340" spans="1:4" ht="15" customHeight="1" x14ac:dyDescent="0.3">
      <c r="A340" s="172" t="s">
        <v>665</v>
      </c>
      <c r="B340" s="174">
        <v>122</v>
      </c>
      <c r="C340" s="174">
        <v>12.3</v>
      </c>
      <c r="D340" s="174">
        <v>7.7</v>
      </c>
    </row>
    <row r="341" spans="1:4" ht="15" customHeight="1" x14ac:dyDescent="0.3">
      <c r="A341" s="172" t="s">
        <v>667</v>
      </c>
      <c r="B341" s="174">
        <v>165</v>
      </c>
      <c r="C341" s="174">
        <v>21.8</v>
      </c>
      <c r="D341" s="174">
        <v>8</v>
      </c>
    </row>
    <row r="342" spans="1:4" ht="15" customHeight="1" x14ac:dyDescent="0.3">
      <c r="A342" s="172" t="s">
        <v>669</v>
      </c>
      <c r="B342" s="174">
        <v>125</v>
      </c>
      <c r="C342" s="174">
        <v>18</v>
      </c>
      <c r="D342" s="174">
        <v>3.9</v>
      </c>
    </row>
    <row r="343" spans="1:4" ht="15" customHeight="1" x14ac:dyDescent="0.3">
      <c r="A343" s="172" t="s">
        <v>671</v>
      </c>
      <c r="B343" s="174">
        <v>462</v>
      </c>
      <c r="C343" s="174">
        <v>11.4</v>
      </c>
      <c r="D343" s="174">
        <v>43.8</v>
      </c>
    </row>
    <row r="344" spans="1:4" ht="15" customHeight="1" x14ac:dyDescent="0.3">
      <c r="A344" s="172" t="s">
        <v>673</v>
      </c>
      <c r="B344" s="174">
        <v>291</v>
      </c>
      <c r="C344" s="174">
        <v>8.3000000000000007</v>
      </c>
      <c r="D344" s="174">
        <v>28.3</v>
      </c>
    </row>
    <row r="345" spans="1:4" ht="15" customHeight="1" x14ac:dyDescent="0.3">
      <c r="A345" s="172" t="s">
        <v>675</v>
      </c>
      <c r="B345" s="174">
        <v>136</v>
      </c>
      <c r="C345" s="174">
        <v>18.7</v>
      </c>
      <c r="D345" s="174">
        <v>4.5999999999999996</v>
      </c>
    </row>
    <row r="346" spans="1:4" ht="15" customHeight="1" x14ac:dyDescent="0.3">
      <c r="A346" s="172" t="s">
        <v>677</v>
      </c>
      <c r="B346" s="174">
        <v>301</v>
      </c>
      <c r="C346" s="174">
        <v>12.9</v>
      </c>
      <c r="D346" s="174">
        <v>27.2</v>
      </c>
    </row>
    <row r="347" spans="1:4" ht="15" customHeight="1" x14ac:dyDescent="0.3">
      <c r="A347" s="172" t="s">
        <v>679</v>
      </c>
      <c r="B347" s="174">
        <v>133</v>
      </c>
      <c r="C347" s="174">
        <v>16.399999999999999</v>
      </c>
      <c r="D347" s="174">
        <v>4.3</v>
      </c>
    </row>
    <row r="348" spans="1:4" ht="15" customHeight="1" x14ac:dyDescent="0.3">
      <c r="A348" s="172" t="s">
        <v>681</v>
      </c>
      <c r="B348" s="174">
        <v>126</v>
      </c>
      <c r="C348" s="174">
        <v>16.100000000000001</v>
      </c>
      <c r="D348" s="174">
        <v>6.3</v>
      </c>
    </row>
    <row r="349" spans="1:4" ht="15" customHeight="1" x14ac:dyDescent="0.3">
      <c r="A349" s="172" t="s">
        <v>682</v>
      </c>
      <c r="B349" s="174">
        <v>137</v>
      </c>
      <c r="C349" s="174">
        <v>20</v>
      </c>
      <c r="D349" s="174">
        <v>4</v>
      </c>
    </row>
    <row r="350" spans="1:4" ht="15" customHeight="1" x14ac:dyDescent="0.3">
      <c r="A350" s="172" t="s">
        <v>684</v>
      </c>
      <c r="B350" s="174">
        <v>226</v>
      </c>
      <c r="C350" s="174">
        <v>14.2</v>
      </c>
      <c r="D350" s="174">
        <v>18.3</v>
      </c>
    </row>
    <row r="351" spans="1:4" ht="15" customHeight="1" x14ac:dyDescent="0.3">
      <c r="A351" s="172" t="s">
        <v>686</v>
      </c>
      <c r="B351" s="174">
        <v>185</v>
      </c>
      <c r="C351" s="174">
        <v>17.100000000000001</v>
      </c>
      <c r="D351" s="174">
        <v>12.4</v>
      </c>
    </row>
    <row r="352" spans="1:4" ht="15" customHeight="1" x14ac:dyDescent="0.3">
      <c r="A352" s="172" t="s">
        <v>688</v>
      </c>
      <c r="B352" s="174">
        <v>85</v>
      </c>
      <c r="C352" s="174">
        <v>15.5</v>
      </c>
      <c r="D352" s="174">
        <v>2</v>
      </c>
    </row>
    <row r="353" spans="1:4" ht="15" customHeight="1" x14ac:dyDescent="0.3">
      <c r="A353" s="172" t="s">
        <v>690</v>
      </c>
      <c r="B353" s="174">
        <v>105</v>
      </c>
      <c r="C353" s="174">
        <v>18.399999999999999</v>
      </c>
      <c r="D353" s="174">
        <v>2.5</v>
      </c>
    </row>
    <row r="354" spans="1:4" ht="15" customHeight="1" x14ac:dyDescent="0.3">
      <c r="A354" s="172" t="s">
        <v>692</v>
      </c>
      <c r="B354" s="174">
        <v>94</v>
      </c>
      <c r="C354" s="174">
        <v>15</v>
      </c>
      <c r="D354" s="174">
        <v>3</v>
      </c>
    </row>
    <row r="355" spans="1:4" ht="15" customHeight="1" x14ac:dyDescent="0.3">
      <c r="A355" s="172" t="s">
        <v>694</v>
      </c>
      <c r="B355" s="174">
        <v>94</v>
      </c>
      <c r="C355" s="174">
        <v>15</v>
      </c>
      <c r="D355" s="174">
        <v>3</v>
      </c>
    </row>
    <row r="356" spans="1:4" ht="15" customHeight="1" x14ac:dyDescent="0.3">
      <c r="A356" s="172" t="s">
        <v>696</v>
      </c>
      <c r="B356" s="174">
        <v>174</v>
      </c>
      <c r="C356" s="174">
        <v>12.7</v>
      </c>
      <c r="D356" s="174">
        <v>13.2</v>
      </c>
    </row>
    <row r="357" spans="1:4" ht="15" customHeight="1" x14ac:dyDescent="0.3">
      <c r="A357" s="172" t="s">
        <v>698</v>
      </c>
      <c r="B357" s="174">
        <v>105</v>
      </c>
      <c r="C357" s="174">
        <v>18.399999999999999</v>
      </c>
      <c r="D357" s="174">
        <v>2.5</v>
      </c>
    </row>
    <row r="358" spans="1:4" ht="15" customHeight="1" x14ac:dyDescent="0.3">
      <c r="A358" s="172" t="s">
        <v>700</v>
      </c>
      <c r="B358" s="174">
        <v>118</v>
      </c>
      <c r="C358" s="174">
        <v>17</v>
      </c>
      <c r="D358" s="174">
        <v>5</v>
      </c>
    </row>
    <row r="359" spans="1:4" ht="15" customHeight="1" x14ac:dyDescent="0.3">
      <c r="A359" s="172" t="s">
        <v>701</v>
      </c>
      <c r="B359" s="174">
        <v>81</v>
      </c>
      <c r="C359" s="174">
        <v>16.2</v>
      </c>
      <c r="D359" s="174">
        <v>1.4</v>
      </c>
    </row>
    <row r="360" spans="1:4" ht="15" customHeight="1" x14ac:dyDescent="0.3">
      <c r="A360" s="172" t="s">
        <v>703</v>
      </c>
      <c r="B360" s="174">
        <v>143</v>
      </c>
      <c r="C360" s="174">
        <v>14.6</v>
      </c>
      <c r="D360" s="174">
        <v>9</v>
      </c>
    </row>
    <row r="361" spans="1:4" ht="15" customHeight="1" x14ac:dyDescent="0.3">
      <c r="A361" s="172" t="s">
        <v>705</v>
      </c>
      <c r="B361" s="174">
        <v>105</v>
      </c>
      <c r="C361" s="174">
        <v>18.399999999999999</v>
      </c>
      <c r="D361" s="174">
        <v>2.5</v>
      </c>
    </row>
    <row r="362" spans="1:4" ht="15" customHeight="1" x14ac:dyDescent="0.3">
      <c r="A362" s="172" t="s">
        <v>707</v>
      </c>
      <c r="B362" s="174">
        <v>104</v>
      </c>
      <c r="C362" s="174">
        <v>18</v>
      </c>
      <c r="D362" s="174">
        <v>3</v>
      </c>
    </row>
    <row r="363" spans="1:4" ht="15" customHeight="1" x14ac:dyDescent="0.3">
      <c r="A363" s="172" t="s">
        <v>709</v>
      </c>
      <c r="B363" s="174">
        <v>126</v>
      </c>
      <c r="C363" s="174">
        <v>16.399999999999999</v>
      </c>
      <c r="D363" s="174">
        <v>6</v>
      </c>
    </row>
    <row r="364" spans="1:4" ht="15" customHeight="1" x14ac:dyDescent="0.3">
      <c r="A364" s="172" t="s">
        <v>711</v>
      </c>
      <c r="B364" s="174">
        <v>250</v>
      </c>
      <c r="C364" s="174">
        <v>55.4</v>
      </c>
      <c r="D364" s="174">
        <v>1.5</v>
      </c>
    </row>
    <row r="365" spans="1:4" ht="15" customHeight="1" x14ac:dyDescent="0.3">
      <c r="A365" s="172" t="s">
        <v>713</v>
      </c>
      <c r="B365" s="174">
        <v>242</v>
      </c>
      <c r="C365" s="174">
        <v>20.6</v>
      </c>
      <c r="D365" s="174">
        <v>16.899999999999999</v>
      </c>
    </row>
    <row r="366" spans="1:4" ht="15" customHeight="1" x14ac:dyDescent="0.3">
      <c r="A366" s="172" t="s">
        <v>715</v>
      </c>
      <c r="B366" s="174">
        <v>105</v>
      </c>
      <c r="C366" s="174">
        <v>18.399999999999999</v>
      </c>
      <c r="D366" s="174">
        <v>2.5</v>
      </c>
    </row>
    <row r="367" spans="1:4" ht="15" customHeight="1" x14ac:dyDescent="0.3">
      <c r="A367" s="172" t="s">
        <v>717</v>
      </c>
      <c r="B367" s="174">
        <v>42</v>
      </c>
      <c r="C367" s="174">
        <v>6.3</v>
      </c>
      <c r="D367" s="174">
        <v>0.5</v>
      </c>
    </row>
    <row r="368" spans="1:4" ht="15" customHeight="1" x14ac:dyDescent="0.3">
      <c r="A368" s="170" t="s">
        <v>720</v>
      </c>
      <c r="B368" s="174"/>
      <c r="C368" s="174"/>
      <c r="D368" s="174"/>
    </row>
    <row r="369" spans="1:4" ht="15" customHeight="1" x14ac:dyDescent="0.3">
      <c r="A369" s="172" t="s">
        <v>722</v>
      </c>
      <c r="B369" s="174">
        <v>139</v>
      </c>
      <c r="C369" s="174">
        <v>10.7</v>
      </c>
      <c r="D369" s="174">
        <v>9.8000000000000007</v>
      </c>
    </row>
    <row r="370" spans="1:4" ht="15" customHeight="1" x14ac:dyDescent="0.3">
      <c r="A370" s="172" t="s">
        <v>724</v>
      </c>
      <c r="B370" s="174">
        <v>158</v>
      </c>
      <c r="C370" s="174">
        <v>12.1</v>
      </c>
      <c r="D370" s="174">
        <v>11.2</v>
      </c>
    </row>
    <row r="371" spans="1:4" ht="15" customHeight="1" x14ac:dyDescent="0.3">
      <c r="A371" s="172" t="s">
        <v>726</v>
      </c>
      <c r="B371" s="174">
        <v>594</v>
      </c>
      <c r="C371" s="174">
        <v>45.8</v>
      </c>
      <c r="D371" s="174">
        <v>41.8</v>
      </c>
    </row>
    <row r="372" spans="1:4" ht="15" customHeight="1" x14ac:dyDescent="0.3">
      <c r="A372" s="172" t="s">
        <v>728</v>
      </c>
      <c r="B372" s="174">
        <v>49</v>
      </c>
      <c r="C372" s="174">
        <v>10.1</v>
      </c>
      <c r="D372" s="174">
        <v>0</v>
      </c>
    </row>
    <row r="373" spans="1:4" ht="15" customHeight="1" x14ac:dyDescent="0.3">
      <c r="A373" s="172" t="s">
        <v>729</v>
      </c>
      <c r="B373" s="174">
        <v>163</v>
      </c>
      <c r="C373" s="174">
        <v>11.3</v>
      </c>
      <c r="D373" s="174">
        <v>12.1</v>
      </c>
    </row>
    <row r="374" spans="1:4" ht="15" customHeight="1" x14ac:dyDescent="0.3">
      <c r="A374" s="170" t="s">
        <v>732</v>
      </c>
      <c r="B374" s="174"/>
      <c r="C374" s="174"/>
      <c r="D374" s="174"/>
    </row>
    <row r="375" spans="1:4" ht="15" customHeight="1" x14ac:dyDescent="0.3">
      <c r="A375" s="172" t="s">
        <v>734</v>
      </c>
      <c r="B375" s="174">
        <v>69</v>
      </c>
      <c r="C375" s="174">
        <v>10.9</v>
      </c>
      <c r="D375" s="174">
        <v>2.5</v>
      </c>
    </row>
    <row r="376" spans="1:4" ht="15" customHeight="1" x14ac:dyDescent="0.3">
      <c r="A376" s="172" t="s">
        <v>736</v>
      </c>
      <c r="B376" s="174">
        <v>127</v>
      </c>
      <c r="C376" s="174">
        <v>20.3</v>
      </c>
      <c r="D376" s="174">
        <v>4.5</v>
      </c>
    </row>
    <row r="377" spans="1:4" ht="15" customHeight="1" x14ac:dyDescent="0.3">
      <c r="A377" s="172" t="s">
        <v>738</v>
      </c>
      <c r="B377" s="174">
        <v>199</v>
      </c>
      <c r="C377" s="174">
        <v>31.3</v>
      </c>
      <c r="D377" s="174">
        <v>7.2</v>
      </c>
    </row>
    <row r="378" spans="1:4" ht="15" customHeight="1" x14ac:dyDescent="0.3">
      <c r="A378" s="172" t="s">
        <v>740</v>
      </c>
      <c r="B378" s="174">
        <v>161</v>
      </c>
      <c r="C378" s="174">
        <v>19.8</v>
      </c>
      <c r="D378" s="174">
        <v>8.4</v>
      </c>
    </row>
    <row r="379" spans="1:4" ht="15" customHeight="1" x14ac:dyDescent="0.3">
      <c r="A379" s="172" t="s">
        <v>742</v>
      </c>
      <c r="B379" s="174">
        <v>262</v>
      </c>
      <c r="C379" s="174">
        <v>26.9</v>
      </c>
      <c r="D379" s="174">
        <v>15</v>
      </c>
    </row>
    <row r="380" spans="1:4" ht="15" customHeight="1" x14ac:dyDescent="0.3">
      <c r="A380" s="172" t="s">
        <v>744</v>
      </c>
      <c r="B380" s="174">
        <v>42</v>
      </c>
      <c r="C380" s="174">
        <v>8.3000000000000007</v>
      </c>
      <c r="D380" s="174">
        <v>0.8</v>
      </c>
    </row>
    <row r="381" spans="1:4" ht="15" customHeight="1" x14ac:dyDescent="0.3">
      <c r="A381" s="172" t="s">
        <v>746</v>
      </c>
      <c r="B381" s="174">
        <v>90</v>
      </c>
      <c r="C381" s="174">
        <v>17.899999999999999</v>
      </c>
      <c r="D381" s="174">
        <v>1.6</v>
      </c>
    </row>
    <row r="382" spans="1:4" ht="15" customHeight="1" x14ac:dyDescent="0.3">
      <c r="A382" s="172" t="s">
        <v>748</v>
      </c>
      <c r="B382" s="174">
        <v>186</v>
      </c>
      <c r="C382" s="174">
        <v>37.9</v>
      </c>
      <c r="D382" s="174">
        <v>1.9</v>
      </c>
    </row>
    <row r="383" spans="1:4" ht="15" customHeight="1" x14ac:dyDescent="0.3">
      <c r="A383" s="172" t="s">
        <v>750</v>
      </c>
      <c r="B383" s="174">
        <v>173</v>
      </c>
      <c r="C383" s="174">
        <v>25</v>
      </c>
      <c r="D383" s="174">
        <v>6.3</v>
      </c>
    </row>
    <row r="384" spans="1:4" ht="15" customHeight="1" x14ac:dyDescent="0.3">
      <c r="A384" s="172" t="s">
        <v>752</v>
      </c>
      <c r="B384" s="174">
        <v>320</v>
      </c>
      <c r="C384" s="174">
        <v>25</v>
      </c>
      <c r="D384" s="174">
        <v>23.5</v>
      </c>
    </row>
    <row r="385" spans="1:4" ht="15" customHeight="1" x14ac:dyDescent="0.3">
      <c r="A385" s="172" t="s">
        <v>754</v>
      </c>
      <c r="B385" s="174">
        <v>86</v>
      </c>
      <c r="C385" s="174">
        <v>12.6</v>
      </c>
      <c r="D385" s="174">
        <v>3.6</v>
      </c>
    </row>
    <row r="386" spans="1:4" ht="15" customHeight="1" x14ac:dyDescent="0.3">
      <c r="A386" s="172" t="s">
        <v>756</v>
      </c>
      <c r="B386" s="174">
        <v>141</v>
      </c>
      <c r="C386" s="174">
        <v>20.2</v>
      </c>
      <c r="D386" s="174">
        <v>6</v>
      </c>
    </row>
    <row r="387" spans="1:4" ht="15" customHeight="1" x14ac:dyDescent="0.3">
      <c r="A387" s="172" t="s">
        <v>758</v>
      </c>
      <c r="B387" s="174">
        <v>156</v>
      </c>
      <c r="C387" s="174">
        <v>26.4</v>
      </c>
      <c r="D387" s="174">
        <v>4.5</v>
      </c>
    </row>
    <row r="388" spans="1:4" ht="15" customHeight="1" x14ac:dyDescent="0.3">
      <c r="A388" s="172" t="s">
        <v>760</v>
      </c>
      <c r="B388" s="174">
        <v>185</v>
      </c>
      <c r="C388" s="174">
        <v>20.8</v>
      </c>
      <c r="D388" s="174">
        <v>10.199999999999999</v>
      </c>
    </row>
    <row r="389" spans="1:4" ht="15" customHeight="1" x14ac:dyDescent="0.3">
      <c r="A389" s="172" t="s">
        <v>762</v>
      </c>
      <c r="B389" s="174">
        <v>318</v>
      </c>
      <c r="C389" s="174">
        <v>44.2</v>
      </c>
      <c r="D389" s="174">
        <v>13.6</v>
      </c>
    </row>
    <row r="390" spans="1:4" ht="15" customHeight="1" x14ac:dyDescent="0.3">
      <c r="A390" s="172" t="s">
        <v>764</v>
      </c>
      <c r="B390" s="174">
        <v>64</v>
      </c>
      <c r="C390" s="174">
        <v>10.3</v>
      </c>
      <c r="D390" s="174">
        <v>2.2000000000000002</v>
      </c>
    </row>
    <row r="391" spans="1:4" ht="15" customHeight="1" x14ac:dyDescent="0.3">
      <c r="A391" s="172" t="s">
        <v>766</v>
      </c>
      <c r="B391" s="174">
        <v>115</v>
      </c>
      <c r="C391" s="174">
        <v>19</v>
      </c>
      <c r="D391" s="174">
        <v>3.8</v>
      </c>
    </row>
    <row r="392" spans="1:4" ht="15" customHeight="1" x14ac:dyDescent="0.3">
      <c r="A392" s="172" t="s">
        <v>768</v>
      </c>
      <c r="B392" s="174">
        <v>169</v>
      </c>
      <c r="C392" s="174">
        <v>32.1</v>
      </c>
      <c r="D392" s="174">
        <v>3.2</v>
      </c>
    </row>
    <row r="393" spans="1:4" ht="15" customHeight="1" x14ac:dyDescent="0.3">
      <c r="A393" s="172" t="s">
        <v>770</v>
      </c>
      <c r="B393" s="174">
        <v>179</v>
      </c>
      <c r="C393" s="174">
        <v>22.9</v>
      </c>
      <c r="D393" s="174">
        <v>8.1999999999999993</v>
      </c>
    </row>
    <row r="394" spans="1:4" ht="15" customHeight="1" x14ac:dyDescent="0.3">
      <c r="A394" s="172" t="s">
        <v>772</v>
      </c>
      <c r="B394" s="174">
        <v>132</v>
      </c>
      <c r="C394" s="174">
        <v>17.5</v>
      </c>
      <c r="D394" s="174">
        <v>5</v>
      </c>
    </row>
    <row r="395" spans="1:4" ht="15" customHeight="1" x14ac:dyDescent="0.3">
      <c r="A395" s="172" t="s">
        <v>774</v>
      </c>
      <c r="B395" s="174">
        <v>47</v>
      </c>
      <c r="C395" s="174">
        <v>9.3000000000000007</v>
      </c>
      <c r="D395" s="174">
        <v>0.5</v>
      </c>
    </row>
    <row r="396" spans="1:4" ht="15" customHeight="1" x14ac:dyDescent="0.3">
      <c r="A396" s="172" t="s">
        <v>776</v>
      </c>
      <c r="B396" s="174">
        <v>91</v>
      </c>
      <c r="C396" s="174">
        <v>18.399999999999999</v>
      </c>
      <c r="D396" s="174">
        <v>0.8</v>
      </c>
    </row>
    <row r="397" spans="1:4" ht="15" customHeight="1" x14ac:dyDescent="0.3">
      <c r="A397" s="172" t="s">
        <v>778</v>
      </c>
      <c r="B397" s="174">
        <v>149</v>
      </c>
      <c r="C397" s="174">
        <v>25.4</v>
      </c>
      <c r="D397" s="174">
        <v>1.3</v>
      </c>
    </row>
    <row r="398" spans="1:4" ht="15" customHeight="1" x14ac:dyDescent="0.3">
      <c r="A398" s="172" t="s">
        <v>780</v>
      </c>
      <c r="B398" s="174">
        <v>98</v>
      </c>
      <c r="C398" s="174">
        <v>19.8</v>
      </c>
      <c r="D398" s="174">
        <v>1.1000000000000001</v>
      </c>
    </row>
    <row r="399" spans="1:4" ht="15" customHeight="1" x14ac:dyDescent="0.3">
      <c r="A399" s="172" t="s">
        <v>782</v>
      </c>
      <c r="B399" s="174">
        <v>113</v>
      </c>
      <c r="C399" s="174">
        <v>19.5</v>
      </c>
      <c r="D399" s="174">
        <v>1.8</v>
      </c>
    </row>
    <row r="400" spans="1:4" ht="15" customHeight="1" x14ac:dyDescent="0.3">
      <c r="A400" s="172" t="s">
        <v>784</v>
      </c>
      <c r="B400" s="174">
        <v>15</v>
      </c>
      <c r="C400" s="174">
        <v>2.2999999999999998</v>
      </c>
      <c r="D400" s="174">
        <v>0.2</v>
      </c>
    </row>
    <row r="401" spans="1:4" ht="15" customHeight="1" x14ac:dyDescent="0.3">
      <c r="A401" s="172" t="s">
        <v>786</v>
      </c>
      <c r="B401" s="174">
        <v>71</v>
      </c>
      <c r="C401" s="174">
        <v>10.5</v>
      </c>
      <c r="D401" s="174">
        <v>1.2</v>
      </c>
    </row>
    <row r="402" spans="1:4" ht="15" customHeight="1" x14ac:dyDescent="0.3">
      <c r="A402" s="172" t="s">
        <v>788</v>
      </c>
      <c r="B402" s="174">
        <v>345</v>
      </c>
      <c r="C402" s="174">
        <v>49.4</v>
      </c>
      <c r="D402" s="174">
        <v>4.7</v>
      </c>
    </row>
    <row r="404" spans="1:4" ht="15" customHeight="1" x14ac:dyDescent="0.3">
      <c r="A404" s="172" t="s">
        <v>702</v>
      </c>
      <c r="B404" s="174">
        <v>98</v>
      </c>
      <c r="C404" s="174">
        <v>14.9</v>
      </c>
      <c r="D404" s="174">
        <v>2.6</v>
      </c>
    </row>
    <row r="405" spans="1:4" ht="15" customHeight="1" x14ac:dyDescent="0.3">
      <c r="A405" s="172" t="s">
        <v>704</v>
      </c>
      <c r="B405" s="174">
        <v>66</v>
      </c>
      <c r="C405" s="174">
        <v>13.5</v>
      </c>
      <c r="D405" s="174">
        <v>0.7</v>
      </c>
    </row>
    <row r="406" spans="1:4" ht="15" customHeight="1" x14ac:dyDescent="0.3">
      <c r="A406" s="172" t="s">
        <v>706</v>
      </c>
      <c r="B406" s="174">
        <v>74</v>
      </c>
      <c r="C406" s="174">
        <v>15.1</v>
      </c>
      <c r="D406" s="174">
        <v>0.9</v>
      </c>
    </row>
    <row r="407" spans="1:4" ht="15" customHeight="1" x14ac:dyDescent="0.3">
      <c r="A407" s="172" t="s">
        <v>708</v>
      </c>
      <c r="B407" s="174">
        <v>341</v>
      </c>
      <c r="C407" s="174">
        <v>61.6</v>
      </c>
      <c r="D407" s="174">
        <v>6.2</v>
      </c>
    </row>
    <row r="408" spans="1:4" ht="15" customHeight="1" x14ac:dyDescent="0.3">
      <c r="A408" s="172" t="s">
        <v>710</v>
      </c>
      <c r="B408" s="174">
        <v>137</v>
      </c>
      <c r="C408" s="174">
        <v>20.8</v>
      </c>
      <c r="D408" s="174">
        <v>2.8</v>
      </c>
    </row>
    <row r="409" spans="1:4" ht="15" customHeight="1" x14ac:dyDescent="0.3">
      <c r="A409" s="172" t="s">
        <v>712</v>
      </c>
      <c r="B409" s="174">
        <v>130</v>
      </c>
      <c r="C409" s="174">
        <v>20.8</v>
      </c>
      <c r="D409" s="174">
        <v>1.5</v>
      </c>
    </row>
    <row r="410" spans="1:4" ht="15" customHeight="1" x14ac:dyDescent="0.3">
      <c r="A410" s="172" t="s">
        <v>714</v>
      </c>
      <c r="B410" s="174">
        <v>136</v>
      </c>
      <c r="C410" s="174">
        <v>21</v>
      </c>
      <c r="D410" s="174">
        <v>5</v>
      </c>
    </row>
    <row r="411" spans="1:4" ht="15" customHeight="1" x14ac:dyDescent="0.3">
      <c r="A411" s="172" t="s">
        <v>716</v>
      </c>
      <c r="B411" s="174">
        <v>156</v>
      </c>
      <c r="C411" s="174">
        <v>20.6</v>
      </c>
      <c r="D411" s="174">
        <v>7.5</v>
      </c>
    </row>
    <row r="412" spans="1:4" ht="15" customHeight="1" x14ac:dyDescent="0.3">
      <c r="A412" s="172" t="s">
        <v>718</v>
      </c>
      <c r="B412" s="174">
        <v>30</v>
      </c>
      <c r="C412" s="174">
        <v>4</v>
      </c>
      <c r="D412" s="174">
        <v>0.2</v>
      </c>
    </row>
    <row r="413" spans="1:4" ht="15" customHeight="1" x14ac:dyDescent="0.3">
      <c r="A413" s="172" t="s">
        <v>719</v>
      </c>
      <c r="B413" s="174">
        <v>33</v>
      </c>
      <c r="C413" s="174">
        <v>5.5</v>
      </c>
      <c r="D413" s="174">
        <v>0.1</v>
      </c>
    </row>
    <row r="414" spans="1:4" ht="15" customHeight="1" x14ac:dyDescent="0.3">
      <c r="A414" s="172" t="s">
        <v>721</v>
      </c>
      <c r="B414" s="174">
        <v>168</v>
      </c>
      <c r="C414" s="174">
        <v>11.5</v>
      </c>
      <c r="D414" s="174">
        <v>3.8</v>
      </c>
    </row>
    <row r="415" spans="1:4" ht="15" customHeight="1" x14ac:dyDescent="0.3">
      <c r="A415" s="172" t="s">
        <v>723</v>
      </c>
      <c r="B415" s="174">
        <v>54</v>
      </c>
      <c r="C415" s="174">
        <v>2.8</v>
      </c>
      <c r="D415" s="174">
        <v>0.6</v>
      </c>
    </row>
    <row r="416" spans="1:4" ht="15" customHeight="1" x14ac:dyDescent="0.3">
      <c r="A416" s="172" t="s">
        <v>725</v>
      </c>
      <c r="B416" s="174">
        <v>215</v>
      </c>
      <c r="C416" s="174">
        <v>16.399999999999999</v>
      </c>
      <c r="D416" s="174">
        <v>0.9</v>
      </c>
    </row>
    <row r="417" spans="1:4" ht="15" customHeight="1" x14ac:dyDescent="0.3">
      <c r="A417" s="172" t="s">
        <v>727</v>
      </c>
      <c r="B417" s="174">
        <v>312</v>
      </c>
      <c r="C417" s="174">
        <v>1.3</v>
      </c>
      <c r="D417" s="174">
        <v>1.2</v>
      </c>
    </row>
    <row r="418" spans="1:4" ht="15" customHeight="1" x14ac:dyDescent="0.3">
      <c r="A418" s="172"/>
      <c r="B418" s="174"/>
      <c r="C418" s="174"/>
      <c r="D418" s="174"/>
    </row>
    <row r="419" spans="1:4" ht="15" customHeight="1" x14ac:dyDescent="0.3">
      <c r="A419" s="170" t="s">
        <v>730</v>
      </c>
      <c r="B419" s="174"/>
      <c r="C419" s="174"/>
      <c r="D419" s="174"/>
    </row>
    <row r="420" spans="1:4" ht="15" customHeight="1" x14ac:dyDescent="0.3">
      <c r="A420" s="172" t="s">
        <v>731</v>
      </c>
      <c r="B420" s="174">
        <v>61</v>
      </c>
      <c r="C420" s="174">
        <v>3.3</v>
      </c>
      <c r="D420" s="174">
        <v>3.3</v>
      </c>
    </row>
    <row r="421" spans="1:4" ht="15" customHeight="1" x14ac:dyDescent="0.3">
      <c r="A421" s="172" t="s">
        <v>733</v>
      </c>
      <c r="B421" s="174">
        <v>48</v>
      </c>
      <c r="C421" s="174">
        <v>3.3</v>
      </c>
      <c r="D421" s="174">
        <v>1.5</v>
      </c>
    </row>
    <row r="422" spans="1:4" ht="15" customHeight="1" x14ac:dyDescent="0.3">
      <c r="A422" s="172" t="s">
        <v>735</v>
      </c>
      <c r="B422" s="174">
        <v>195</v>
      </c>
      <c r="C422" s="174">
        <v>2.7</v>
      </c>
      <c r="D422" s="174">
        <v>19.3</v>
      </c>
    </row>
    <row r="423" spans="1:4" ht="15" customHeight="1" x14ac:dyDescent="0.3">
      <c r="A423" s="172" t="s">
        <v>737</v>
      </c>
      <c r="B423" s="174">
        <v>134</v>
      </c>
      <c r="C423" s="174">
        <v>6.8</v>
      </c>
      <c r="D423" s="174">
        <v>7.6</v>
      </c>
    </row>
    <row r="424" spans="1:4" ht="15" customHeight="1" x14ac:dyDescent="0.3">
      <c r="A424" s="172" t="s">
        <v>739</v>
      </c>
      <c r="B424" s="174">
        <v>321</v>
      </c>
      <c r="C424" s="174">
        <v>7.9</v>
      </c>
      <c r="D424" s="174">
        <v>8.6999999999999993</v>
      </c>
    </row>
    <row r="425" spans="1:4" ht="15" customHeight="1" x14ac:dyDescent="0.3">
      <c r="A425" s="172" t="s">
        <v>741</v>
      </c>
      <c r="B425" s="174">
        <v>496</v>
      </c>
      <c r="C425" s="174">
        <v>26.3</v>
      </c>
      <c r="D425" s="174">
        <v>26.7</v>
      </c>
    </row>
    <row r="426" spans="1:4" ht="15" customHeight="1" x14ac:dyDescent="0.3">
      <c r="A426" s="172" t="s">
        <v>743</v>
      </c>
      <c r="B426" s="174">
        <v>35</v>
      </c>
      <c r="C426" s="174">
        <v>3.4</v>
      </c>
      <c r="D426" s="174">
        <v>0.2</v>
      </c>
    </row>
    <row r="427" spans="1:4" ht="15" customHeight="1" x14ac:dyDescent="0.3">
      <c r="A427" s="172" t="s">
        <v>745</v>
      </c>
      <c r="B427" s="174">
        <v>78</v>
      </c>
      <c r="C427" s="174">
        <v>7.6</v>
      </c>
      <c r="D427" s="174">
        <v>0.2</v>
      </c>
    </row>
    <row r="428" spans="1:4" ht="15" customHeight="1" x14ac:dyDescent="0.3">
      <c r="A428" s="172" t="s">
        <v>747</v>
      </c>
      <c r="B428" s="174">
        <v>271</v>
      </c>
      <c r="C428" s="174">
        <v>10</v>
      </c>
      <c r="D428" s="174">
        <v>0.2</v>
      </c>
    </row>
    <row r="429" spans="1:4" ht="15" customHeight="1" x14ac:dyDescent="0.3">
      <c r="A429" s="172" t="s">
        <v>749</v>
      </c>
      <c r="B429" s="174">
        <v>362</v>
      </c>
      <c r="C429" s="174">
        <v>36.200000000000003</v>
      </c>
      <c r="D429" s="174">
        <v>0.8</v>
      </c>
    </row>
    <row r="430" spans="1:4" ht="15" customHeight="1" x14ac:dyDescent="0.3">
      <c r="A430" s="172" t="s">
        <v>751</v>
      </c>
      <c r="B430" s="174">
        <v>75</v>
      </c>
      <c r="C430" s="174">
        <v>3</v>
      </c>
      <c r="D430" s="174">
        <v>5.2</v>
      </c>
    </row>
    <row r="431" spans="1:4" ht="15" customHeight="1" x14ac:dyDescent="0.3">
      <c r="A431" s="172" t="s">
        <v>753</v>
      </c>
      <c r="B431" s="174">
        <v>387</v>
      </c>
      <c r="C431" s="174">
        <v>34.299999999999997</v>
      </c>
      <c r="D431" s="174">
        <v>5.8</v>
      </c>
    </row>
    <row r="432" spans="1:4" ht="15" customHeight="1" x14ac:dyDescent="0.3">
      <c r="A432" s="172" t="s">
        <v>755</v>
      </c>
      <c r="B432" s="174">
        <v>61</v>
      </c>
      <c r="C432" s="174">
        <v>3.5</v>
      </c>
      <c r="D432" s="174">
        <v>3.3</v>
      </c>
    </row>
    <row r="433" spans="1:4" ht="15" customHeight="1" x14ac:dyDescent="0.3">
      <c r="A433" s="172" t="s">
        <v>757</v>
      </c>
      <c r="B433" s="174">
        <v>82</v>
      </c>
      <c r="C433" s="174">
        <v>4.7</v>
      </c>
      <c r="D433" s="174">
        <v>1.5</v>
      </c>
    </row>
    <row r="434" spans="1:4" ht="15" customHeight="1" x14ac:dyDescent="0.3">
      <c r="A434" s="172" t="s">
        <v>759</v>
      </c>
      <c r="B434" s="174">
        <v>61</v>
      </c>
      <c r="C434" s="174">
        <v>1.8</v>
      </c>
      <c r="D434" s="174">
        <v>3.4</v>
      </c>
    </row>
    <row r="435" spans="1:4" ht="15" customHeight="1" x14ac:dyDescent="0.3">
      <c r="A435" s="172" t="s">
        <v>761</v>
      </c>
      <c r="B435" s="174">
        <v>387</v>
      </c>
      <c r="C435" s="174">
        <v>25</v>
      </c>
      <c r="D435" s="174">
        <v>31</v>
      </c>
    </row>
    <row r="436" spans="1:4" ht="15" customHeight="1" x14ac:dyDescent="0.3">
      <c r="A436" s="172" t="s">
        <v>763</v>
      </c>
      <c r="B436" s="174">
        <v>247</v>
      </c>
      <c r="C436" s="174">
        <v>46</v>
      </c>
      <c r="D436" s="174">
        <v>4</v>
      </c>
    </row>
    <row r="437" spans="1:4" ht="15" customHeight="1" x14ac:dyDescent="0.3">
      <c r="A437" s="172" t="s">
        <v>765</v>
      </c>
      <c r="B437" s="174">
        <v>72</v>
      </c>
      <c r="C437" s="174">
        <v>12.4</v>
      </c>
      <c r="D437" s="174">
        <v>1</v>
      </c>
    </row>
    <row r="438" spans="1:4" ht="15" customHeight="1" x14ac:dyDescent="0.3">
      <c r="A438" s="172" t="s">
        <v>767</v>
      </c>
      <c r="B438" s="174">
        <v>103</v>
      </c>
      <c r="C438" s="174">
        <v>12.5</v>
      </c>
      <c r="D438" s="174">
        <v>4.5</v>
      </c>
    </row>
    <row r="439" spans="1:4" ht="15" customHeight="1" x14ac:dyDescent="0.3">
      <c r="A439" s="172" t="s">
        <v>769</v>
      </c>
      <c r="B439" s="174">
        <v>26</v>
      </c>
      <c r="C439" s="174">
        <v>0.8</v>
      </c>
      <c r="D439" s="174">
        <v>0.2</v>
      </c>
    </row>
    <row r="440" spans="1:4" ht="15" customHeight="1" x14ac:dyDescent="0.3">
      <c r="A440" s="172" t="s">
        <v>771</v>
      </c>
      <c r="B440" s="174">
        <v>26</v>
      </c>
      <c r="C440" s="174">
        <v>0.9</v>
      </c>
      <c r="D440" s="174">
        <v>0.3</v>
      </c>
    </row>
    <row r="441" spans="1:4" ht="15" customHeight="1" x14ac:dyDescent="0.3">
      <c r="A441" s="172" t="s">
        <v>773</v>
      </c>
      <c r="B441" s="174">
        <v>346</v>
      </c>
      <c r="C441" s="174">
        <v>12.3</v>
      </c>
      <c r="D441" s="174">
        <v>0.8</v>
      </c>
    </row>
    <row r="442" spans="1:4" ht="15" customHeight="1" x14ac:dyDescent="0.3">
      <c r="A442" s="172" t="s">
        <v>775</v>
      </c>
      <c r="B442" s="174">
        <v>427</v>
      </c>
      <c r="C442" s="174">
        <v>100</v>
      </c>
      <c r="D442" s="174">
        <v>0</v>
      </c>
    </row>
    <row r="443" spans="1:4" ht="15" customHeight="1" x14ac:dyDescent="0.3">
      <c r="A443" s="172" t="s">
        <v>777</v>
      </c>
      <c r="B443" s="174">
        <v>97</v>
      </c>
      <c r="C443" s="174">
        <v>3.8</v>
      </c>
      <c r="D443" s="174">
        <v>6.9</v>
      </c>
    </row>
    <row r="444" spans="1:4" ht="15" customHeight="1" x14ac:dyDescent="0.3">
      <c r="A444" s="172" t="s">
        <v>779</v>
      </c>
      <c r="B444" s="174">
        <v>41</v>
      </c>
      <c r="C444" s="174">
        <v>4.3</v>
      </c>
      <c r="D444" s="174">
        <v>0.1</v>
      </c>
    </row>
    <row r="445" spans="1:4" ht="15" customHeight="1" x14ac:dyDescent="0.3">
      <c r="A445" s="172" t="s">
        <v>781</v>
      </c>
      <c r="B445" s="174">
        <v>269</v>
      </c>
      <c r="C445" s="174">
        <v>16.899999999999999</v>
      </c>
      <c r="D445" s="174">
        <v>22</v>
      </c>
    </row>
    <row r="446" spans="1:4" ht="15" customHeight="1" x14ac:dyDescent="0.3">
      <c r="A446" s="172" t="s">
        <v>783</v>
      </c>
      <c r="B446" s="174">
        <v>94</v>
      </c>
      <c r="C446" s="174">
        <v>5.9</v>
      </c>
      <c r="D446" s="174">
        <v>6</v>
      </c>
    </row>
    <row r="447" spans="1:4" ht="15" customHeight="1" x14ac:dyDescent="0.3">
      <c r="A447" s="172" t="s">
        <v>785</v>
      </c>
      <c r="B447" s="174">
        <v>310</v>
      </c>
      <c r="C447" s="174">
        <v>23.2</v>
      </c>
      <c r="D447" s="174">
        <v>22.8</v>
      </c>
    </row>
    <row r="448" spans="1:4" ht="15" customHeight="1" x14ac:dyDescent="0.3">
      <c r="A448" s="172" t="s">
        <v>787</v>
      </c>
      <c r="B448" s="174">
        <v>48</v>
      </c>
      <c r="C448" s="174">
        <v>6.1</v>
      </c>
      <c r="D448" s="174">
        <v>0.4</v>
      </c>
    </row>
    <row r="449" spans="1:4" ht="15" customHeight="1" x14ac:dyDescent="0.3">
      <c r="A449" s="172" t="s">
        <v>789</v>
      </c>
      <c r="B449" s="174">
        <v>69</v>
      </c>
      <c r="C449" s="174">
        <v>3.6</v>
      </c>
      <c r="D449" s="174">
        <v>4.0999999999999996</v>
      </c>
    </row>
    <row r="450" spans="1:4" ht="15" customHeight="1" x14ac:dyDescent="0.3">
      <c r="A450" s="172" t="s">
        <v>790</v>
      </c>
      <c r="B450" s="174">
        <v>280</v>
      </c>
      <c r="C450" s="174">
        <v>16</v>
      </c>
      <c r="D450" s="174">
        <v>15</v>
      </c>
    </row>
    <row r="451" spans="1:4" ht="15" customHeight="1" x14ac:dyDescent="0.3">
      <c r="A451" s="172" t="s">
        <v>792</v>
      </c>
      <c r="B451" s="174">
        <v>35</v>
      </c>
      <c r="C451" s="174">
        <v>3.4</v>
      </c>
      <c r="D451" s="174">
        <v>0.2</v>
      </c>
    </row>
    <row r="452" spans="1:4" ht="15" customHeight="1" x14ac:dyDescent="0.3">
      <c r="A452" s="172" t="s">
        <v>794</v>
      </c>
      <c r="B452" s="174">
        <v>73</v>
      </c>
      <c r="C452" s="174">
        <v>3.8</v>
      </c>
      <c r="D452" s="174">
        <v>4.5</v>
      </c>
    </row>
    <row r="453" spans="1:4" ht="15" customHeight="1" x14ac:dyDescent="0.3">
      <c r="A453" s="172"/>
      <c r="B453" s="174"/>
      <c r="C453" s="174"/>
      <c r="D453" s="174"/>
    </row>
    <row r="454" spans="1:4" ht="15" customHeight="1" x14ac:dyDescent="0.3">
      <c r="A454" s="170" t="s">
        <v>797</v>
      </c>
      <c r="B454" s="174"/>
      <c r="C454" s="174"/>
      <c r="D454" s="174"/>
    </row>
    <row r="455" spans="1:4" ht="15" customHeight="1" x14ac:dyDescent="0.3">
      <c r="A455" s="170" t="s">
        <v>799</v>
      </c>
      <c r="B455" s="174"/>
      <c r="C455" s="174"/>
      <c r="D455" s="174"/>
    </row>
    <row r="456" spans="1:4" ht="15" customHeight="1" x14ac:dyDescent="0.3">
      <c r="A456" s="172"/>
      <c r="B456" s="174"/>
      <c r="C456" s="174"/>
      <c r="D456" s="174"/>
    </row>
    <row r="457" spans="1:4" ht="15" customHeight="1" x14ac:dyDescent="0.3">
      <c r="A457" s="172" t="s">
        <v>801</v>
      </c>
      <c r="B457" s="174">
        <v>884</v>
      </c>
      <c r="C457" s="174">
        <v>0</v>
      </c>
      <c r="D457" s="174">
        <v>100</v>
      </c>
    </row>
    <row r="458" spans="1:4" ht="15" customHeight="1" x14ac:dyDescent="0.3">
      <c r="A458" s="172" t="s">
        <v>803</v>
      </c>
      <c r="B458" s="174">
        <v>884</v>
      </c>
      <c r="C458" s="174">
        <v>0</v>
      </c>
      <c r="D458" s="174">
        <v>100</v>
      </c>
    </row>
    <row r="459" spans="1:4" ht="15" customHeight="1" x14ac:dyDescent="0.3">
      <c r="A459" s="172" t="s">
        <v>805</v>
      </c>
      <c r="B459" s="174">
        <v>884</v>
      </c>
      <c r="C459" s="174">
        <v>0</v>
      </c>
      <c r="D459" s="174">
        <v>100</v>
      </c>
    </row>
    <row r="460" spans="1:4" ht="15" customHeight="1" x14ac:dyDescent="0.3">
      <c r="A460" s="172" t="s">
        <v>807</v>
      </c>
      <c r="B460" s="174">
        <v>884</v>
      </c>
      <c r="C460" s="174">
        <v>0</v>
      </c>
      <c r="D460" s="174">
        <v>100</v>
      </c>
    </row>
    <row r="461" spans="1:4" ht="15" customHeight="1" x14ac:dyDescent="0.3">
      <c r="A461" s="172" t="s">
        <v>809</v>
      </c>
      <c r="B461" s="174">
        <v>884</v>
      </c>
      <c r="C461" s="174">
        <v>0</v>
      </c>
      <c r="D461" s="174">
        <v>100</v>
      </c>
    </row>
    <row r="462" spans="1:4" ht="15" customHeight="1" x14ac:dyDescent="0.3">
      <c r="A462" s="172" t="s">
        <v>811</v>
      </c>
      <c r="B462" s="174">
        <v>884</v>
      </c>
      <c r="C462" s="174">
        <v>0</v>
      </c>
      <c r="D462" s="174">
        <v>100</v>
      </c>
    </row>
    <row r="463" spans="1:4" ht="15" customHeight="1" x14ac:dyDescent="0.3">
      <c r="A463" s="172" t="s">
        <v>813</v>
      </c>
      <c r="B463" s="174">
        <v>884</v>
      </c>
      <c r="C463" s="174">
        <v>0</v>
      </c>
      <c r="D463" s="174">
        <v>100</v>
      </c>
    </row>
    <row r="464" spans="1:4" ht="15" customHeight="1" x14ac:dyDescent="0.3">
      <c r="A464" s="172" t="s">
        <v>815</v>
      </c>
      <c r="B464" s="174">
        <v>884</v>
      </c>
      <c r="C464" s="174">
        <v>0</v>
      </c>
      <c r="D464" s="174">
        <v>100</v>
      </c>
    </row>
    <row r="465" spans="1:4" ht="15" customHeight="1" x14ac:dyDescent="0.3">
      <c r="A465" s="172" t="s">
        <v>817</v>
      </c>
      <c r="B465" s="174">
        <v>711</v>
      </c>
      <c r="C465" s="174">
        <v>0</v>
      </c>
      <c r="D465" s="174">
        <v>85</v>
      </c>
    </row>
    <row r="466" spans="1:4" ht="15" customHeight="1" x14ac:dyDescent="0.3">
      <c r="A466" s="172" t="s">
        <v>819</v>
      </c>
      <c r="B466" s="174">
        <v>884</v>
      </c>
      <c r="C466" s="174">
        <v>0</v>
      </c>
      <c r="D466" s="174">
        <v>100</v>
      </c>
    </row>
    <row r="467" spans="1:4" ht="15" customHeight="1" x14ac:dyDescent="0.3">
      <c r="A467" s="172" t="s">
        <v>821</v>
      </c>
      <c r="B467" s="174">
        <v>884</v>
      </c>
      <c r="C467" s="174">
        <v>0</v>
      </c>
      <c r="D467" s="174">
        <v>100</v>
      </c>
    </row>
    <row r="468" spans="1:4" ht="15" customHeight="1" x14ac:dyDescent="0.3">
      <c r="A468" s="172" t="s">
        <v>823</v>
      </c>
      <c r="B468" s="174">
        <v>884</v>
      </c>
      <c r="C468" s="174">
        <v>0</v>
      </c>
      <c r="D468" s="174">
        <v>100</v>
      </c>
    </row>
    <row r="469" spans="1:4" ht="15" customHeight="1" x14ac:dyDescent="0.3">
      <c r="A469" s="172" t="s">
        <v>825</v>
      </c>
      <c r="B469" s="174">
        <v>884</v>
      </c>
      <c r="C469" s="174">
        <v>0</v>
      </c>
      <c r="D469" s="174">
        <v>100</v>
      </c>
    </row>
    <row r="470" spans="1:4" ht="15" customHeight="1" x14ac:dyDescent="0.3">
      <c r="A470" s="172" t="s">
        <v>827</v>
      </c>
      <c r="B470" s="174">
        <v>884</v>
      </c>
      <c r="C470" s="174">
        <v>0</v>
      </c>
      <c r="D470" s="174">
        <v>100</v>
      </c>
    </row>
    <row r="471" spans="1:4" ht="15" customHeight="1" x14ac:dyDescent="0.3">
      <c r="A471" s="172" t="s">
        <v>829</v>
      </c>
      <c r="B471" s="174">
        <v>884</v>
      </c>
      <c r="C471" s="174">
        <v>0</v>
      </c>
      <c r="D471" s="174">
        <v>100</v>
      </c>
    </row>
    <row r="472" spans="1:4" ht="15" customHeight="1" x14ac:dyDescent="0.3">
      <c r="A472" s="172" t="s">
        <v>831</v>
      </c>
      <c r="B472" s="174">
        <v>884</v>
      </c>
      <c r="C472" s="174">
        <v>0</v>
      </c>
      <c r="D472" s="174">
        <v>100</v>
      </c>
    </row>
    <row r="473" spans="1:4" ht="15" customHeight="1" x14ac:dyDescent="0.3">
      <c r="A473" s="172" t="s">
        <v>832</v>
      </c>
      <c r="B473" s="174">
        <v>884</v>
      </c>
      <c r="C473" s="174">
        <v>0</v>
      </c>
      <c r="D473" s="174">
        <v>100</v>
      </c>
    </row>
    <row r="474" spans="1:4" ht="15" customHeight="1" x14ac:dyDescent="0.3">
      <c r="A474" s="172" t="s">
        <v>834</v>
      </c>
      <c r="B474" s="174">
        <v>884</v>
      </c>
      <c r="C474" s="174">
        <v>0</v>
      </c>
      <c r="D474" s="174">
        <v>100</v>
      </c>
    </row>
    <row r="475" spans="1:4" ht="15" customHeight="1" x14ac:dyDescent="0.3">
      <c r="A475" s="172" t="s">
        <v>836</v>
      </c>
      <c r="B475" s="174">
        <v>884</v>
      </c>
      <c r="C475" s="174">
        <v>0</v>
      </c>
      <c r="D475" s="174">
        <v>100</v>
      </c>
    </row>
    <row r="476" spans="1:4" ht="15" customHeight="1" x14ac:dyDescent="0.3">
      <c r="A476" s="172" t="s">
        <v>838</v>
      </c>
      <c r="B476" s="174">
        <v>884</v>
      </c>
      <c r="C476" s="174">
        <v>0</v>
      </c>
      <c r="D476" s="174">
        <v>100</v>
      </c>
    </row>
    <row r="477" spans="1:4" ht="15" customHeight="1" x14ac:dyDescent="0.3">
      <c r="A477" s="172" t="s">
        <v>840</v>
      </c>
      <c r="B477" s="174">
        <v>884</v>
      </c>
      <c r="C477" s="174">
        <v>0</v>
      </c>
      <c r="D477" s="174">
        <v>100</v>
      </c>
    </row>
    <row r="478" spans="1:4" ht="15" customHeight="1" x14ac:dyDescent="0.3">
      <c r="A478" s="172" t="s">
        <v>842</v>
      </c>
      <c r="B478" s="174">
        <v>884</v>
      </c>
      <c r="C478" s="174">
        <v>0</v>
      </c>
      <c r="D478" s="174">
        <v>100</v>
      </c>
    </row>
    <row r="479" spans="1:4" ht="15" customHeight="1" x14ac:dyDescent="0.3">
      <c r="A479" s="172" t="s">
        <v>843</v>
      </c>
      <c r="B479" s="174">
        <v>884</v>
      </c>
      <c r="C479" s="174">
        <v>0</v>
      </c>
      <c r="D479" s="174">
        <v>100</v>
      </c>
    </row>
    <row r="480" spans="1:4" ht="15" customHeight="1" x14ac:dyDescent="0.3">
      <c r="A480" s="172" t="s">
        <v>844</v>
      </c>
      <c r="B480" s="174">
        <v>884</v>
      </c>
      <c r="C480" s="174">
        <v>0</v>
      </c>
      <c r="D480" s="174">
        <v>100</v>
      </c>
    </row>
    <row r="481" spans="1:4" ht="15" customHeight="1" x14ac:dyDescent="0.3">
      <c r="A481" s="172" t="s">
        <v>845</v>
      </c>
      <c r="B481" s="174">
        <v>720</v>
      </c>
      <c r="C481" s="174">
        <v>0.6</v>
      </c>
      <c r="D481" s="174">
        <v>81</v>
      </c>
    </row>
    <row r="482" spans="1:4" ht="15" customHeight="1" x14ac:dyDescent="0.3">
      <c r="A482" s="172" t="s">
        <v>846</v>
      </c>
      <c r="B482" s="174">
        <v>902</v>
      </c>
      <c r="C482" s="174">
        <v>0</v>
      </c>
      <c r="D482" s="174">
        <v>100</v>
      </c>
    </row>
    <row r="483" spans="1:4" ht="15" customHeight="1" x14ac:dyDescent="0.3">
      <c r="A483" s="172" t="s">
        <v>847</v>
      </c>
      <c r="B483" s="174">
        <v>720</v>
      </c>
      <c r="C483" s="174">
        <v>0.6</v>
      </c>
      <c r="D483" s="174">
        <v>81</v>
      </c>
    </row>
    <row r="484" spans="1:4" ht="15" customHeight="1" x14ac:dyDescent="0.3">
      <c r="A484" s="170" t="s">
        <v>848</v>
      </c>
      <c r="B484" s="174"/>
      <c r="C484" s="174"/>
      <c r="D484" s="174"/>
    </row>
    <row r="485" spans="1:4" ht="15" customHeight="1" x14ac:dyDescent="0.3">
      <c r="A485" s="172" t="s">
        <v>849</v>
      </c>
      <c r="B485" s="174">
        <v>847</v>
      </c>
      <c r="C485" s="174">
        <v>2</v>
      </c>
      <c r="D485" s="174">
        <v>93</v>
      </c>
    </row>
    <row r="486" spans="1:4" ht="15" customHeight="1" x14ac:dyDescent="0.3">
      <c r="A486" s="172" t="s">
        <v>850</v>
      </c>
      <c r="B486" s="174">
        <v>847</v>
      </c>
      <c r="C486" s="174">
        <v>2</v>
      </c>
      <c r="D486" s="174">
        <v>93</v>
      </c>
    </row>
    <row r="487" spans="1:4" ht="15" customHeight="1" x14ac:dyDescent="0.3">
      <c r="A487" s="172" t="s">
        <v>851</v>
      </c>
      <c r="B487" s="174">
        <v>717</v>
      </c>
      <c r="C487" s="174">
        <v>0.9</v>
      </c>
      <c r="D487" s="174">
        <v>81.099999999999994</v>
      </c>
    </row>
    <row r="488" spans="1:4" ht="15" customHeight="1" x14ac:dyDescent="0.3">
      <c r="A488" s="172" t="s">
        <v>790</v>
      </c>
      <c r="B488" s="174">
        <v>280</v>
      </c>
      <c r="C488" s="174">
        <v>16</v>
      </c>
      <c r="D488" s="174">
        <v>15</v>
      </c>
    </row>
    <row r="489" spans="1:4" ht="15" customHeight="1" x14ac:dyDescent="0.3">
      <c r="A489" s="172" t="s">
        <v>792</v>
      </c>
      <c r="B489" s="174">
        <v>35</v>
      </c>
      <c r="C489" s="174">
        <v>3.4</v>
      </c>
      <c r="D489" s="174">
        <v>0.2</v>
      </c>
    </row>
    <row r="490" spans="1:4" ht="15" customHeight="1" x14ac:dyDescent="0.3">
      <c r="A490" s="172" t="s">
        <v>794</v>
      </c>
      <c r="B490" s="174">
        <v>73</v>
      </c>
      <c r="C490" s="174">
        <v>3.8</v>
      </c>
      <c r="D490" s="174">
        <v>4.5</v>
      </c>
    </row>
    <row r="491" spans="1:4" ht="15" customHeight="1" x14ac:dyDescent="0.3">
      <c r="A491" s="172"/>
      <c r="B491" s="174"/>
      <c r="C491" s="174"/>
      <c r="D491" s="174"/>
    </row>
    <row r="492" spans="1:4" ht="15" customHeight="1" x14ac:dyDescent="0.3">
      <c r="A492" s="170" t="s">
        <v>797</v>
      </c>
      <c r="B492" s="174"/>
      <c r="C492" s="174"/>
      <c r="D492" s="174"/>
    </row>
    <row r="493" spans="1:4" ht="15" customHeight="1" x14ac:dyDescent="0.3">
      <c r="A493" s="170" t="s">
        <v>799</v>
      </c>
      <c r="B493" s="174"/>
      <c r="C493" s="174"/>
      <c r="D493" s="174"/>
    </row>
    <row r="494" spans="1:4" ht="15" customHeight="1" x14ac:dyDescent="0.3">
      <c r="A494" s="172"/>
      <c r="B494" s="174"/>
      <c r="C494" s="174"/>
      <c r="D494" s="174"/>
    </row>
    <row r="495" spans="1:4" ht="15" customHeight="1" x14ac:dyDescent="0.3">
      <c r="A495" s="172" t="s">
        <v>801</v>
      </c>
      <c r="B495" s="174">
        <v>884</v>
      </c>
      <c r="C495" s="174">
        <v>0</v>
      </c>
      <c r="D495" s="174">
        <v>100</v>
      </c>
    </row>
    <row r="496" spans="1:4" ht="15" customHeight="1" x14ac:dyDescent="0.3">
      <c r="A496" s="172" t="s">
        <v>803</v>
      </c>
      <c r="B496" s="174">
        <v>884</v>
      </c>
      <c r="C496" s="174">
        <v>0</v>
      </c>
      <c r="D496" s="174">
        <v>100</v>
      </c>
    </row>
    <row r="497" spans="1:4" ht="15" customHeight="1" x14ac:dyDescent="0.3">
      <c r="A497" s="172" t="s">
        <v>805</v>
      </c>
      <c r="B497" s="174">
        <v>884</v>
      </c>
      <c r="C497" s="174">
        <v>0</v>
      </c>
      <c r="D497" s="174">
        <v>100</v>
      </c>
    </row>
    <row r="498" spans="1:4" ht="15" customHeight="1" x14ac:dyDescent="0.3">
      <c r="A498" s="172" t="s">
        <v>807</v>
      </c>
      <c r="B498" s="174">
        <v>884</v>
      </c>
      <c r="C498" s="174">
        <v>0</v>
      </c>
      <c r="D498" s="174">
        <v>100</v>
      </c>
    </row>
    <row r="499" spans="1:4" ht="15" customHeight="1" x14ac:dyDescent="0.3">
      <c r="A499" s="172" t="s">
        <v>809</v>
      </c>
      <c r="B499" s="174">
        <v>884</v>
      </c>
      <c r="C499" s="174">
        <v>0</v>
      </c>
      <c r="D499" s="174">
        <v>100</v>
      </c>
    </row>
    <row r="500" spans="1:4" ht="15" customHeight="1" x14ac:dyDescent="0.3">
      <c r="A500" s="172" t="s">
        <v>811</v>
      </c>
      <c r="B500" s="174">
        <v>884</v>
      </c>
      <c r="C500" s="174">
        <v>0</v>
      </c>
      <c r="D500" s="174">
        <v>100</v>
      </c>
    </row>
    <row r="501" spans="1:4" ht="15" customHeight="1" x14ac:dyDescent="0.3">
      <c r="A501" s="172" t="s">
        <v>813</v>
      </c>
      <c r="B501" s="174">
        <v>884</v>
      </c>
      <c r="C501" s="174">
        <v>0</v>
      </c>
      <c r="D501" s="174">
        <v>100</v>
      </c>
    </row>
    <row r="502" spans="1:4" ht="15" customHeight="1" x14ac:dyDescent="0.3">
      <c r="A502" s="172" t="s">
        <v>815</v>
      </c>
      <c r="B502" s="174">
        <v>884</v>
      </c>
      <c r="C502" s="174">
        <v>0</v>
      </c>
      <c r="D502" s="174">
        <v>100</v>
      </c>
    </row>
    <row r="503" spans="1:4" ht="15" customHeight="1" x14ac:dyDescent="0.3">
      <c r="A503" s="172" t="s">
        <v>817</v>
      </c>
      <c r="B503" s="174">
        <v>711</v>
      </c>
      <c r="C503" s="174">
        <v>0</v>
      </c>
      <c r="D503" s="174">
        <v>85</v>
      </c>
    </row>
    <row r="504" spans="1:4" ht="15" customHeight="1" x14ac:dyDescent="0.3">
      <c r="A504" s="172" t="s">
        <v>819</v>
      </c>
      <c r="B504" s="174">
        <v>884</v>
      </c>
      <c r="C504" s="174">
        <v>0</v>
      </c>
      <c r="D504" s="174">
        <v>100</v>
      </c>
    </row>
    <row r="505" spans="1:4" ht="15" customHeight="1" x14ac:dyDescent="0.3">
      <c r="A505" s="172" t="s">
        <v>821</v>
      </c>
      <c r="B505" s="174">
        <v>884</v>
      </c>
      <c r="C505" s="174">
        <v>0</v>
      </c>
      <c r="D505" s="174">
        <v>100</v>
      </c>
    </row>
    <row r="506" spans="1:4" ht="15" customHeight="1" x14ac:dyDescent="0.3">
      <c r="A506" s="172" t="s">
        <v>823</v>
      </c>
      <c r="B506" s="174">
        <v>884</v>
      </c>
      <c r="C506" s="174">
        <v>0</v>
      </c>
      <c r="D506" s="174">
        <v>100</v>
      </c>
    </row>
    <row r="507" spans="1:4" ht="15" customHeight="1" x14ac:dyDescent="0.3">
      <c r="A507" s="172" t="s">
        <v>825</v>
      </c>
      <c r="B507" s="174">
        <v>884</v>
      </c>
      <c r="C507" s="174">
        <v>0</v>
      </c>
      <c r="D507" s="174">
        <v>100</v>
      </c>
    </row>
    <row r="508" spans="1:4" ht="15" customHeight="1" x14ac:dyDescent="0.3">
      <c r="A508" s="172" t="s">
        <v>827</v>
      </c>
      <c r="B508" s="174">
        <v>884</v>
      </c>
      <c r="C508" s="174">
        <v>0</v>
      </c>
      <c r="D508" s="174">
        <v>100</v>
      </c>
    </row>
    <row r="509" spans="1:4" ht="15" customHeight="1" x14ac:dyDescent="0.3">
      <c r="A509" s="172" t="s">
        <v>829</v>
      </c>
      <c r="B509" s="174">
        <v>884</v>
      </c>
      <c r="C509" s="174">
        <v>0</v>
      </c>
      <c r="D509" s="174">
        <v>100</v>
      </c>
    </row>
    <row r="510" spans="1:4" ht="15" customHeight="1" x14ac:dyDescent="0.3">
      <c r="A510" s="172" t="s">
        <v>831</v>
      </c>
      <c r="B510" s="174">
        <v>884</v>
      </c>
      <c r="C510" s="174">
        <v>0</v>
      </c>
      <c r="D510" s="174">
        <v>100</v>
      </c>
    </row>
    <row r="511" spans="1:4" ht="15" customHeight="1" x14ac:dyDescent="0.3">
      <c r="A511" s="172" t="s">
        <v>832</v>
      </c>
      <c r="B511" s="174">
        <v>884</v>
      </c>
      <c r="C511" s="174">
        <v>0</v>
      </c>
      <c r="D511" s="174">
        <v>100</v>
      </c>
    </row>
    <row r="512" spans="1:4" ht="15" customHeight="1" x14ac:dyDescent="0.3">
      <c r="A512" s="172" t="s">
        <v>834</v>
      </c>
      <c r="B512" s="174">
        <v>884</v>
      </c>
      <c r="C512" s="174">
        <v>0</v>
      </c>
      <c r="D512" s="174">
        <v>100</v>
      </c>
    </row>
    <row r="513" spans="1:4" ht="15" customHeight="1" x14ac:dyDescent="0.3">
      <c r="A513" s="172" t="s">
        <v>836</v>
      </c>
      <c r="B513" s="174">
        <v>884</v>
      </c>
      <c r="C513" s="174">
        <v>0</v>
      </c>
      <c r="D513" s="174">
        <v>100</v>
      </c>
    </row>
    <row r="514" spans="1:4" ht="15" customHeight="1" x14ac:dyDescent="0.3">
      <c r="A514" s="172" t="s">
        <v>838</v>
      </c>
      <c r="B514" s="174">
        <v>884</v>
      </c>
      <c r="C514" s="174">
        <v>0</v>
      </c>
      <c r="D514" s="174">
        <v>100</v>
      </c>
    </row>
    <row r="515" spans="1:4" ht="15" customHeight="1" x14ac:dyDescent="0.3">
      <c r="A515" s="172" t="s">
        <v>840</v>
      </c>
      <c r="B515" s="174">
        <v>884</v>
      </c>
      <c r="C515" s="174">
        <v>0</v>
      </c>
      <c r="D515" s="174">
        <v>100</v>
      </c>
    </row>
    <row r="516" spans="1:4" ht="15" customHeight="1" x14ac:dyDescent="0.3">
      <c r="A516" s="172" t="s">
        <v>842</v>
      </c>
      <c r="B516" s="174">
        <v>884</v>
      </c>
      <c r="C516" s="174">
        <v>0</v>
      </c>
      <c r="D516" s="174">
        <v>100</v>
      </c>
    </row>
    <row r="517" spans="1:4" ht="15" customHeight="1" x14ac:dyDescent="0.3">
      <c r="A517" s="172" t="s">
        <v>843</v>
      </c>
      <c r="B517" s="174">
        <v>884</v>
      </c>
      <c r="C517" s="174">
        <v>0</v>
      </c>
      <c r="D517" s="174">
        <v>100</v>
      </c>
    </row>
    <row r="518" spans="1:4" ht="15" customHeight="1" x14ac:dyDescent="0.3">
      <c r="A518" s="172" t="s">
        <v>844</v>
      </c>
      <c r="B518" s="174">
        <v>884</v>
      </c>
      <c r="C518" s="174">
        <v>0</v>
      </c>
      <c r="D518" s="174">
        <v>100</v>
      </c>
    </row>
    <row r="519" spans="1:4" ht="15" customHeight="1" x14ac:dyDescent="0.3">
      <c r="A519" s="172" t="s">
        <v>845</v>
      </c>
      <c r="B519" s="174">
        <v>720</v>
      </c>
      <c r="C519" s="174">
        <v>0.6</v>
      </c>
      <c r="D519" s="174">
        <v>81</v>
      </c>
    </row>
    <row r="520" spans="1:4" ht="15" customHeight="1" x14ac:dyDescent="0.3">
      <c r="A520" s="172" t="s">
        <v>846</v>
      </c>
      <c r="B520" s="174">
        <v>902</v>
      </c>
      <c r="C520" s="174">
        <v>0</v>
      </c>
      <c r="D520" s="174">
        <v>100</v>
      </c>
    </row>
    <row r="521" spans="1:4" ht="15" customHeight="1" x14ac:dyDescent="0.3">
      <c r="A521" s="172" t="s">
        <v>847</v>
      </c>
      <c r="B521" s="174">
        <v>720</v>
      </c>
      <c r="C521" s="174">
        <v>0.6</v>
      </c>
      <c r="D521" s="174">
        <v>81</v>
      </c>
    </row>
    <row r="522" spans="1:4" ht="15" customHeight="1" x14ac:dyDescent="0.3">
      <c r="A522" s="170" t="s">
        <v>848</v>
      </c>
      <c r="B522" s="174"/>
      <c r="C522" s="174"/>
      <c r="D522" s="174"/>
    </row>
    <row r="523" spans="1:4" ht="15" customHeight="1" x14ac:dyDescent="0.3">
      <c r="A523" s="172" t="s">
        <v>849</v>
      </c>
      <c r="B523" s="174">
        <v>847</v>
      </c>
      <c r="C523" s="174">
        <v>2</v>
      </c>
      <c r="D523" s="174">
        <v>93</v>
      </c>
    </row>
    <row r="524" spans="1:4" ht="15" customHeight="1" x14ac:dyDescent="0.3">
      <c r="A524" s="172" t="s">
        <v>850</v>
      </c>
      <c r="B524" s="174">
        <v>847</v>
      </c>
      <c r="C524" s="174">
        <v>2</v>
      </c>
      <c r="D524" s="174">
        <v>93</v>
      </c>
    </row>
    <row r="525" spans="1:4" ht="15" customHeight="1" x14ac:dyDescent="0.3">
      <c r="A525" s="172" t="s">
        <v>851</v>
      </c>
      <c r="B525" s="174">
        <v>717</v>
      </c>
      <c r="C525" s="174">
        <v>0.9</v>
      </c>
      <c r="D525" s="174">
        <v>81.099999999999994</v>
      </c>
    </row>
    <row r="526" spans="1:4" ht="15" customHeight="1" x14ac:dyDescent="0.3">
      <c r="A526" s="172" t="s">
        <v>852</v>
      </c>
      <c r="B526" s="174">
        <v>873</v>
      </c>
      <c r="C526" s="174">
        <v>0.3</v>
      </c>
      <c r="D526" s="174">
        <v>99.1</v>
      </c>
    </row>
    <row r="527" spans="1:4" ht="15" customHeight="1" x14ac:dyDescent="0.3">
      <c r="A527" s="172" t="s">
        <v>853</v>
      </c>
      <c r="B527" s="174">
        <v>847</v>
      </c>
      <c r="C527" s="174">
        <v>2</v>
      </c>
      <c r="D527" s="174">
        <v>93</v>
      </c>
    </row>
    <row r="528" spans="1:4" ht="15" customHeight="1" x14ac:dyDescent="0.3">
      <c r="A528" s="172" t="s">
        <v>854</v>
      </c>
      <c r="B528" s="174">
        <v>717</v>
      </c>
      <c r="C528" s="174">
        <v>0.9</v>
      </c>
      <c r="D528" s="174">
        <v>81.099999999999994</v>
      </c>
    </row>
    <row r="529" spans="1:4" ht="15" customHeight="1" x14ac:dyDescent="0.3">
      <c r="A529" s="172" t="s">
        <v>855</v>
      </c>
      <c r="B529" s="174">
        <v>873</v>
      </c>
      <c r="C529" s="174">
        <v>0.3</v>
      </c>
      <c r="D529" s="174">
        <v>99.1</v>
      </c>
    </row>
    <row r="530" spans="1:4" ht="15" customHeight="1" x14ac:dyDescent="0.3">
      <c r="A530" s="172" t="s">
        <v>856</v>
      </c>
      <c r="B530" s="174">
        <v>902</v>
      </c>
      <c r="C530" s="174">
        <v>0</v>
      </c>
      <c r="D530" s="174">
        <v>100</v>
      </c>
    </row>
    <row r="531" spans="1:4" ht="15" customHeight="1" x14ac:dyDescent="0.3">
      <c r="A531" s="172" t="s">
        <v>857</v>
      </c>
      <c r="B531" s="174">
        <v>716</v>
      </c>
      <c r="C531" s="174">
        <v>0.6</v>
      </c>
      <c r="D531" s="174">
        <v>81</v>
      </c>
    </row>
    <row r="532" spans="1:4" ht="15" customHeight="1" x14ac:dyDescent="0.3">
      <c r="A532" s="172" t="s">
        <v>791</v>
      </c>
      <c r="B532" s="174">
        <v>847</v>
      </c>
      <c r="C532" s="174">
        <v>2</v>
      </c>
      <c r="D532" s="174">
        <v>93</v>
      </c>
    </row>
    <row r="533" spans="1:4" ht="15" customHeight="1" x14ac:dyDescent="0.3">
      <c r="A533" s="172" t="s">
        <v>793</v>
      </c>
      <c r="B533" s="174">
        <v>717</v>
      </c>
      <c r="C533" s="174">
        <v>0.9</v>
      </c>
      <c r="D533" s="174">
        <v>81.099999999999994</v>
      </c>
    </row>
    <row r="534" spans="1:4" ht="15" customHeight="1" x14ac:dyDescent="0.3">
      <c r="A534" s="172" t="s">
        <v>795</v>
      </c>
      <c r="B534" s="174">
        <v>712</v>
      </c>
      <c r="C534" s="174">
        <v>4.7</v>
      </c>
      <c r="D534" s="174">
        <v>76.7</v>
      </c>
    </row>
    <row r="535" spans="1:4" ht="15" customHeight="1" x14ac:dyDescent="0.3">
      <c r="A535" s="172" t="s">
        <v>796</v>
      </c>
      <c r="B535" s="174">
        <v>712</v>
      </c>
      <c r="C535" s="174">
        <v>4.7</v>
      </c>
      <c r="D535" s="174">
        <v>76.7</v>
      </c>
    </row>
    <row r="536" spans="1:4" ht="15" customHeight="1" x14ac:dyDescent="0.3">
      <c r="A536" s="172" t="s">
        <v>798</v>
      </c>
      <c r="B536" s="174">
        <v>902</v>
      </c>
      <c r="C536" s="174">
        <v>0</v>
      </c>
      <c r="D536" s="174">
        <v>100</v>
      </c>
    </row>
    <row r="537" spans="1:4" ht="15" customHeight="1" x14ac:dyDescent="0.3">
      <c r="A537" s="172" t="s">
        <v>800</v>
      </c>
      <c r="B537" s="174">
        <v>629</v>
      </c>
      <c r="C537" s="174">
        <v>3.7</v>
      </c>
      <c r="D537" s="174">
        <v>68</v>
      </c>
    </row>
    <row r="538" spans="1:4" ht="15" customHeight="1" x14ac:dyDescent="0.3">
      <c r="A538" s="172"/>
      <c r="B538" s="174"/>
      <c r="C538" s="174"/>
      <c r="D538" s="174"/>
    </row>
    <row r="539" spans="1:4" ht="15" customHeight="1" x14ac:dyDescent="0.3">
      <c r="A539" s="172" t="s">
        <v>802</v>
      </c>
      <c r="B539" s="174">
        <v>901</v>
      </c>
      <c r="C539" s="174">
        <v>0</v>
      </c>
      <c r="D539" s="174">
        <v>99.8</v>
      </c>
    </row>
    <row r="540" spans="1:4" ht="15" customHeight="1" x14ac:dyDescent="0.3">
      <c r="A540" s="172" t="s">
        <v>804</v>
      </c>
      <c r="B540" s="174">
        <v>847</v>
      </c>
      <c r="C540" s="174">
        <v>2</v>
      </c>
      <c r="D540" s="174">
        <v>93</v>
      </c>
    </row>
    <row r="541" spans="1:4" ht="15" customHeight="1" x14ac:dyDescent="0.3">
      <c r="A541" s="172" t="s">
        <v>806</v>
      </c>
      <c r="B541" s="174">
        <v>847</v>
      </c>
      <c r="C541" s="174">
        <v>2</v>
      </c>
      <c r="D541" s="174">
        <v>93</v>
      </c>
    </row>
    <row r="542" spans="1:4" ht="15" customHeight="1" x14ac:dyDescent="0.3">
      <c r="A542" s="172" t="s">
        <v>808</v>
      </c>
      <c r="B542" s="174">
        <v>902</v>
      </c>
      <c r="C542" s="174">
        <v>0</v>
      </c>
      <c r="D542" s="174">
        <v>100</v>
      </c>
    </row>
    <row r="543" spans="1:4" ht="15" customHeight="1" x14ac:dyDescent="0.3">
      <c r="A543" s="172" t="s">
        <v>810</v>
      </c>
      <c r="B543" s="174">
        <v>884</v>
      </c>
      <c r="C543" s="174">
        <v>0</v>
      </c>
      <c r="D543" s="174">
        <v>100</v>
      </c>
    </row>
    <row r="544" spans="1:4" ht="15" customHeight="1" x14ac:dyDescent="0.3">
      <c r="A544" s="172" t="s">
        <v>812</v>
      </c>
      <c r="B544" s="174">
        <v>720</v>
      </c>
      <c r="C544" s="174">
        <v>0.6</v>
      </c>
      <c r="D544" s="174">
        <v>81</v>
      </c>
    </row>
    <row r="545" spans="1:4" ht="15" customHeight="1" x14ac:dyDescent="0.3">
      <c r="A545" s="172" t="s">
        <v>814</v>
      </c>
      <c r="B545" s="174">
        <v>902</v>
      </c>
      <c r="C545" s="174">
        <v>0</v>
      </c>
      <c r="D545" s="174">
        <v>100</v>
      </c>
    </row>
    <row r="546" spans="1:4" ht="15" customHeight="1" x14ac:dyDescent="0.3">
      <c r="A546" s="172" t="s">
        <v>816</v>
      </c>
      <c r="B546" s="174">
        <v>902</v>
      </c>
      <c r="C546" s="174">
        <v>0</v>
      </c>
      <c r="D546" s="174">
        <v>100</v>
      </c>
    </row>
    <row r="547" spans="1:4" ht="15" customHeight="1" x14ac:dyDescent="0.3">
      <c r="A547" s="172" t="s">
        <v>818</v>
      </c>
      <c r="B547" s="174">
        <v>902</v>
      </c>
      <c r="C547" s="174">
        <v>0</v>
      </c>
      <c r="D547" s="174">
        <v>100</v>
      </c>
    </row>
    <row r="548" spans="1:4" ht="15" customHeight="1" x14ac:dyDescent="0.3">
      <c r="A548" s="172" t="s">
        <v>820</v>
      </c>
      <c r="B548" s="174">
        <v>902</v>
      </c>
      <c r="C548" s="174">
        <v>0</v>
      </c>
      <c r="D548" s="174">
        <v>100</v>
      </c>
    </row>
    <row r="549" spans="1:4" ht="15" customHeight="1" x14ac:dyDescent="0.3">
      <c r="A549" s="172" t="s">
        <v>822</v>
      </c>
      <c r="B549" s="174">
        <v>902</v>
      </c>
      <c r="C549" s="174">
        <v>0</v>
      </c>
      <c r="D549" s="174">
        <v>100</v>
      </c>
    </row>
    <row r="550" spans="1:4" ht="15" customHeight="1" x14ac:dyDescent="0.3">
      <c r="A550" s="172" t="s">
        <v>824</v>
      </c>
      <c r="B550" s="174">
        <v>902</v>
      </c>
      <c r="C550" s="174">
        <v>0</v>
      </c>
      <c r="D550" s="174">
        <v>100</v>
      </c>
    </row>
    <row r="551" spans="1:4" ht="15" customHeight="1" x14ac:dyDescent="0.3">
      <c r="A551" s="172" t="s">
        <v>826</v>
      </c>
      <c r="B551" s="174">
        <v>902</v>
      </c>
      <c r="C551" s="174">
        <v>0</v>
      </c>
      <c r="D551" s="174">
        <v>100</v>
      </c>
    </row>
    <row r="552" spans="1:4" ht="15" customHeight="1" x14ac:dyDescent="0.3">
      <c r="A552" s="172" t="s">
        <v>828</v>
      </c>
      <c r="B552" s="174">
        <v>902</v>
      </c>
      <c r="C552" s="174">
        <v>0</v>
      </c>
      <c r="D552" s="174">
        <v>100</v>
      </c>
    </row>
    <row r="553" spans="1:4" ht="15" customHeight="1" x14ac:dyDescent="0.3">
      <c r="A553" s="172" t="s">
        <v>830</v>
      </c>
      <c r="B553" s="174">
        <v>902</v>
      </c>
      <c r="C553" s="174">
        <v>0</v>
      </c>
      <c r="D553" s="174">
        <v>100</v>
      </c>
    </row>
    <row r="554" spans="1:4" ht="15" customHeight="1" x14ac:dyDescent="0.3">
      <c r="A554" s="172"/>
      <c r="B554" s="174"/>
      <c r="C554" s="174"/>
      <c r="D554" s="174"/>
    </row>
    <row r="555" spans="1:4" ht="15" customHeight="1" x14ac:dyDescent="0.3">
      <c r="A555" s="170" t="s">
        <v>833</v>
      </c>
      <c r="B555" s="174"/>
      <c r="C555" s="174"/>
      <c r="D555" s="174"/>
    </row>
    <row r="556" spans="1:4" ht="15" customHeight="1" x14ac:dyDescent="0.3">
      <c r="A556" s="172" t="s">
        <v>835</v>
      </c>
      <c r="B556" s="174">
        <v>368</v>
      </c>
      <c r="C556" s="174">
        <v>15.2</v>
      </c>
      <c r="D556" s="174">
        <v>2.9</v>
      </c>
    </row>
    <row r="557" spans="1:4" ht="15" customHeight="1" x14ac:dyDescent="0.3">
      <c r="A557" s="172" t="s">
        <v>837</v>
      </c>
      <c r="B557" s="174">
        <v>39</v>
      </c>
      <c r="C557" s="174">
        <v>0</v>
      </c>
      <c r="D557" s="174">
        <v>0</v>
      </c>
    </row>
    <row r="558" spans="1:4" ht="15" customHeight="1" x14ac:dyDescent="0.3">
      <c r="A558" s="172" t="s">
        <v>839</v>
      </c>
      <c r="B558" s="174">
        <v>149</v>
      </c>
      <c r="C558" s="174">
        <v>2</v>
      </c>
      <c r="D558" s="174">
        <v>6.7</v>
      </c>
    </row>
    <row r="559" spans="1:4" ht="15" customHeight="1" x14ac:dyDescent="0.3">
      <c r="A559" s="172" t="s">
        <v>841</v>
      </c>
      <c r="B559" s="174">
        <v>41</v>
      </c>
      <c r="C559" s="174">
        <v>1.2</v>
      </c>
      <c r="D559" s="174">
        <v>0.5</v>
      </c>
    </row>
  </sheetData>
  <mergeCells count="2">
    <mergeCell ref="I3:J3"/>
    <mergeCell ref="N5:N6"/>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10"/>
  <sheetViews>
    <sheetView workbookViewId="0">
      <selection activeCell="A2" sqref="A2:A9"/>
    </sheetView>
  </sheetViews>
  <sheetFormatPr defaultRowHeight="14.4" x14ac:dyDescent="0.3"/>
  <cols>
    <col min="1" max="1" width="9.109375"/>
    <col min="2" max="2" width="33.44140625" bestFit="1" customWidth="1"/>
    <col min="3" max="3" width="14.77734375" bestFit="1" customWidth="1"/>
    <col min="4" max="4" width="28.77734375" bestFit="1" customWidth="1"/>
    <col min="5" max="5" width="31.88671875" bestFit="1" customWidth="1"/>
    <col min="6" max="6" width="15.44140625" bestFit="1" customWidth="1"/>
    <col min="7" max="7" width="20.5546875" bestFit="1" customWidth="1"/>
    <col min="8" max="8" width="17.44140625" bestFit="1" customWidth="1"/>
  </cols>
  <sheetData>
    <row r="1" spans="1:9" x14ac:dyDescent="0.3">
      <c r="B1" t="s">
        <v>189</v>
      </c>
      <c r="C1" t="s">
        <v>190</v>
      </c>
      <c r="D1" t="s">
        <v>202</v>
      </c>
      <c r="E1" s="89" t="s">
        <v>191</v>
      </c>
      <c r="F1" s="83" t="s">
        <v>200</v>
      </c>
      <c r="G1" s="84" t="s">
        <v>201</v>
      </c>
      <c r="H1" t="s">
        <v>187</v>
      </c>
      <c r="I1" s="89" t="s">
        <v>188</v>
      </c>
    </row>
    <row r="2" spans="1:9" x14ac:dyDescent="0.3">
      <c r="A2" t="s">
        <v>82</v>
      </c>
      <c r="B2">
        <v>1.77</v>
      </c>
      <c r="C2">
        <v>0.45</v>
      </c>
      <c r="D2">
        <v>1.34</v>
      </c>
      <c r="E2" s="48">
        <v>1.8</v>
      </c>
      <c r="F2" s="93">
        <v>2.2999999999999998</v>
      </c>
      <c r="G2" s="95">
        <v>0</v>
      </c>
      <c r="H2">
        <f t="shared" ref="H2:H10" si="0">F2*$F$10+$G$10*G2</f>
        <v>1.8399999999999999</v>
      </c>
      <c r="I2" t="s">
        <v>198</v>
      </c>
    </row>
    <row r="3" spans="1:9" x14ac:dyDescent="0.3">
      <c r="A3" t="s">
        <v>83</v>
      </c>
      <c r="B3">
        <v>7.54</v>
      </c>
      <c r="C3">
        <v>2.52</v>
      </c>
      <c r="D3">
        <v>4.09</v>
      </c>
      <c r="E3" s="48">
        <v>6.7</v>
      </c>
      <c r="F3" s="93">
        <v>7.2</v>
      </c>
      <c r="G3" s="95">
        <v>0</v>
      </c>
      <c r="H3">
        <f t="shared" si="0"/>
        <v>5.7600000000000007</v>
      </c>
      <c r="I3" t="s">
        <v>197</v>
      </c>
    </row>
    <row r="4" spans="1:9" x14ac:dyDescent="0.3">
      <c r="A4" t="s">
        <v>6</v>
      </c>
      <c r="B4">
        <v>6.92</v>
      </c>
      <c r="C4">
        <v>7.98</v>
      </c>
      <c r="D4">
        <v>7.78</v>
      </c>
      <c r="E4" s="48">
        <v>4</v>
      </c>
      <c r="F4" s="93">
        <v>6.7</v>
      </c>
      <c r="G4" s="95">
        <v>7</v>
      </c>
      <c r="H4">
        <f t="shared" si="0"/>
        <v>6.7600000000000007</v>
      </c>
      <c r="I4" t="s">
        <v>196</v>
      </c>
    </row>
    <row r="5" spans="1:9" s="126" customFormat="1" x14ac:dyDescent="0.3">
      <c r="A5" s="126" t="s">
        <v>7</v>
      </c>
      <c r="B5" s="126">
        <v>1.25</v>
      </c>
      <c r="C5" s="126">
        <v>0.76</v>
      </c>
      <c r="D5" s="126">
        <v>0.74</v>
      </c>
      <c r="E5" s="127">
        <v>1.2</v>
      </c>
      <c r="F5" s="128">
        <v>1</v>
      </c>
      <c r="G5" s="129">
        <v>2</v>
      </c>
      <c r="H5" s="126">
        <f t="shared" si="0"/>
        <v>1.2000000000000002</v>
      </c>
      <c r="I5" s="126" t="s">
        <v>195</v>
      </c>
    </row>
    <row r="6" spans="1:9" x14ac:dyDescent="0.3">
      <c r="A6" t="s">
        <v>81</v>
      </c>
      <c r="B6">
        <v>46.11</v>
      </c>
      <c r="C6">
        <v>29.99</v>
      </c>
      <c r="D6">
        <v>29.23</v>
      </c>
      <c r="E6" s="48">
        <v>54</v>
      </c>
      <c r="F6" s="93">
        <v>46.8</v>
      </c>
      <c r="G6" s="95">
        <v>52</v>
      </c>
      <c r="H6">
        <f t="shared" si="0"/>
        <v>47.839999999999996</v>
      </c>
      <c r="I6" t="s">
        <v>192</v>
      </c>
    </row>
    <row r="7" spans="1:9" x14ac:dyDescent="0.3">
      <c r="A7" t="s">
        <v>12</v>
      </c>
      <c r="B7">
        <v>2.36</v>
      </c>
      <c r="C7">
        <v>7.06</v>
      </c>
      <c r="D7">
        <v>6.88</v>
      </c>
      <c r="E7" s="48">
        <v>2.2999999999999998</v>
      </c>
      <c r="F7" s="93">
        <v>2</v>
      </c>
      <c r="G7" s="95">
        <v>3.8</v>
      </c>
      <c r="H7">
        <f t="shared" si="0"/>
        <v>2.3600000000000003</v>
      </c>
      <c r="I7" t="s">
        <v>199</v>
      </c>
    </row>
    <row r="8" spans="1:9" x14ac:dyDescent="0.3">
      <c r="A8" t="s">
        <v>84</v>
      </c>
      <c r="B8">
        <v>12.77</v>
      </c>
      <c r="C8">
        <v>12.06</v>
      </c>
      <c r="D8">
        <v>11.76</v>
      </c>
      <c r="E8" s="48">
        <v>10</v>
      </c>
      <c r="F8" s="93">
        <v>8</v>
      </c>
      <c r="G8" s="95">
        <v>12</v>
      </c>
      <c r="H8">
        <f>F8*$F$10+$G$10*G8</f>
        <v>8.8000000000000007</v>
      </c>
      <c r="I8" t="s">
        <v>194</v>
      </c>
    </row>
    <row r="9" spans="1:9" ht="15" thickBot="1" x14ac:dyDescent="0.35">
      <c r="A9" t="s">
        <v>85</v>
      </c>
      <c r="B9">
        <v>20.399999999999999</v>
      </c>
      <c r="C9">
        <v>38.43</v>
      </c>
      <c r="D9">
        <v>37.450000000000003</v>
      </c>
      <c r="E9" s="48">
        <v>20</v>
      </c>
      <c r="F9" s="94">
        <v>26</v>
      </c>
      <c r="G9" s="96">
        <v>26</v>
      </c>
      <c r="H9">
        <f t="shared" si="0"/>
        <v>26</v>
      </c>
      <c r="I9" t="s">
        <v>193</v>
      </c>
    </row>
    <row r="10" spans="1:9" x14ac:dyDescent="0.3">
      <c r="F10" s="124">
        <v>0.8</v>
      </c>
      <c r="G10" s="125">
        <v>0.2</v>
      </c>
      <c r="H10">
        <f t="shared" si="0"/>
        <v>0.68000000000000016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1"/>
  <sheetViews>
    <sheetView workbookViewId="0">
      <selection activeCell="C8" sqref="C8"/>
    </sheetView>
  </sheetViews>
  <sheetFormatPr defaultRowHeight="14.4" x14ac:dyDescent="0.3"/>
  <cols>
    <col min="1" max="4" width="9.109375" customWidth="1"/>
    <col min="5" max="5" width="12.77734375" customWidth="1"/>
    <col min="6" max="8" width="9.109375" customWidth="1"/>
    <col min="9" max="9" width="11.88671875" customWidth="1"/>
    <col min="10" max="11" width="9.109375" customWidth="1"/>
    <col min="12" max="12" width="11.88671875" bestFit="1" customWidth="1"/>
  </cols>
  <sheetData>
    <row r="1" spans="1:12" x14ac:dyDescent="0.3">
      <c r="B1" s="89" t="s">
        <v>125</v>
      </c>
      <c r="C1" s="89"/>
      <c r="D1" s="89" t="s">
        <v>126</v>
      </c>
      <c r="E1" s="89"/>
    </row>
    <row r="2" spans="1:12" x14ac:dyDescent="0.3">
      <c r="B2" s="89" t="s">
        <v>123</v>
      </c>
      <c r="C2" s="89" t="s">
        <v>124</v>
      </c>
      <c r="D2" s="89" t="s">
        <v>123</v>
      </c>
      <c r="E2" s="89" t="s">
        <v>124</v>
      </c>
      <c r="F2" s="89" t="s">
        <v>152</v>
      </c>
      <c r="G2" s="89" t="s">
        <v>153</v>
      </c>
      <c r="H2" s="89"/>
    </row>
    <row r="3" spans="1:12" x14ac:dyDescent="0.3">
      <c r="A3" t="s">
        <v>81</v>
      </c>
      <c r="C3" s="120"/>
      <c r="D3" s="194" t="s">
        <v>141</v>
      </c>
      <c r="E3" s="194" t="s">
        <v>142</v>
      </c>
      <c r="F3">
        <v>3.2067183462532296</v>
      </c>
      <c r="G3" s="193">
        <v>860</v>
      </c>
      <c r="H3" s="119"/>
    </row>
    <row r="4" spans="1:12" x14ac:dyDescent="0.3">
      <c r="A4" t="s">
        <v>127</v>
      </c>
      <c r="C4" s="120"/>
      <c r="D4" s="194"/>
      <c r="E4" s="194"/>
      <c r="F4">
        <v>0.81226325757575757</v>
      </c>
      <c r="G4" s="193"/>
      <c r="H4" s="123">
        <f>100*G3/$G$21</f>
        <v>35.279187677180019</v>
      </c>
      <c r="I4" t="s">
        <v>82</v>
      </c>
      <c r="J4" s="48">
        <f>ROUND(H13, 2)</f>
        <v>0.45</v>
      </c>
    </row>
    <row r="5" spans="1:12" x14ac:dyDescent="0.3">
      <c r="A5" t="s">
        <v>128</v>
      </c>
      <c r="B5">
        <v>50</v>
      </c>
      <c r="C5" s="48" t="s">
        <v>143</v>
      </c>
      <c r="F5">
        <v>3.4424410540915393</v>
      </c>
      <c r="G5">
        <f>F5*B5</f>
        <v>172.12205270457696</v>
      </c>
      <c r="H5" s="123">
        <f>100*G5/$G$21</f>
        <v>7.0608444194723736</v>
      </c>
      <c r="I5" t="s">
        <v>83</v>
      </c>
      <c r="J5" s="48">
        <f>ROUND(H16+H15, 2)</f>
        <v>2.52</v>
      </c>
    </row>
    <row r="6" spans="1:12" x14ac:dyDescent="0.3">
      <c r="A6" t="s">
        <v>129</v>
      </c>
      <c r="B6">
        <v>25</v>
      </c>
      <c r="C6" s="48" t="s">
        <v>144</v>
      </c>
      <c r="F6" s="121">
        <v>3.4424410540915393</v>
      </c>
      <c r="G6">
        <f>F6*B6</f>
        <v>86.061026352288479</v>
      </c>
      <c r="H6" s="122">
        <f t="shared" ref="H6:H18" si="0">100*G6/$G$21</f>
        <v>3.5304222097361868</v>
      </c>
      <c r="I6" t="s">
        <v>6</v>
      </c>
      <c r="J6" s="48">
        <f>ROUND(H18, 2)</f>
        <v>7.98</v>
      </c>
    </row>
    <row r="7" spans="1:12" x14ac:dyDescent="0.3">
      <c r="A7" t="s">
        <v>10</v>
      </c>
      <c r="B7">
        <v>50</v>
      </c>
      <c r="C7" s="48">
        <v>2</v>
      </c>
      <c r="F7">
        <v>2.4957264957264953</v>
      </c>
      <c r="G7">
        <f>F7*B7</f>
        <v>124.78632478632477</v>
      </c>
      <c r="H7" s="122">
        <f t="shared" si="0"/>
        <v>5.119023455444526</v>
      </c>
      <c r="I7" t="s">
        <v>7</v>
      </c>
      <c r="J7" s="48">
        <f>ROUND(H17, 2)</f>
        <v>0.76</v>
      </c>
    </row>
    <row r="8" spans="1:12" x14ac:dyDescent="0.3">
      <c r="A8" t="s">
        <v>130</v>
      </c>
      <c r="B8">
        <v>300</v>
      </c>
      <c r="C8" s="120" t="s">
        <v>145</v>
      </c>
      <c r="F8">
        <v>0.2468322892938497</v>
      </c>
      <c r="G8">
        <f>F8*B8</f>
        <v>74.049686788154915</v>
      </c>
      <c r="H8" s="123">
        <f t="shared" si="0"/>
        <v>3.0376892995764124</v>
      </c>
      <c r="I8" t="s">
        <v>12</v>
      </c>
      <c r="J8" s="48">
        <f>ROUND(H5, 2)</f>
        <v>7.06</v>
      </c>
    </row>
    <row r="9" spans="1:12" x14ac:dyDescent="0.3">
      <c r="A9" t="s">
        <v>131</v>
      </c>
      <c r="B9">
        <v>200</v>
      </c>
      <c r="C9" s="120" t="s">
        <v>146</v>
      </c>
      <c r="F9">
        <v>0.45466803647104148</v>
      </c>
      <c r="G9">
        <f>F9*B9</f>
        <v>90.933607294208301</v>
      </c>
      <c r="H9" s="123">
        <f t="shared" si="0"/>
        <v>3.7303067417387914</v>
      </c>
      <c r="I9" t="s">
        <v>81</v>
      </c>
      <c r="J9" s="48">
        <f>ROUND(H4, 2)*0.85</f>
        <v>29.988</v>
      </c>
    </row>
    <row r="10" spans="1:12" x14ac:dyDescent="0.3">
      <c r="A10" t="s">
        <v>26</v>
      </c>
      <c r="C10" s="48"/>
      <c r="D10">
        <v>31</v>
      </c>
      <c r="E10" t="s">
        <v>147</v>
      </c>
      <c r="F10">
        <v>0.31670300000000001</v>
      </c>
      <c r="G10">
        <f>F10*D10</f>
        <v>9.817793</v>
      </c>
      <c r="H10" s="122">
        <f t="shared" si="0"/>
        <v>0.40274856025895844</v>
      </c>
      <c r="I10" t="s">
        <v>84</v>
      </c>
      <c r="J10" s="48">
        <f>ROUND(H8+H9, 2)+0.15*ROUND(H4, 2)</f>
        <v>12.061999999999999</v>
      </c>
    </row>
    <row r="11" spans="1:12" x14ac:dyDescent="0.3">
      <c r="A11" t="s">
        <v>132</v>
      </c>
      <c r="C11" s="48"/>
      <c r="D11">
        <v>6.8</v>
      </c>
      <c r="E11">
        <v>1</v>
      </c>
      <c r="F11">
        <v>2.9514824797843699</v>
      </c>
      <c r="G11">
        <f>F11*D11</f>
        <v>20.070080862533715</v>
      </c>
      <c r="H11" s="122">
        <f t="shared" si="0"/>
        <v>0.82332110400640224</v>
      </c>
      <c r="I11" t="s">
        <v>85</v>
      </c>
      <c r="J11" s="48">
        <f>ROUND(H10+H11+H12+H6+H7, 2)</f>
        <v>38.43</v>
      </c>
      <c r="L11" s="193"/>
    </row>
    <row r="12" spans="1:12" x14ac:dyDescent="0.3">
      <c r="A12" t="s">
        <v>133</v>
      </c>
      <c r="C12" s="48"/>
      <c r="D12">
        <v>80</v>
      </c>
      <c r="E12" t="s">
        <v>142</v>
      </c>
      <c r="F12">
        <v>8.699648197009676</v>
      </c>
      <c r="G12">
        <f>F12*D12</f>
        <v>695.97185576077413</v>
      </c>
      <c r="H12" s="122">
        <f t="shared" si="0"/>
        <v>28.550374090022807</v>
      </c>
      <c r="L12" s="193"/>
    </row>
    <row r="13" spans="1:12" x14ac:dyDescent="0.3">
      <c r="A13" t="s">
        <v>134</v>
      </c>
      <c r="C13" s="48"/>
      <c r="D13" s="194" t="s">
        <v>148</v>
      </c>
      <c r="E13" s="195" t="s">
        <v>149</v>
      </c>
      <c r="F13">
        <v>1.5665236051502101</v>
      </c>
      <c r="G13">
        <f>7*F13</f>
        <v>10.965665236051471</v>
      </c>
      <c r="H13" s="123">
        <f t="shared" si="0"/>
        <v>0.44983693240440503</v>
      </c>
    </row>
    <row r="14" spans="1:12" x14ac:dyDescent="0.3">
      <c r="A14" t="s">
        <v>135</v>
      </c>
      <c r="C14" s="48"/>
      <c r="D14" s="194"/>
      <c r="E14" s="195"/>
      <c r="F14">
        <v>1.5665236051502101</v>
      </c>
      <c r="H14" s="122">
        <f t="shared" si="0"/>
        <v>0</v>
      </c>
    </row>
    <row r="15" spans="1:12" x14ac:dyDescent="0.3">
      <c r="A15" t="s">
        <v>136</v>
      </c>
      <c r="C15" s="48"/>
      <c r="D15" s="194"/>
      <c r="E15" s="195"/>
      <c r="F15">
        <v>2.8252184769038702</v>
      </c>
      <c r="G15">
        <f>7*F15</f>
        <v>19.776529338327091</v>
      </c>
      <c r="H15" s="123">
        <f>100*G15/$G$21</f>
        <v>0.81127894201174211</v>
      </c>
    </row>
    <row r="16" spans="1:12" x14ac:dyDescent="0.3">
      <c r="A16" t="s">
        <v>137</v>
      </c>
      <c r="C16" s="48"/>
      <c r="D16">
        <v>29</v>
      </c>
      <c r="E16" s="120" t="s">
        <v>143</v>
      </c>
      <c r="F16">
        <v>1.4366244162775184</v>
      </c>
      <c r="G16">
        <f>F16*D16</f>
        <v>41.662108072048035</v>
      </c>
      <c r="H16" s="123">
        <f t="shared" si="0"/>
        <v>1.7090759647683011</v>
      </c>
    </row>
    <row r="17" spans="1:8" x14ac:dyDescent="0.3">
      <c r="A17" t="s">
        <v>138</v>
      </c>
      <c r="C17" s="48"/>
      <c r="D17">
        <v>13</v>
      </c>
      <c r="E17" s="120" t="s">
        <v>151</v>
      </c>
      <c r="F17">
        <v>1.4298150163220891</v>
      </c>
      <c r="G17">
        <f>F17*D17</f>
        <v>18.587595212187157</v>
      </c>
      <c r="H17" s="123">
        <f t="shared" si="0"/>
        <v>0.76250611623046916</v>
      </c>
    </row>
    <row r="18" spans="1:8" x14ac:dyDescent="0.3">
      <c r="A18" t="s">
        <v>139</v>
      </c>
      <c r="C18" s="48"/>
      <c r="D18">
        <v>250</v>
      </c>
      <c r="E18" s="120" t="s">
        <v>150</v>
      </c>
      <c r="F18">
        <v>0.77834333476210893</v>
      </c>
      <c r="G18">
        <f>F18*D18</f>
        <v>194.58583369052724</v>
      </c>
      <c r="H18" s="123">
        <f t="shared" si="0"/>
        <v>7.9823606349868017</v>
      </c>
    </row>
    <row r="19" spans="1:8" x14ac:dyDescent="0.3">
      <c r="A19" t="s">
        <v>140</v>
      </c>
      <c r="B19">
        <v>28</v>
      </c>
      <c r="C19" s="48">
        <v>0.5</v>
      </c>
      <c r="E19" s="120"/>
      <c r="F19">
        <v>0.65384615384615374</v>
      </c>
      <c r="G19">
        <f>F19*B19</f>
        <v>18.307692307692307</v>
      </c>
      <c r="H19" s="122">
        <f>100*G19/$G$21</f>
        <v>0.75102385216179279</v>
      </c>
    </row>
    <row r="20" spans="1:8" x14ac:dyDescent="0.3">
      <c r="H20" s="119"/>
    </row>
    <row r="21" spans="1:8" x14ac:dyDescent="0.3">
      <c r="F21" t="s">
        <v>154</v>
      </c>
      <c r="G21">
        <f>SUM(G3:G19)</f>
        <v>2437.697851405695</v>
      </c>
    </row>
  </sheetData>
  <mergeCells count="6">
    <mergeCell ref="L11:L12"/>
    <mergeCell ref="D3:D4"/>
    <mergeCell ref="E3:E4"/>
    <mergeCell ref="D13:D15"/>
    <mergeCell ref="E13:E15"/>
    <mergeCell ref="G3:G4"/>
  </mergeCells>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31"/>
  <sheetViews>
    <sheetView workbookViewId="0">
      <selection activeCell="D32" sqref="D32"/>
    </sheetView>
  </sheetViews>
  <sheetFormatPr defaultRowHeight="14.4" x14ac:dyDescent="0.3"/>
  <cols>
    <col min="1" max="1" width="15.109375" bestFit="1" customWidth="1"/>
    <col min="4" max="4" width="11.5546875" bestFit="1" customWidth="1"/>
  </cols>
  <sheetData>
    <row r="1" spans="1:10" x14ac:dyDescent="0.3">
      <c r="B1" s="89" t="s">
        <v>181</v>
      </c>
      <c r="C1" s="89" t="s">
        <v>180</v>
      </c>
      <c r="D1" s="89"/>
      <c r="E1" s="89"/>
    </row>
    <row r="2" spans="1:10" x14ac:dyDescent="0.3">
      <c r="A2" t="s">
        <v>134</v>
      </c>
      <c r="B2" s="89">
        <v>80</v>
      </c>
      <c r="C2">
        <f>100*B2/$B$30</f>
        <v>2.7548209366391183</v>
      </c>
      <c r="D2" s="89"/>
      <c r="E2" s="89"/>
      <c r="F2" s="89"/>
      <c r="G2" s="89"/>
      <c r="H2" s="89"/>
    </row>
    <row r="3" spans="1:10" x14ac:dyDescent="0.3">
      <c r="A3" t="s">
        <v>160</v>
      </c>
      <c r="B3">
        <v>306</v>
      </c>
      <c r="C3">
        <f t="shared" ref="C3:C28" si="0">100*B3/$B$30</f>
        <v>10.537190082644628</v>
      </c>
      <c r="D3" s="194"/>
      <c r="E3" s="194"/>
      <c r="G3" s="193"/>
      <c r="H3" s="119"/>
    </row>
    <row r="4" spans="1:10" x14ac:dyDescent="0.3">
      <c r="A4" t="s">
        <v>138</v>
      </c>
      <c r="B4">
        <v>60</v>
      </c>
      <c r="C4">
        <f t="shared" si="0"/>
        <v>2.0661157024793386</v>
      </c>
      <c r="D4" s="194"/>
      <c r="E4" s="194"/>
      <c r="G4" s="193"/>
      <c r="H4" s="122"/>
      <c r="J4" s="48"/>
    </row>
    <row r="5" spans="1:10" x14ac:dyDescent="0.3">
      <c r="A5" t="s">
        <v>140</v>
      </c>
      <c r="B5">
        <v>35</v>
      </c>
      <c r="C5">
        <f t="shared" si="0"/>
        <v>1.2052341597796143</v>
      </c>
      <c r="E5" t="s">
        <v>82</v>
      </c>
      <c r="F5">
        <f>ROUND(C2+C8, 2)</f>
        <v>2.86</v>
      </c>
      <c r="H5" s="122"/>
      <c r="J5" s="48"/>
    </row>
    <row r="6" spans="1:10" x14ac:dyDescent="0.3">
      <c r="A6" t="s">
        <v>136</v>
      </c>
      <c r="B6">
        <v>129</v>
      </c>
      <c r="C6">
        <f t="shared" si="0"/>
        <v>4.4421487603305785</v>
      </c>
      <c r="E6" t="s">
        <v>83</v>
      </c>
      <c r="F6" s="121"/>
      <c r="H6" s="122"/>
      <c r="J6" s="48"/>
    </row>
    <row r="7" spans="1:10" x14ac:dyDescent="0.3">
      <c r="A7" t="s">
        <v>137</v>
      </c>
      <c r="B7">
        <v>67</v>
      </c>
      <c r="C7">
        <f t="shared" si="0"/>
        <v>2.3071625344352618</v>
      </c>
      <c r="E7" t="s">
        <v>6</v>
      </c>
      <c r="H7" s="122"/>
      <c r="J7" s="48"/>
    </row>
    <row r="8" spans="1:10" x14ac:dyDescent="0.3">
      <c r="A8" t="s">
        <v>161</v>
      </c>
      <c r="B8">
        <v>3</v>
      </c>
      <c r="C8">
        <f t="shared" si="0"/>
        <v>0.10330578512396695</v>
      </c>
      <c r="E8" t="s">
        <v>7</v>
      </c>
      <c r="H8" s="122"/>
      <c r="J8" s="48"/>
    </row>
    <row r="9" spans="1:10" x14ac:dyDescent="0.3">
      <c r="A9" t="s">
        <v>162</v>
      </c>
      <c r="B9">
        <v>15</v>
      </c>
      <c r="C9">
        <f t="shared" si="0"/>
        <v>0.51652892561983466</v>
      </c>
      <c r="E9" t="s">
        <v>12</v>
      </c>
      <c r="H9" s="122"/>
      <c r="J9" s="48"/>
    </row>
    <row r="10" spans="1:10" x14ac:dyDescent="0.3">
      <c r="A10" t="s">
        <v>163</v>
      </c>
      <c r="B10">
        <v>275</v>
      </c>
      <c r="C10">
        <f t="shared" si="0"/>
        <v>9.4696969696969688</v>
      </c>
      <c r="E10" t="s">
        <v>81</v>
      </c>
      <c r="F10">
        <f>C28+C9+C11+C21</f>
        <v>27.169421487603302</v>
      </c>
      <c r="H10" s="122"/>
      <c r="J10" s="48"/>
    </row>
    <row r="11" spans="1:10" x14ac:dyDescent="0.3">
      <c r="A11" t="s">
        <v>164</v>
      </c>
      <c r="B11">
        <v>10</v>
      </c>
      <c r="C11">
        <f t="shared" si="0"/>
        <v>0.34435261707988979</v>
      </c>
      <c r="E11" t="s">
        <v>84</v>
      </c>
      <c r="H11" s="122"/>
      <c r="J11" s="48"/>
    </row>
    <row r="12" spans="1:10" x14ac:dyDescent="0.3">
      <c r="A12" t="s">
        <v>165</v>
      </c>
      <c r="B12">
        <v>271</v>
      </c>
      <c r="C12">
        <f t="shared" si="0"/>
        <v>9.3319559228650135</v>
      </c>
      <c r="E12" t="s">
        <v>85</v>
      </c>
      <c r="H12" s="122"/>
    </row>
    <row r="13" spans="1:10" x14ac:dyDescent="0.3">
      <c r="A13" t="s">
        <v>166</v>
      </c>
      <c r="B13">
        <v>63</v>
      </c>
      <c r="C13">
        <f t="shared" si="0"/>
        <v>2.169421487603306</v>
      </c>
      <c r="D13" s="194"/>
      <c r="E13" s="195"/>
      <c r="H13" s="122"/>
    </row>
    <row r="14" spans="1:10" x14ac:dyDescent="0.3">
      <c r="A14" t="s">
        <v>167</v>
      </c>
      <c r="B14">
        <v>27</v>
      </c>
      <c r="C14">
        <f t="shared" si="0"/>
        <v>0.92975206611570249</v>
      </c>
      <c r="D14" s="194"/>
      <c r="E14" s="195"/>
      <c r="H14" s="122"/>
    </row>
    <row r="15" spans="1:10" x14ac:dyDescent="0.3">
      <c r="A15" t="s">
        <v>168</v>
      </c>
      <c r="B15">
        <v>59</v>
      </c>
      <c r="C15">
        <f t="shared" si="0"/>
        <v>2.0316804407713498</v>
      </c>
      <c r="D15" s="194"/>
      <c r="E15" s="195"/>
      <c r="H15" s="122"/>
    </row>
    <row r="16" spans="1:10" x14ac:dyDescent="0.3">
      <c r="A16" t="s">
        <v>169</v>
      </c>
      <c r="B16">
        <v>48</v>
      </c>
      <c r="C16">
        <f t="shared" si="0"/>
        <v>1.6528925619834711</v>
      </c>
      <c r="E16" s="120"/>
      <c r="H16" s="122"/>
    </row>
    <row r="17" spans="1:8" x14ac:dyDescent="0.3">
      <c r="A17" t="s">
        <v>170</v>
      </c>
      <c r="B17">
        <v>4</v>
      </c>
      <c r="C17">
        <f t="shared" si="0"/>
        <v>0.13774104683195593</v>
      </c>
      <c r="E17" s="120"/>
      <c r="H17" s="122"/>
    </row>
    <row r="18" spans="1:8" x14ac:dyDescent="0.3">
      <c r="A18" t="s">
        <v>171</v>
      </c>
      <c r="B18">
        <v>64</v>
      </c>
      <c r="C18">
        <f t="shared" si="0"/>
        <v>2.2038567493112948</v>
      </c>
      <c r="E18" s="120"/>
      <c r="H18" s="122"/>
    </row>
    <row r="19" spans="1:8" x14ac:dyDescent="0.3">
      <c r="A19" t="s">
        <v>172</v>
      </c>
      <c r="B19">
        <v>0</v>
      </c>
      <c r="C19">
        <f t="shared" si="0"/>
        <v>0</v>
      </c>
      <c r="E19" s="120"/>
      <c r="H19" s="122"/>
    </row>
    <row r="20" spans="1:8" x14ac:dyDescent="0.3">
      <c r="A20" t="s">
        <v>173</v>
      </c>
      <c r="B20">
        <v>0</v>
      </c>
      <c r="C20">
        <f t="shared" si="0"/>
        <v>0</v>
      </c>
      <c r="H20" s="119"/>
    </row>
    <row r="21" spans="1:8" x14ac:dyDescent="0.3">
      <c r="A21" t="s">
        <v>174</v>
      </c>
      <c r="B21">
        <v>74</v>
      </c>
      <c r="C21">
        <f t="shared" si="0"/>
        <v>2.5482093663911844</v>
      </c>
    </row>
    <row r="22" spans="1:8" x14ac:dyDescent="0.3">
      <c r="A22" t="s">
        <v>159</v>
      </c>
      <c r="B22">
        <v>155</v>
      </c>
      <c r="C22">
        <f t="shared" si="0"/>
        <v>5.3374655647382916</v>
      </c>
    </row>
    <row r="23" spans="1:8" x14ac:dyDescent="0.3">
      <c r="A23" t="s">
        <v>175</v>
      </c>
      <c r="B23">
        <v>69</v>
      </c>
      <c r="C23">
        <f t="shared" si="0"/>
        <v>2.3760330578512399</v>
      </c>
    </row>
    <row r="24" spans="1:8" x14ac:dyDescent="0.3">
      <c r="A24" t="s">
        <v>129</v>
      </c>
      <c r="B24">
        <v>0</v>
      </c>
      <c r="C24">
        <f t="shared" si="0"/>
        <v>0</v>
      </c>
    </row>
    <row r="25" spans="1:8" x14ac:dyDescent="0.3">
      <c r="A25" t="s">
        <v>26</v>
      </c>
      <c r="B25">
        <v>281</v>
      </c>
      <c r="C25">
        <f t="shared" si="0"/>
        <v>9.6763085399449036</v>
      </c>
    </row>
    <row r="26" spans="1:8" x14ac:dyDescent="0.3">
      <c r="A26" t="s">
        <v>176</v>
      </c>
      <c r="B26">
        <v>0</v>
      </c>
      <c r="C26">
        <f t="shared" si="0"/>
        <v>0</v>
      </c>
    </row>
    <row r="27" spans="1:8" x14ac:dyDescent="0.3">
      <c r="A27" t="s">
        <v>177</v>
      </c>
      <c r="B27">
        <v>117</v>
      </c>
      <c r="C27">
        <f t="shared" si="0"/>
        <v>4.0289256198347108</v>
      </c>
    </row>
    <row r="28" spans="1:8" x14ac:dyDescent="0.3">
      <c r="A28" t="s">
        <v>178</v>
      </c>
      <c r="B28">
        <v>690</v>
      </c>
      <c r="C28">
        <f t="shared" si="0"/>
        <v>23.760330578512395</v>
      </c>
    </row>
    <row r="30" spans="1:8" x14ac:dyDescent="0.3">
      <c r="A30" t="s">
        <v>179</v>
      </c>
      <c r="B30">
        <v>2904</v>
      </c>
    </row>
    <row r="31" spans="1:8" x14ac:dyDescent="0.3">
      <c r="D31">
        <f>5/32</f>
        <v>0.15625</v>
      </c>
    </row>
  </sheetData>
  <mergeCells count="5">
    <mergeCell ref="D3:D4"/>
    <mergeCell ref="E3:E4"/>
    <mergeCell ref="G3:G4"/>
    <mergeCell ref="D13:D15"/>
    <mergeCell ref="E13:E15"/>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21"/>
  <sheetViews>
    <sheetView workbookViewId="0">
      <selection activeCell="G5" sqref="G5"/>
    </sheetView>
  </sheetViews>
  <sheetFormatPr defaultColWidth="9.109375" defaultRowHeight="14.4" x14ac:dyDescent="0.3"/>
  <cols>
    <col min="1" max="4" width="9.109375" customWidth="1"/>
    <col min="5" max="5" width="12.77734375" customWidth="1"/>
    <col min="6" max="8" width="9.109375" customWidth="1"/>
    <col min="9" max="9" width="11.88671875" customWidth="1"/>
    <col min="10" max="11" width="9.109375" customWidth="1"/>
    <col min="12" max="12" width="11.88671875" bestFit="1" customWidth="1"/>
  </cols>
  <sheetData>
    <row r="1" spans="1:12" x14ac:dyDescent="0.3">
      <c r="B1" s="89" t="s">
        <v>125</v>
      </c>
      <c r="C1" s="89"/>
      <c r="D1" s="89" t="s">
        <v>126</v>
      </c>
      <c r="E1" s="89"/>
    </row>
    <row r="2" spans="1:12" x14ac:dyDescent="0.3">
      <c r="B2" s="89" t="s">
        <v>123</v>
      </c>
      <c r="C2" s="89" t="s">
        <v>124</v>
      </c>
      <c r="D2" s="89" t="s">
        <v>123</v>
      </c>
      <c r="E2" s="89" t="s">
        <v>124</v>
      </c>
      <c r="F2" s="89" t="s">
        <v>152</v>
      </c>
      <c r="G2" s="89" t="s">
        <v>153</v>
      </c>
      <c r="H2" s="89"/>
    </row>
    <row r="3" spans="1:12" x14ac:dyDescent="0.3">
      <c r="A3" t="s">
        <v>81</v>
      </c>
      <c r="C3" s="120"/>
      <c r="D3" s="194" t="s">
        <v>141</v>
      </c>
      <c r="E3" s="194" t="s">
        <v>142</v>
      </c>
      <c r="F3">
        <v>3.2067183462532296</v>
      </c>
      <c r="G3" s="193">
        <v>860</v>
      </c>
      <c r="H3" s="119"/>
    </row>
    <row r="4" spans="1:12" x14ac:dyDescent="0.3">
      <c r="A4" t="s">
        <v>127</v>
      </c>
      <c r="C4" s="120"/>
      <c r="D4" s="194"/>
      <c r="E4" s="194"/>
      <c r="F4">
        <v>0.81226325757575757</v>
      </c>
      <c r="G4" s="193"/>
      <c r="H4" s="123">
        <f>100*G3/$G$21</f>
        <v>34.385359872793828</v>
      </c>
      <c r="I4" t="s">
        <v>82</v>
      </c>
      <c r="J4" s="48">
        <f>ROUND(H13, 2)</f>
        <v>1.34</v>
      </c>
    </row>
    <row r="5" spans="1:12" x14ac:dyDescent="0.3">
      <c r="A5" t="s">
        <v>128</v>
      </c>
      <c r="B5">
        <v>50</v>
      </c>
      <c r="C5" s="48" t="s">
        <v>143</v>
      </c>
      <c r="F5">
        <v>3.4424410540915393</v>
      </c>
      <c r="G5">
        <f>F5*B5</f>
        <v>172.12205270457696</v>
      </c>
      <c r="H5" s="123">
        <f>100*G5/$G$21</f>
        <v>6.8819520049893779</v>
      </c>
      <c r="I5" t="s">
        <v>83</v>
      </c>
      <c r="J5" s="48">
        <f>ROUND(H16+H15, 2)</f>
        <v>4.09</v>
      </c>
    </row>
    <row r="6" spans="1:12" x14ac:dyDescent="0.3">
      <c r="A6" t="s">
        <v>129</v>
      </c>
      <c r="B6">
        <v>25</v>
      </c>
      <c r="C6" s="48" t="s">
        <v>144</v>
      </c>
      <c r="F6" s="121">
        <v>3.4424410540915393</v>
      </c>
      <c r="G6">
        <f>F6*B6</f>
        <v>86.061026352288479</v>
      </c>
      <c r="H6" s="122">
        <f t="shared" ref="H6:H18" si="0">100*G6/$G$21</f>
        <v>3.4409760024946889</v>
      </c>
      <c r="I6" t="s">
        <v>6</v>
      </c>
      <c r="J6" s="48">
        <f>ROUND(H18, 2)</f>
        <v>7.78</v>
      </c>
    </row>
    <row r="7" spans="1:12" x14ac:dyDescent="0.3">
      <c r="A7" t="s">
        <v>10</v>
      </c>
      <c r="B7">
        <v>50</v>
      </c>
      <c r="C7" s="48">
        <v>2</v>
      </c>
      <c r="F7">
        <v>2.4957264957264953</v>
      </c>
      <c r="G7">
        <f>F7*B7</f>
        <v>124.78632478632477</v>
      </c>
      <c r="H7" s="122">
        <f t="shared" si="0"/>
        <v>4.9893287034664064</v>
      </c>
      <c r="I7" t="s">
        <v>7</v>
      </c>
      <c r="J7" s="48">
        <f>ROUND(H17, 2)</f>
        <v>0.74</v>
      </c>
    </row>
    <row r="8" spans="1:12" x14ac:dyDescent="0.3">
      <c r="A8" t="s">
        <v>130</v>
      </c>
      <c r="B8">
        <v>300</v>
      </c>
      <c r="C8" s="120" t="s">
        <v>145</v>
      </c>
      <c r="F8">
        <v>0.2468322892938497</v>
      </c>
      <c r="G8">
        <f>F8*B8</f>
        <v>74.049686788154915</v>
      </c>
      <c r="H8" s="123">
        <f t="shared" si="0"/>
        <v>2.9607268938120619</v>
      </c>
      <c r="I8" t="s">
        <v>12</v>
      </c>
      <c r="J8" s="48">
        <f>ROUND(H5, 2)</f>
        <v>6.88</v>
      </c>
    </row>
    <row r="9" spans="1:12" x14ac:dyDescent="0.3">
      <c r="A9" t="s">
        <v>131</v>
      </c>
      <c r="B9">
        <v>200</v>
      </c>
      <c r="C9" s="120" t="s">
        <v>146</v>
      </c>
      <c r="F9">
        <v>0.45466803647104148</v>
      </c>
      <c r="G9">
        <f>F9*B9</f>
        <v>90.933607294208301</v>
      </c>
      <c r="H9" s="123">
        <f t="shared" si="0"/>
        <v>3.6357962922589095</v>
      </c>
      <c r="I9" t="s">
        <v>81</v>
      </c>
      <c r="J9" s="48">
        <f>ROUND(H4, 2)*0.85</f>
        <v>29.2315</v>
      </c>
    </row>
    <row r="10" spans="1:12" x14ac:dyDescent="0.3">
      <c r="A10" t="s">
        <v>26</v>
      </c>
      <c r="C10" s="48"/>
      <c r="D10">
        <v>31</v>
      </c>
      <c r="E10" t="s">
        <v>147</v>
      </c>
      <c r="F10">
        <v>0.31670300000000001</v>
      </c>
      <c r="G10">
        <f>F10*D10</f>
        <v>9.817793</v>
      </c>
      <c r="H10" s="122">
        <f t="shared" si="0"/>
        <v>0.39254458774604201</v>
      </c>
      <c r="I10" t="s">
        <v>84</v>
      </c>
      <c r="J10" s="48">
        <f>ROUND(H8+H9, 2)+0.15*ROUND(H4,2)</f>
        <v>11.7585</v>
      </c>
    </row>
    <row r="11" spans="1:12" x14ac:dyDescent="0.3">
      <c r="A11" t="s">
        <v>132</v>
      </c>
      <c r="C11" s="48"/>
      <c r="D11">
        <v>6.8</v>
      </c>
      <c r="E11">
        <v>1</v>
      </c>
      <c r="F11">
        <v>2.9514824797843699</v>
      </c>
      <c r="G11">
        <f>F11*D11</f>
        <v>20.070080862533715</v>
      </c>
      <c r="H11" s="122">
        <f t="shared" si="0"/>
        <v>0.80246157341196989</v>
      </c>
      <c r="I11" t="s">
        <v>85</v>
      </c>
      <c r="J11" s="48">
        <f>ROUND(H10+H11+H12+H6+H7, 2)</f>
        <v>37.450000000000003</v>
      </c>
      <c r="L11" s="193"/>
    </row>
    <row r="12" spans="1:12" x14ac:dyDescent="0.3">
      <c r="A12" t="s">
        <v>133</v>
      </c>
      <c r="C12" s="48"/>
      <c r="D12">
        <v>80</v>
      </c>
      <c r="E12" t="s">
        <v>142</v>
      </c>
      <c r="F12">
        <v>8.699648197009676</v>
      </c>
      <c r="G12">
        <f>F12*D12</f>
        <v>695.97185576077413</v>
      </c>
      <c r="H12" s="122">
        <f t="shared" si="0"/>
        <v>27.82702642054695</v>
      </c>
      <c r="L12" s="193"/>
    </row>
    <row r="13" spans="1:12" x14ac:dyDescent="0.3">
      <c r="A13" t="s">
        <v>134</v>
      </c>
      <c r="C13" s="48"/>
      <c r="D13" s="194">
        <f>300/7</f>
        <v>42.857142857142854</v>
      </c>
      <c r="E13" s="195" t="s">
        <v>158</v>
      </c>
      <c r="F13">
        <v>1.5665236051502101</v>
      </c>
      <c r="G13">
        <f>D13/2*F13</f>
        <v>33.568362967504498</v>
      </c>
      <c r="H13" s="123">
        <f t="shared" si="0"/>
        <v>1.3421630709048924</v>
      </c>
    </row>
    <row r="14" spans="1:12" x14ac:dyDescent="0.3">
      <c r="A14" t="s">
        <v>135</v>
      </c>
      <c r="C14" s="48"/>
      <c r="D14" s="194"/>
      <c r="E14" s="195"/>
      <c r="F14">
        <v>1.5665236051502101</v>
      </c>
      <c r="H14" s="122">
        <f t="shared" si="0"/>
        <v>0</v>
      </c>
    </row>
    <row r="15" spans="1:12" x14ac:dyDescent="0.3">
      <c r="A15" t="s">
        <v>136</v>
      </c>
      <c r="C15" s="48"/>
      <c r="D15" s="194"/>
      <c r="E15" s="195"/>
      <c r="F15">
        <v>2.8252184769038702</v>
      </c>
      <c r="G15">
        <f>D13/2*F15</f>
        <v>60.540395933654359</v>
      </c>
      <c r="H15" s="123">
        <f>100*G15/$G$21</f>
        <v>2.4205852337443363</v>
      </c>
    </row>
    <row r="16" spans="1:12" x14ac:dyDescent="0.3">
      <c r="A16" t="s">
        <v>137</v>
      </c>
      <c r="C16" s="48"/>
      <c r="D16">
        <v>29</v>
      </c>
      <c r="E16" s="120" t="s">
        <v>143</v>
      </c>
      <c r="F16">
        <v>1.4366244162775184</v>
      </c>
      <c r="G16">
        <f>F16*D16</f>
        <v>41.662108072048035</v>
      </c>
      <c r="H16" s="123">
        <f t="shared" si="0"/>
        <v>1.6657750919960468</v>
      </c>
    </row>
    <row r="17" spans="1:8" x14ac:dyDescent="0.3">
      <c r="A17" t="s">
        <v>138</v>
      </c>
      <c r="C17" s="48"/>
      <c r="D17">
        <v>13</v>
      </c>
      <c r="E17" s="120" t="s">
        <v>151</v>
      </c>
      <c r="F17">
        <v>1.4298150163220891</v>
      </c>
      <c r="G17">
        <f>F17*D17</f>
        <v>18.587595212187157</v>
      </c>
      <c r="H17" s="123">
        <f t="shared" si="0"/>
        <v>0.74318738434985454</v>
      </c>
    </row>
    <row r="18" spans="1:8" x14ac:dyDescent="0.3">
      <c r="A18" t="s">
        <v>139</v>
      </c>
      <c r="C18" s="48"/>
      <c r="D18">
        <v>250</v>
      </c>
      <c r="E18" s="120" t="s">
        <v>150</v>
      </c>
      <c r="F18">
        <v>0.77834333476210893</v>
      </c>
      <c r="G18">
        <f>F18*D18</f>
        <v>194.58583369052724</v>
      </c>
      <c r="H18" s="123">
        <f t="shared" si="0"/>
        <v>7.7801208344144053</v>
      </c>
    </row>
    <row r="19" spans="1:8" x14ac:dyDescent="0.3">
      <c r="A19" t="s">
        <v>140</v>
      </c>
      <c r="B19">
        <v>28</v>
      </c>
      <c r="C19" s="48">
        <v>0.5</v>
      </c>
      <c r="E19" s="120"/>
      <c r="F19">
        <v>0.65384615384615374</v>
      </c>
      <c r="G19">
        <f>F19*B19</f>
        <v>18.307692307692307</v>
      </c>
      <c r="H19" s="122">
        <f>100*G19/$G$21</f>
        <v>0.73199603307020844</v>
      </c>
    </row>
    <row r="20" spans="1:8" x14ac:dyDescent="0.3">
      <c r="H20" s="119"/>
    </row>
    <row r="21" spans="1:8" x14ac:dyDescent="0.3">
      <c r="F21" t="s">
        <v>154</v>
      </c>
      <c r="G21">
        <f>SUM(G3:G19)</f>
        <v>2501.0644157324755</v>
      </c>
    </row>
  </sheetData>
  <mergeCells count="6">
    <mergeCell ref="D3:D4"/>
    <mergeCell ref="E3:E4"/>
    <mergeCell ref="G3:G4"/>
    <mergeCell ref="L11:L12"/>
    <mergeCell ref="D13:D15"/>
    <mergeCell ref="E13:E15"/>
  </mergeCell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50"/>
  <sheetViews>
    <sheetView topLeftCell="A34" workbookViewId="0">
      <selection activeCell="F33" sqref="F33"/>
    </sheetView>
  </sheetViews>
  <sheetFormatPr defaultRowHeight="14.4" x14ac:dyDescent="0.3"/>
  <sheetData>
    <row r="1" spans="1:6" x14ac:dyDescent="0.3">
      <c r="A1" s="116" t="s">
        <v>108</v>
      </c>
      <c r="B1" s="116" t="s">
        <v>109</v>
      </c>
      <c r="C1" s="116" t="s">
        <v>110</v>
      </c>
      <c r="D1" s="116">
        <v>2000</v>
      </c>
      <c r="E1" s="116">
        <v>59741.5010660794</v>
      </c>
    </row>
    <row r="2" spans="1:6" x14ac:dyDescent="0.3">
      <c r="A2" s="116" t="s">
        <v>108</v>
      </c>
      <c r="B2" s="116" t="s">
        <v>109</v>
      </c>
      <c r="C2" s="116" t="s">
        <v>110</v>
      </c>
      <c r="D2" s="116">
        <v>2010</v>
      </c>
      <c r="E2" s="116">
        <v>69138.670382745098</v>
      </c>
    </row>
    <row r="3" spans="1:6" x14ac:dyDescent="0.3">
      <c r="A3" s="116" t="s">
        <v>108</v>
      </c>
      <c r="B3" s="116" t="s">
        <v>109</v>
      </c>
      <c r="C3" s="116" t="s">
        <v>110</v>
      </c>
      <c r="D3" s="116">
        <v>2020</v>
      </c>
      <c r="E3" s="116">
        <v>80171.261562641506</v>
      </c>
    </row>
    <row r="4" spans="1:6" x14ac:dyDescent="0.3">
      <c r="A4" s="116" t="s">
        <v>108</v>
      </c>
      <c r="B4" s="116" t="s">
        <v>109</v>
      </c>
      <c r="C4" s="116" t="s">
        <v>110</v>
      </c>
      <c r="D4" s="116">
        <v>2030</v>
      </c>
      <c r="E4" s="116">
        <v>90432.492443495707</v>
      </c>
    </row>
    <row r="5" spans="1:6" x14ac:dyDescent="0.3">
      <c r="A5" s="116" t="s">
        <v>108</v>
      </c>
      <c r="B5" s="116" t="s">
        <v>109</v>
      </c>
      <c r="C5" s="116" t="s">
        <v>110</v>
      </c>
      <c r="D5" s="116">
        <v>2040</v>
      </c>
      <c r="E5" s="116">
        <v>99930.720481869299</v>
      </c>
    </row>
    <row r="6" spans="1:6" x14ac:dyDescent="0.3">
      <c r="A6" s="116" t="s">
        <v>108</v>
      </c>
      <c r="B6" s="116" t="s">
        <v>109</v>
      </c>
      <c r="C6" s="116" t="s">
        <v>110</v>
      </c>
      <c r="D6" s="116">
        <v>2050</v>
      </c>
      <c r="E6" s="116">
        <v>107983.575192006</v>
      </c>
    </row>
    <row r="7" spans="1:6" x14ac:dyDescent="0.3">
      <c r="A7" t="s">
        <v>108</v>
      </c>
      <c r="B7" t="s">
        <v>109</v>
      </c>
      <c r="C7" t="s">
        <v>111</v>
      </c>
      <c r="D7">
        <v>2000</v>
      </c>
      <c r="E7">
        <v>572605.58604292199</v>
      </c>
      <c r="F7">
        <f t="shared" ref="F7:F12" si="0">E7/E1</f>
        <v>9.5847204342851953</v>
      </c>
    </row>
    <row r="8" spans="1:6" x14ac:dyDescent="0.3">
      <c r="A8" t="s">
        <v>108</v>
      </c>
      <c r="B8" t="s">
        <v>109</v>
      </c>
      <c r="C8" t="s">
        <v>111</v>
      </c>
      <c r="D8">
        <v>2010</v>
      </c>
      <c r="E8">
        <v>669668.12131071102</v>
      </c>
      <c r="F8">
        <f t="shared" si="0"/>
        <v>9.6858692480415378</v>
      </c>
    </row>
    <row r="9" spans="1:6" x14ac:dyDescent="0.3">
      <c r="A9" t="s">
        <v>108</v>
      </c>
      <c r="B9" t="s">
        <v>109</v>
      </c>
      <c r="C9" t="s">
        <v>111</v>
      </c>
      <c r="D9">
        <v>2020</v>
      </c>
      <c r="E9">
        <v>782213.40411191399</v>
      </c>
      <c r="F9">
        <f t="shared" si="0"/>
        <v>9.7567805328937549</v>
      </c>
    </row>
    <row r="10" spans="1:6" x14ac:dyDescent="0.3">
      <c r="A10" t="s">
        <v>108</v>
      </c>
      <c r="B10" t="s">
        <v>109</v>
      </c>
      <c r="C10" t="s">
        <v>111</v>
      </c>
      <c r="D10">
        <v>2030</v>
      </c>
      <c r="E10">
        <v>887725.02131163399</v>
      </c>
      <c r="F10">
        <f t="shared" si="0"/>
        <v>9.8164387304298284</v>
      </c>
    </row>
    <row r="11" spans="1:6" x14ac:dyDescent="0.3">
      <c r="A11" t="s">
        <v>108</v>
      </c>
      <c r="B11" t="s">
        <v>109</v>
      </c>
      <c r="C11" t="s">
        <v>111</v>
      </c>
      <c r="D11">
        <v>2040</v>
      </c>
      <c r="E11">
        <v>996431.81741066405</v>
      </c>
      <c r="F11">
        <f t="shared" si="0"/>
        <v>9.9712261915638774</v>
      </c>
    </row>
    <row r="12" spans="1:6" x14ac:dyDescent="0.3">
      <c r="A12" t="s">
        <v>108</v>
      </c>
      <c r="B12" t="s">
        <v>109</v>
      </c>
      <c r="C12" t="s">
        <v>111</v>
      </c>
      <c r="D12">
        <v>2050</v>
      </c>
      <c r="E12">
        <v>1073915.7133756799</v>
      </c>
      <c r="F12">
        <f t="shared" si="0"/>
        <v>9.9451764906481976</v>
      </c>
    </row>
    <row r="13" spans="1:6" x14ac:dyDescent="0.3">
      <c r="A13" s="116" t="s">
        <v>108</v>
      </c>
      <c r="B13" s="116" t="s">
        <v>109</v>
      </c>
      <c r="C13" s="116" t="s">
        <v>112</v>
      </c>
      <c r="D13" s="116">
        <v>2000</v>
      </c>
      <c r="E13" s="116">
        <v>68984.546010035905</v>
      </c>
    </row>
    <row r="14" spans="1:6" x14ac:dyDescent="0.3">
      <c r="A14" s="116" t="s">
        <v>108</v>
      </c>
      <c r="B14" s="116" t="s">
        <v>109</v>
      </c>
      <c r="C14" s="116" t="s">
        <v>112</v>
      </c>
      <c r="D14" s="116">
        <v>2010</v>
      </c>
      <c r="E14" s="116">
        <v>82503.391937932494</v>
      </c>
    </row>
    <row r="15" spans="1:6" x14ac:dyDescent="0.3">
      <c r="A15" s="116" t="s">
        <v>108</v>
      </c>
      <c r="B15" s="116" t="s">
        <v>109</v>
      </c>
      <c r="C15" s="116" t="s">
        <v>112</v>
      </c>
      <c r="D15" s="116">
        <v>2020</v>
      </c>
      <c r="E15" s="116">
        <v>101358.072645382</v>
      </c>
    </row>
    <row r="16" spans="1:6" x14ac:dyDescent="0.3">
      <c r="A16" s="116" t="s">
        <v>108</v>
      </c>
      <c r="B16" s="116" t="s">
        <v>109</v>
      </c>
      <c r="C16" s="116" t="s">
        <v>112</v>
      </c>
      <c r="D16" s="116">
        <v>2030</v>
      </c>
      <c r="E16" s="116">
        <v>120942.68207155701</v>
      </c>
    </row>
    <row r="17" spans="1:8" x14ac:dyDescent="0.3">
      <c r="A17" s="116" t="s">
        <v>108</v>
      </c>
      <c r="B17" s="116" t="s">
        <v>109</v>
      </c>
      <c r="C17" s="116" t="s">
        <v>112</v>
      </c>
      <c r="D17" s="116">
        <v>2040</v>
      </c>
      <c r="E17" s="116">
        <v>141562.03003918901</v>
      </c>
    </row>
    <row r="18" spans="1:8" x14ac:dyDescent="0.3">
      <c r="A18" s="116" t="s">
        <v>108</v>
      </c>
      <c r="B18" s="116" t="s">
        <v>109</v>
      </c>
      <c r="C18" s="116" t="s">
        <v>112</v>
      </c>
      <c r="D18" s="116">
        <v>2050</v>
      </c>
      <c r="E18" s="116">
        <v>160171.573101469</v>
      </c>
    </row>
    <row r="19" spans="1:8" x14ac:dyDescent="0.3">
      <c r="A19" s="116" t="s">
        <v>108</v>
      </c>
      <c r="B19" s="116" t="s">
        <v>109</v>
      </c>
      <c r="C19" s="116" t="s">
        <v>113</v>
      </c>
      <c r="D19" s="116">
        <v>2000</v>
      </c>
      <c r="E19" s="116">
        <v>55985.817600253104</v>
      </c>
      <c r="F19">
        <f t="shared" ref="F19:F24" si="1">E19/E13</f>
        <v>0.81157042900750931</v>
      </c>
    </row>
    <row r="20" spans="1:8" x14ac:dyDescent="0.3">
      <c r="A20" s="116" t="s">
        <v>108</v>
      </c>
      <c r="B20" s="116" t="s">
        <v>109</v>
      </c>
      <c r="C20" s="116" t="s">
        <v>113</v>
      </c>
      <c r="D20" s="116">
        <v>2010</v>
      </c>
      <c r="E20" s="116">
        <v>65102.627157909803</v>
      </c>
      <c r="F20">
        <f t="shared" si="1"/>
        <v>0.78909031045519518</v>
      </c>
    </row>
    <row r="21" spans="1:8" x14ac:dyDescent="0.3">
      <c r="A21" s="116" t="s">
        <v>108</v>
      </c>
      <c r="B21" s="116" t="s">
        <v>109</v>
      </c>
      <c r="C21" s="116" t="s">
        <v>113</v>
      </c>
      <c r="D21" s="116">
        <v>2020</v>
      </c>
      <c r="E21" s="116">
        <v>77197.453689014597</v>
      </c>
      <c r="F21">
        <f t="shared" si="1"/>
        <v>0.76163103415652622</v>
      </c>
    </row>
    <row r="22" spans="1:8" x14ac:dyDescent="0.3">
      <c r="A22" s="116" t="s">
        <v>108</v>
      </c>
      <c r="B22" s="116" t="s">
        <v>109</v>
      </c>
      <c r="C22" s="116" t="s">
        <v>113</v>
      </c>
      <c r="D22" s="116">
        <v>2030</v>
      </c>
      <c r="E22" s="116">
        <v>89645.841969692498</v>
      </c>
      <c r="F22">
        <f t="shared" si="1"/>
        <v>0.7412258471054296</v>
      </c>
    </row>
    <row r="23" spans="1:8" x14ac:dyDescent="0.3">
      <c r="A23" s="116" t="s">
        <v>108</v>
      </c>
      <c r="B23" s="116" t="s">
        <v>109</v>
      </c>
      <c r="C23" s="116" t="s">
        <v>113</v>
      </c>
      <c r="D23" s="116">
        <v>2040</v>
      </c>
      <c r="E23" s="116">
        <v>103404.795982675</v>
      </c>
      <c r="F23">
        <f t="shared" si="1"/>
        <v>0.73045572993018792</v>
      </c>
    </row>
    <row r="24" spans="1:8" x14ac:dyDescent="0.3">
      <c r="A24" s="116" t="s">
        <v>108</v>
      </c>
      <c r="B24" s="116" t="s">
        <v>109</v>
      </c>
      <c r="C24" s="116" t="s">
        <v>113</v>
      </c>
      <c r="D24" s="116">
        <v>2050</v>
      </c>
      <c r="E24" s="116">
        <v>113443.837114266</v>
      </c>
      <c r="F24">
        <f t="shared" si="1"/>
        <v>0.70826448737192038</v>
      </c>
    </row>
    <row r="26" spans="1:8" x14ac:dyDescent="0.3">
      <c r="A26" t="s">
        <v>114</v>
      </c>
      <c r="B26" t="s">
        <v>115</v>
      </c>
      <c r="C26" t="s">
        <v>110</v>
      </c>
      <c r="D26">
        <v>2000</v>
      </c>
      <c r="E26">
        <v>5.7254886415853801E-2</v>
      </c>
    </row>
    <row r="27" spans="1:8" x14ac:dyDescent="0.3">
      <c r="A27" t="s">
        <v>114</v>
      </c>
      <c r="B27" t="s">
        <v>115</v>
      </c>
      <c r="C27" t="s">
        <v>110</v>
      </c>
      <c r="D27">
        <v>2010</v>
      </c>
      <c r="E27">
        <v>6.8778097933802795E-2</v>
      </c>
    </row>
    <row r="28" spans="1:8" x14ac:dyDescent="0.3">
      <c r="A28" t="s">
        <v>114</v>
      </c>
      <c r="B28" t="s">
        <v>115</v>
      </c>
      <c r="C28" t="s">
        <v>110</v>
      </c>
      <c r="D28">
        <v>2020</v>
      </c>
      <c r="E28">
        <v>7.9259287278305404E-2</v>
      </c>
    </row>
    <row r="29" spans="1:8" x14ac:dyDescent="0.3">
      <c r="A29" t="s">
        <v>114</v>
      </c>
      <c r="B29" t="s">
        <v>115</v>
      </c>
      <c r="C29" t="s">
        <v>110</v>
      </c>
      <c r="D29">
        <v>2030</v>
      </c>
      <c r="E29">
        <v>8.7911725763700405E-2</v>
      </c>
    </row>
    <row r="30" spans="1:8" x14ac:dyDescent="0.3">
      <c r="A30" t="s">
        <v>114</v>
      </c>
      <c r="B30" t="s">
        <v>115</v>
      </c>
      <c r="C30" t="s">
        <v>110</v>
      </c>
      <c r="D30">
        <v>2040</v>
      </c>
      <c r="E30">
        <v>9.6563852772143105E-2</v>
      </c>
    </row>
    <row r="31" spans="1:8" x14ac:dyDescent="0.3">
      <c r="A31" t="s">
        <v>114</v>
      </c>
      <c r="B31" t="s">
        <v>115</v>
      </c>
      <c r="C31" t="s">
        <v>110</v>
      </c>
      <c r="D31">
        <v>2050</v>
      </c>
      <c r="E31">
        <v>0.104223597161056</v>
      </c>
    </row>
    <row r="32" spans="1:8" x14ac:dyDescent="0.3">
      <c r="A32" t="s">
        <v>114</v>
      </c>
      <c r="B32" t="s">
        <v>115</v>
      </c>
      <c r="C32" t="s">
        <v>111</v>
      </c>
      <c r="D32">
        <v>2000</v>
      </c>
      <c r="E32">
        <v>1.7636097718649499</v>
      </c>
      <c r="F32">
        <f t="shared" ref="F32:F37" si="2">E32/E26</f>
        <v>30.802781775785846</v>
      </c>
      <c r="H32">
        <f t="shared" ref="H32:H37" si="3">E7/E45</f>
        <v>1.7646495534572713</v>
      </c>
    </row>
    <row r="33" spans="1:8" x14ac:dyDescent="0.3">
      <c r="A33" t="s">
        <v>114</v>
      </c>
      <c r="B33" t="s">
        <v>115</v>
      </c>
      <c r="C33" t="s">
        <v>111</v>
      </c>
      <c r="D33">
        <v>2010</v>
      </c>
      <c r="E33">
        <v>1.85999065966227</v>
      </c>
      <c r="F33">
        <f t="shared" si="2"/>
        <v>27.043357050270053</v>
      </c>
      <c r="H33">
        <f t="shared" si="3"/>
        <v>1.8609945248532584</v>
      </c>
    </row>
    <row r="34" spans="1:8" x14ac:dyDescent="0.3">
      <c r="A34" t="s">
        <v>114</v>
      </c>
      <c r="B34" t="s">
        <v>115</v>
      </c>
      <c r="C34" t="s">
        <v>111</v>
      </c>
      <c r="D34">
        <v>2020</v>
      </c>
      <c r="E34">
        <v>2.0333888788952299</v>
      </c>
      <c r="F34">
        <f t="shared" si="2"/>
        <v>25.654897346670975</v>
      </c>
      <c r="H34">
        <f t="shared" si="3"/>
        <v>2.0341931821972952</v>
      </c>
    </row>
    <row r="35" spans="1:8" x14ac:dyDescent="0.3">
      <c r="A35" t="s">
        <v>114</v>
      </c>
      <c r="B35" t="s">
        <v>115</v>
      </c>
      <c r="C35" t="s">
        <v>111</v>
      </c>
      <c r="D35">
        <v>2030</v>
      </c>
      <c r="E35">
        <v>2.1765378559957398</v>
      </c>
      <c r="F35">
        <f t="shared" si="2"/>
        <v>24.758220101901959</v>
      </c>
      <c r="H35">
        <f t="shared" si="3"/>
        <v>2.1772007513285412</v>
      </c>
    </row>
    <row r="36" spans="1:8" x14ac:dyDescent="0.3">
      <c r="A36" t="s">
        <v>114</v>
      </c>
      <c r="B36" t="s">
        <v>115</v>
      </c>
      <c r="C36" t="s">
        <v>111</v>
      </c>
      <c r="D36">
        <v>2040</v>
      </c>
      <c r="E36">
        <v>2.3083589438470402</v>
      </c>
      <c r="F36">
        <f t="shared" si="2"/>
        <v>23.905000448707856</v>
      </c>
      <c r="H36">
        <f t="shared" si="3"/>
        <v>2.3089181346852699</v>
      </c>
    </row>
    <row r="37" spans="1:8" x14ac:dyDescent="0.3">
      <c r="A37" t="s">
        <v>114</v>
      </c>
      <c r="B37" t="s">
        <v>115</v>
      </c>
      <c r="C37" t="s">
        <v>111</v>
      </c>
      <c r="D37">
        <v>2050</v>
      </c>
      <c r="E37">
        <v>2.38553414934387</v>
      </c>
      <c r="F37">
        <f t="shared" si="2"/>
        <v>22.888618454202081</v>
      </c>
      <c r="H37">
        <f t="shared" si="3"/>
        <v>2.3860580102167011</v>
      </c>
    </row>
    <row r="39" spans="1:8" x14ac:dyDescent="0.3">
      <c r="A39" t="s">
        <v>116</v>
      </c>
      <c r="B39" t="s">
        <v>117</v>
      </c>
      <c r="C39" t="s">
        <v>110</v>
      </c>
      <c r="D39">
        <v>2000</v>
      </c>
      <c r="E39">
        <v>1043086.78450025</v>
      </c>
    </row>
    <row r="40" spans="1:8" x14ac:dyDescent="0.3">
      <c r="A40" t="s">
        <v>116</v>
      </c>
      <c r="B40" t="s">
        <v>117</v>
      </c>
      <c r="C40" t="s">
        <v>110</v>
      </c>
      <c r="D40">
        <v>2010</v>
      </c>
      <c r="E40">
        <v>1004937.97850023</v>
      </c>
    </row>
    <row r="41" spans="1:8" x14ac:dyDescent="0.3">
      <c r="A41" t="s">
        <v>116</v>
      </c>
      <c r="B41" t="s">
        <v>117</v>
      </c>
      <c r="C41" t="s">
        <v>110</v>
      </c>
      <c r="D41">
        <v>2020</v>
      </c>
      <c r="E41">
        <v>1011233.32315164</v>
      </c>
    </row>
    <row r="42" spans="1:8" x14ac:dyDescent="0.3">
      <c r="A42" t="s">
        <v>116</v>
      </c>
      <c r="B42" t="s">
        <v>117</v>
      </c>
      <c r="C42" t="s">
        <v>110</v>
      </c>
      <c r="D42">
        <v>2030</v>
      </c>
      <c r="E42">
        <v>1028433.1229571101</v>
      </c>
    </row>
    <row r="43" spans="1:8" x14ac:dyDescent="0.3">
      <c r="A43" t="s">
        <v>116</v>
      </c>
      <c r="B43" t="s">
        <v>117</v>
      </c>
      <c r="C43" t="s">
        <v>110</v>
      </c>
      <c r="D43">
        <v>2040</v>
      </c>
      <c r="E43">
        <v>1034649.3648125801</v>
      </c>
    </row>
    <row r="44" spans="1:8" x14ac:dyDescent="0.3">
      <c r="A44" t="s">
        <v>116</v>
      </c>
      <c r="B44" t="s">
        <v>117</v>
      </c>
      <c r="C44" t="s">
        <v>110</v>
      </c>
      <c r="D44">
        <v>2050</v>
      </c>
      <c r="E44">
        <v>1035878.80248976</v>
      </c>
    </row>
    <row r="45" spans="1:8" x14ac:dyDescent="0.3">
      <c r="A45" t="s">
        <v>116</v>
      </c>
      <c r="B45" t="s">
        <v>117</v>
      </c>
      <c r="C45" t="s">
        <v>111</v>
      </c>
      <c r="D45">
        <v>2000</v>
      </c>
      <c r="E45">
        <v>324486.85628321097</v>
      </c>
      <c r="F45">
        <f t="shared" ref="F45:F50" si="4">E45/E39</f>
        <v>0.31108327811733788</v>
      </c>
    </row>
    <row r="46" spans="1:8" x14ac:dyDescent="0.3">
      <c r="A46" t="s">
        <v>116</v>
      </c>
      <c r="B46" t="s">
        <v>117</v>
      </c>
      <c r="C46" t="s">
        <v>111</v>
      </c>
      <c r="D46">
        <v>2010</v>
      </c>
      <c r="E46">
        <v>359844.21897400002</v>
      </c>
      <c r="F46">
        <f t="shared" si="4"/>
        <v>0.35807604715171748</v>
      </c>
    </row>
    <row r="47" spans="1:8" x14ac:dyDescent="0.3">
      <c r="A47" t="s">
        <v>116</v>
      </c>
      <c r="B47" t="s">
        <v>117</v>
      </c>
      <c r="C47" t="s">
        <v>111</v>
      </c>
      <c r="D47">
        <v>2020</v>
      </c>
      <c r="E47">
        <v>384532.50701931003</v>
      </c>
      <c r="F47">
        <f t="shared" si="4"/>
        <v>0.38026091329829254</v>
      </c>
    </row>
    <row r="48" spans="1:8" x14ac:dyDescent="0.3">
      <c r="A48" t="s">
        <v>116</v>
      </c>
      <c r="B48" t="s">
        <v>117</v>
      </c>
      <c r="C48" t="s">
        <v>111</v>
      </c>
      <c r="D48">
        <v>2030</v>
      </c>
      <c r="E48">
        <v>407736.87073639798</v>
      </c>
      <c r="F48">
        <f t="shared" si="4"/>
        <v>0.3964641566230479</v>
      </c>
    </row>
    <row r="49" spans="1:6" x14ac:dyDescent="0.3">
      <c r="A49" t="s">
        <v>116</v>
      </c>
      <c r="B49" t="s">
        <v>117</v>
      </c>
      <c r="C49" t="s">
        <v>111</v>
      </c>
      <c r="D49">
        <v>2040</v>
      </c>
      <c r="E49">
        <v>431557.88091485901</v>
      </c>
      <c r="F49">
        <f t="shared" si="4"/>
        <v>0.41710544227998719</v>
      </c>
    </row>
    <row r="50" spans="1:6" x14ac:dyDescent="0.3">
      <c r="A50" t="s">
        <v>116</v>
      </c>
      <c r="B50" t="s">
        <v>117</v>
      </c>
      <c r="C50" t="s">
        <v>111</v>
      </c>
      <c r="D50">
        <v>2050</v>
      </c>
      <c r="E50">
        <v>450079.46528431098</v>
      </c>
      <c r="F50">
        <f t="shared" si="4"/>
        <v>0.43449046761313581</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H10"/>
  <sheetViews>
    <sheetView workbookViewId="0">
      <selection activeCell="H2" sqref="H2"/>
    </sheetView>
  </sheetViews>
  <sheetFormatPr defaultRowHeight="14.4" x14ac:dyDescent="0.3"/>
  <cols>
    <col min="2" max="2" width="22.6640625" customWidth="1"/>
    <col min="3" max="3" width="20.88671875" customWidth="1"/>
    <col min="4" max="4" width="15" customWidth="1"/>
    <col min="5" max="5" width="18.44140625" bestFit="1" customWidth="1"/>
    <col min="6" max="6" width="10.77734375" bestFit="1" customWidth="1"/>
    <col min="7" max="7" width="25.5546875" bestFit="1" customWidth="1"/>
    <col min="8" max="8" width="12.5546875" customWidth="1"/>
  </cols>
  <sheetData>
    <row r="2" spans="1:8" x14ac:dyDescent="0.3">
      <c r="B2" t="s">
        <v>203</v>
      </c>
      <c r="C2" t="s">
        <v>204</v>
      </c>
      <c r="D2" t="s">
        <v>205</v>
      </c>
      <c r="E2" t="s">
        <v>206</v>
      </c>
      <c r="F2" t="s">
        <v>207</v>
      </c>
      <c r="G2" t="s">
        <v>208</v>
      </c>
      <c r="H2" t="s">
        <v>209</v>
      </c>
    </row>
    <row r="3" spans="1:8" x14ac:dyDescent="0.3">
      <c r="A3" t="s">
        <v>82</v>
      </c>
      <c r="B3">
        <v>2.2999999999999998</v>
      </c>
      <c r="C3">
        <v>0</v>
      </c>
      <c r="D3">
        <v>0.45</v>
      </c>
      <c r="E3">
        <v>1.34</v>
      </c>
      <c r="F3">
        <v>0</v>
      </c>
      <c r="G3">
        <v>1.8</v>
      </c>
      <c r="H3">
        <v>1.77</v>
      </c>
    </row>
    <row r="4" spans="1:8" x14ac:dyDescent="0.3">
      <c r="A4" t="s">
        <v>83</v>
      </c>
      <c r="B4">
        <v>7.2</v>
      </c>
      <c r="C4">
        <v>0</v>
      </c>
      <c r="D4">
        <v>2.5</v>
      </c>
      <c r="E4">
        <v>4.0999999999999996</v>
      </c>
      <c r="F4">
        <v>0</v>
      </c>
      <c r="G4">
        <v>6.7</v>
      </c>
      <c r="H4">
        <v>7.54</v>
      </c>
    </row>
    <row r="5" spans="1:8" x14ac:dyDescent="0.3">
      <c r="A5" t="s">
        <v>6</v>
      </c>
      <c r="B5">
        <v>6.7</v>
      </c>
      <c r="C5">
        <v>7</v>
      </c>
      <c r="D5">
        <v>8</v>
      </c>
      <c r="E5">
        <v>7.78</v>
      </c>
      <c r="F5">
        <v>0</v>
      </c>
      <c r="G5">
        <v>4</v>
      </c>
      <c r="H5">
        <v>6.92</v>
      </c>
    </row>
    <row r="6" spans="1:8" x14ac:dyDescent="0.3">
      <c r="A6" t="s">
        <v>7</v>
      </c>
      <c r="B6">
        <v>1</v>
      </c>
      <c r="C6">
        <v>2</v>
      </c>
      <c r="D6">
        <v>0.76</v>
      </c>
      <c r="E6">
        <v>0.74</v>
      </c>
      <c r="F6">
        <v>0</v>
      </c>
      <c r="G6">
        <v>1.2</v>
      </c>
      <c r="H6">
        <v>1.25</v>
      </c>
    </row>
    <row r="7" spans="1:8" x14ac:dyDescent="0.3">
      <c r="A7" t="s">
        <v>12</v>
      </c>
      <c r="B7">
        <v>2</v>
      </c>
      <c r="C7">
        <v>3.8</v>
      </c>
      <c r="D7">
        <v>7.06</v>
      </c>
      <c r="E7">
        <v>6.88</v>
      </c>
      <c r="F7">
        <v>10</v>
      </c>
      <c r="G7">
        <v>2.2999999999999998</v>
      </c>
      <c r="H7">
        <v>2.36</v>
      </c>
    </row>
    <row r="8" spans="1:8" x14ac:dyDescent="0.3">
      <c r="A8" t="s">
        <v>81</v>
      </c>
      <c r="B8">
        <v>46.8</v>
      </c>
      <c r="C8">
        <v>52</v>
      </c>
      <c r="D8">
        <v>30.6</v>
      </c>
      <c r="E8">
        <v>29.3</v>
      </c>
      <c r="F8">
        <v>30</v>
      </c>
      <c r="G8">
        <v>54</v>
      </c>
      <c r="H8">
        <v>46.11</v>
      </c>
    </row>
    <row r="9" spans="1:8" x14ac:dyDescent="0.3">
      <c r="A9" t="s">
        <v>84</v>
      </c>
      <c r="B9">
        <v>8</v>
      </c>
      <c r="C9">
        <v>9.1999999999999993</v>
      </c>
      <c r="D9">
        <v>12</v>
      </c>
      <c r="E9">
        <v>11.75</v>
      </c>
      <c r="F9">
        <v>20</v>
      </c>
      <c r="G9">
        <v>10</v>
      </c>
      <c r="H9">
        <v>12.77</v>
      </c>
    </row>
    <row r="10" spans="1:8" x14ac:dyDescent="0.3">
      <c r="A10" t="s">
        <v>85</v>
      </c>
      <c r="B10">
        <v>26</v>
      </c>
      <c r="C10">
        <v>26</v>
      </c>
      <c r="D10">
        <v>38.6</v>
      </c>
      <c r="E10">
        <v>37.450000000000003</v>
      </c>
      <c r="F10">
        <v>40</v>
      </c>
      <c r="G10">
        <v>20</v>
      </c>
      <c r="H10">
        <v>20.399999999999999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0E56E-006E-4AD2-8BD8-FF4207524430}">
  <dimension ref="A1:Q88"/>
  <sheetViews>
    <sheetView topLeftCell="A53" workbookViewId="0">
      <selection activeCell="L26" sqref="L26"/>
    </sheetView>
  </sheetViews>
  <sheetFormatPr defaultRowHeight="14.4" x14ac:dyDescent="0.3"/>
  <cols>
    <col min="2" max="2" width="18.88671875" customWidth="1"/>
    <col min="3" max="3" width="37.5546875" customWidth="1"/>
    <col min="4" max="4" width="9.21875" customWidth="1"/>
    <col min="7" max="7" width="8" style="140" customWidth="1"/>
    <col min="16" max="16" width="8.33203125" style="148" customWidth="1"/>
  </cols>
  <sheetData>
    <row r="1" spans="1:17" x14ac:dyDescent="0.3">
      <c r="A1" t="s">
        <v>306</v>
      </c>
    </row>
    <row r="2" spans="1:17" x14ac:dyDescent="0.3">
      <c r="A2" s="145" t="s">
        <v>307</v>
      </c>
      <c r="F2" t="s">
        <v>308</v>
      </c>
    </row>
    <row r="4" spans="1:17" x14ac:dyDescent="0.3">
      <c r="D4" t="s">
        <v>275</v>
      </c>
      <c r="E4" t="s">
        <v>276</v>
      </c>
      <c r="F4" t="s">
        <v>277</v>
      </c>
      <c r="G4" s="140" t="s">
        <v>278</v>
      </c>
      <c r="H4" t="s">
        <v>279</v>
      </c>
      <c r="I4" t="s">
        <v>280</v>
      </c>
      <c r="J4" t="s">
        <v>281</v>
      </c>
      <c r="K4" t="s">
        <v>282</v>
      </c>
      <c r="L4" t="s">
        <v>283</v>
      </c>
      <c r="M4" t="s">
        <v>284</v>
      </c>
      <c r="N4" t="s">
        <v>285</v>
      </c>
      <c r="P4" s="148" t="s">
        <v>309</v>
      </c>
    </row>
    <row r="5" spans="1:17" x14ac:dyDescent="0.3">
      <c r="D5" t="s">
        <v>286</v>
      </c>
      <c r="E5" t="s">
        <v>286</v>
      </c>
      <c r="F5" t="s">
        <v>286</v>
      </c>
      <c r="G5" s="140" t="s">
        <v>286</v>
      </c>
      <c r="H5" t="s">
        <v>286</v>
      </c>
      <c r="I5" t="s">
        <v>286</v>
      </c>
      <c r="J5" t="s">
        <v>286</v>
      </c>
      <c r="K5" t="s">
        <v>286</v>
      </c>
      <c r="L5" t="s">
        <v>286</v>
      </c>
      <c r="M5" t="s">
        <v>286</v>
      </c>
      <c r="N5" t="s">
        <v>286</v>
      </c>
    </row>
    <row r="6" spans="1:17" x14ac:dyDescent="0.3">
      <c r="A6" s="146" t="s">
        <v>287</v>
      </c>
      <c r="Q6" s="148"/>
    </row>
    <row r="7" spans="1:17" s="150" customFormat="1" x14ac:dyDescent="0.3">
      <c r="A7" s="149" t="s">
        <v>310</v>
      </c>
      <c r="G7" s="151"/>
      <c r="P7" s="152">
        <f>SUM(P8:P9)</f>
        <v>89090747.032727256</v>
      </c>
    </row>
    <row r="8" spans="1:17" x14ac:dyDescent="0.3">
      <c r="B8" s="144" t="s">
        <v>14</v>
      </c>
      <c r="C8" t="s">
        <v>288</v>
      </c>
      <c r="D8">
        <v>69255794.170000002</v>
      </c>
      <c r="E8">
        <v>69797695.989999995</v>
      </c>
      <c r="F8">
        <v>69547438.159999996</v>
      </c>
      <c r="G8" s="140">
        <v>69892303.640000001</v>
      </c>
      <c r="H8">
        <v>71118026.099999994</v>
      </c>
      <c r="I8">
        <v>72966966.530000001</v>
      </c>
      <c r="J8">
        <v>73993958.069999993</v>
      </c>
      <c r="K8">
        <v>73003378.75</v>
      </c>
      <c r="L8">
        <v>74071685.780000001</v>
      </c>
      <c r="M8">
        <v>75423444.909999996</v>
      </c>
      <c r="N8">
        <v>76560810.829999998</v>
      </c>
      <c r="P8" s="148">
        <f>AVERAGE(D8:N8)</f>
        <v>72330136.62999998</v>
      </c>
    </row>
    <row r="9" spans="1:17" x14ac:dyDescent="0.3">
      <c r="B9" s="144" t="s">
        <v>315</v>
      </c>
      <c r="C9" t="s">
        <v>299</v>
      </c>
      <c r="D9">
        <v>14826503.67</v>
      </c>
      <c r="E9">
        <v>15348659.23</v>
      </c>
      <c r="F9">
        <v>15782821.58</v>
      </c>
      <c r="G9" s="140">
        <v>16161604.68</v>
      </c>
      <c r="H9">
        <v>16278055.300000001</v>
      </c>
      <c r="I9">
        <v>16468182.77</v>
      </c>
      <c r="J9">
        <v>16945803.760000002</v>
      </c>
      <c r="K9">
        <v>17403134.440000001</v>
      </c>
      <c r="L9">
        <v>17788491.379999999</v>
      </c>
      <c r="M9">
        <v>18367063.510000002</v>
      </c>
      <c r="N9">
        <v>18996394.109999999</v>
      </c>
      <c r="P9" s="148">
        <f>AVERAGE(D9:N9)</f>
        <v>16760610.402727274</v>
      </c>
    </row>
    <row r="10" spans="1:17" x14ac:dyDescent="0.3">
      <c r="A10" s="89" t="s">
        <v>311</v>
      </c>
      <c r="P10" s="153">
        <f>SUM(P11:P13)</f>
        <v>415716822.37</v>
      </c>
    </row>
    <row r="11" spans="1:17" x14ac:dyDescent="0.3">
      <c r="B11" s="144" t="s">
        <v>15</v>
      </c>
      <c r="C11" t="s">
        <v>293</v>
      </c>
      <c r="D11">
        <v>110158533.56</v>
      </c>
      <c r="E11">
        <v>113311332.83</v>
      </c>
      <c r="F11">
        <v>117555839.58</v>
      </c>
      <c r="G11" s="140">
        <v>120744994.23999999</v>
      </c>
      <c r="H11">
        <v>124800225.91</v>
      </c>
      <c r="I11">
        <v>128057100.7</v>
      </c>
      <c r="J11">
        <v>133571688.55</v>
      </c>
      <c r="K11">
        <v>135184978.44999999</v>
      </c>
      <c r="L11">
        <v>137021473.66999999</v>
      </c>
      <c r="M11">
        <v>140546626.56</v>
      </c>
      <c r="N11">
        <v>144021790.28</v>
      </c>
      <c r="P11" s="148">
        <f t="shared" ref="P11:P20" si="0">AVERAGE(D11:N11)</f>
        <v>127724962.21181817</v>
      </c>
    </row>
    <row r="12" spans="1:17" x14ac:dyDescent="0.3">
      <c r="B12" s="144" t="s">
        <v>16</v>
      </c>
      <c r="C12" t="s">
        <v>320</v>
      </c>
      <c r="D12">
        <v>114124164.51000001</v>
      </c>
      <c r="E12">
        <v>116143487.45</v>
      </c>
      <c r="F12">
        <v>118751830.06</v>
      </c>
      <c r="G12" s="140">
        <v>118375987.06</v>
      </c>
      <c r="H12">
        <v>119336532.91</v>
      </c>
      <c r="I12">
        <v>119621820.36</v>
      </c>
      <c r="J12">
        <v>108703743.59</v>
      </c>
      <c r="K12">
        <v>108681385.98999999</v>
      </c>
      <c r="L12">
        <v>121129671.15000001</v>
      </c>
      <c r="M12">
        <v>122988975.56999999</v>
      </c>
      <c r="N12">
        <v>124667863.09</v>
      </c>
      <c r="P12" s="148">
        <f t="shared" si="0"/>
        <v>117502314.70363636</v>
      </c>
    </row>
    <row r="13" spans="1:17" x14ac:dyDescent="0.3">
      <c r="B13" s="147" t="s">
        <v>8</v>
      </c>
      <c r="C13" t="s">
        <v>321</v>
      </c>
      <c r="D13">
        <v>152176000</v>
      </c>
      <c r="E13">
        <v>156624000</v>
      </c>
      <c r="F13">
        <v>160847000</v>
      </c>
      <c r="G13" s="140">
        <v>164486000</v>
      </c>
      <c r="H13">
        <v>166099000</v>
      </c>
      <c r="I13">
        <v>172987000</v>
      </c>
      <c r="J13">
        <v>179000000</v>
      </c>
      <c r="K13">
        <v>177479000</v>
      </c>
      <c r="L13">
        <v>177481000</v>
      </c>
      <c r="M13">
        <v>182764000</v>
      </c>
      <c r="N13">
        <v>185442000</v>
      </c>
      <c r="P13" s="148">
        <f t="shared" si="0"/>
        <v>170489545.45454547</v>
      </c>
    </row>
    <row r="14" spans="1:17" x14ac:dyDescent="0.3">
      <c r="A14" s="89" t="s">
        <v>6</v>
      </c>
      <c r="B14" s="144" t="s">
        <v>6</v>
      </c>
      <c r="C14" t="s">
        <v>294</v>
      </c>
      <c r="D14">
        <v>771593897.90999997</v>
      </c>
      <c r="E14">
        <v>801578764.01999998</v>
      </c>
      <c r="F14">
        <v>817597881.71000004</v>
      </c>
      <c r="G14" s="140">
        <v>827403094.09000003</v>
      </c>
      <c r="H14">
        <v>850387715.38999999</v>
      </c>
      <c r="I14">
        <v>871349642.37</v>
      </c>
      <c r="J14">
        <v>890461368.60000002</v>
      </c>
      <c r="K14">
        <v>920059627.10000002</v>
      </c>
      <c r="L14">
        <v>940391679.64999998</v>
      </c>
      <c r="M14">
        <v>951853942.13</v>
      </c>
      <c r="N14">
        <v>968214605.69000006</v>
      </c>
      <c r="P14" s="153">
        <f t="shared" si="0"/>
        <v>873717474.42363632</v>
      </c>
    </row>
    <row r="15" spans="1:17" x14ac:dyDescent="0.3">
      <c r="A15" s="89" t="s">
        <v>7</v>
      </c>
      <c r="B15" s="144" t="s">
        <v>7</v>
      </c>
      <c r="C15" t="s">
        <v>290</v>
      </c>
      <c r="D15">
        <v>74424168.030000001</v>
      </c>
      <c r="E15">
        <v>75996817.420000002</v>
      </c>
      <c r="F15">
        <v>78290082.069999993</v>
      </c>
      <c r="G15" s="140">
        <v>80619688.810000002</v>
      </c>
      <c r="H15">
        <v>84705461.560000002</v>
      </c>
      <c r="I15">
        <v>86085671.409999996</v>
      </c>
      <c r="J15">
        <v>89876313.290000007</v>
      </c>
      <c r="K15">
        <v>93270164.700000003</v>
      </c>
      <c r="L15">
        <v>93615514.629999995</v>
      </c>
      <c r="M15">
        <v>95247754.129999995</v>
      </c>
      <c r="N15">
        <v>97412897.980000004</v>
      </c>
      <c r="P15" s="153">
        <f t="shared" si="0"/>
        <v>86322230.36636363</v>
      </c>
    </row>
    <row r="16" spans="1:17" x14ac:dyDescent="0.3">
      <c r="A16" s="89" t="s">
        <v>12</v>
      </c>
      <c r="B16" s="144" t="s">
        <v>12</v>
      </c>
      <c r="C16" t="s">
        <v>296</v>
      </c>
      <c r="D16">
        <v>78662906.769999996</v>
      </c>
      <c r="E16">
        <v>76977916.370000005</v>
      </c>
      <c r="F16">
        <v>76685394.670000002</v>
      </c>
      <c r="G16" s="140">
        <v>84002954.129999995</v>
      </c>
      <c r="H16">
        <v>94772523.859999999</v>
      </c>
      <c r="I16">
        <v>91110751.329999998</v>
      </c>
      <c r="J16">
        <v>85008868.260000005</v>
      </c>
      <c r="K16">
        <v>91027030.409999996</v>
      </c>
      <c r="L16">
        <v>89617111.510000005</v>
      </c>
      <c r="M16">
        <v>96043131.700000003</v>
      </c>
      <c r="N16">
        <v>94347807.689999998</v>
      </c>
      <c r="P16" s="153">
        <f t="shared" si="0"/>
        <v>87114217.88181819</v>
      </c>
    </row>
    <row r="17" spans="1:16" x14ac:dyDescent="0.3">
      <c r="A17" s="89" t="s">
        <v>312</v>
      </c>
      <c r="B17" s="144" t="s">
        <v>21</v>
      </c>
      <c r="C17" t="s">
        <v>289</v>
      </c>
      <c r="D17">
        <v>2764534466.29</v>
      </c>
      <c r="E17">
        <v>2818169870.8299999</v>
      </c>
      <c r="F17">
        <v>2837866603.5700002</v>
      </c>
      <c r="G17" s="140">
        <v>2912244273.2399998</v>
      </c>
      <c r="H17">
        <v>2961411530.0599999</v>
      </c>
      <c r="I17">
        <v>2901856534.3099999</v>
      </c>
      <c r="J17">
        <v>2964206739.6799998</v>
      </c>
      <c r="K17">
        <v>3008964668.8699999</v>
      </c>
      <c r="L17">
        <v>3070650809.1999998</v>
      </c>
      <c r="M17">
        <v>3073689315</v>
      </c>
      <c r="N17">
        <v>3134293897.4899998</v>
      </c>
      <c r="P17" s="153">
        <f t="shared" si="0"/>
        <v>2949808064.4127274</v>
      </c>
    </row>
    <row r="18" spans="1:16" x14ac:dyDescent="0.3">
      <c r="A18" s="89"/>
      <c r="B18" s="144" t="s">
        <v>18</v>
      </c>
      <c r="C18" t="s">
        <v>303</v>
      </c>
      <c r="D18">
        <v>710170906.86000001</v>
      </c>
      <c r="E18">
        <v>728759658.79999995</v>
      </c>
      <c r="F18">
        <v>741847015.19000006</v>
      </c>
      <c r="G18" s="140">
        <v>748439274.37</v>
      </c>
      <c r="H18">
        <v>772591036.76999998</v>
      </c>
      <c r="I18">
        <v>732646116.5</v>
      </c>
      <c r="J18">
        <v>763271238.71000004</v>
      </c>
      <c r="K18">
        <v>760144478.88</v>
      </c>
      <c r="L18">
        <v>774642499.71000004</v>
      </c>
      <c r="M18">
        <v>811384426.42999995</v>
      </c>
      <c r="N18">
        <v>798975306.38999999</v>
      </c>
      <c r="P18" s="148">
        <f t="shared" si="0"/>
        <v>758442905.32818186</v>
      </c>
    </row>
    <row r="19" spans="1:16" x14ac:dyDescent="0.3">
      <c r="B19" s="144" t="s">
        <v>19</v>
      </c>
      <c r="C19" t="s">
        <v>297</v>
      </c>
      <c r="D19">
        <v>737149873.58000004</v>
      </c>
      <c r="E19">
        <v>737705245.75</v>
      </c>
      <c r="F19">
        <v>734077141.25</v>
      </c>
      <c r="G19" s="140">
        <v>737424590.04999995</v>
      </c>
      <c r="H19">
        <v>748898980.73000002</v>
      </c>
      <c r="I19">
        <v>763880184.89999998</v>
      </c>
      <c r="J19">
        <v>755487923.75999999</v>
      </c>
      <c r="K19">
        <v>775114187.35000002</v>
      </c>
      <c r="L19">
        <v>790822525.30999994</v>
      </c>
      <c r="M19">
        <v>788933616.99000001</v>
      </c>
      <c r="N19">
        <v>799999504.87</v>
      </c>
      <c r="P19" s="148">
        <f t="shared" si="0"/>
        <v>760863070.41272724</v>
      </c>
    </row>
    <row r="20" spans="1:16" x14ac:dyDescent="0.3">
      <c r="B20" s="144" t="s">
        <v>20</v>
      </c>
      <c r="C20" t="s">
        <v>292</v>
      </c>
      <c r="D20">
        <v>1016585651.02</v>
      </c>
      <c r="E20">
        <v>1040365471.95</v>
      </c>
      <c r="F20">
        <v>1053773257.0599999</v>
      </c>
      <c r="G20" s="140">
        <v>1123549003.4400001</v>
      </c>
      <c r="H20">
        <v>1136477459.3199999</v>
      </c>
      <c r="I20">
        <v>1112841408.9100001</v>
      </c>
      <c r="J20">
        <v>1136920476.7</v>
      </c>
      <c r="K20">
        <v>1154921581.51</v>
      </c>
      <c r="L20">
        <v>1204689469.9000001</v>
      </c>
      <c r="M20">
        <v>1162118007.9000001</v>
      </c>
      <c r="N20">
        <v>1241557811.3599999</v>
      </c>
      <c r="P20" s="148">
        <f t="shared" si="0"/>
        <v>1125799963.5518181</v>
      </c>
    </row>
    <row r="21" spans="1:16" x14ac:dyDescent="0.3">
      <c r="B21" s="144" t="s">
        <v>316</v>
      </c>
      <c r="C21" t="s">
        <v>321</v>
      </c>
      <c r="P21" s="148">
        <f>P17-P19-P18-P20</f>
        <v>304702125.12000012</v>
      </c>
    </row>
    <row r="22" spans="1:16" x14ac:dyDescent="0.3">
      <c r="A22" s="89" t="s">
        <v>313</v>
      </c>
      <c r="P22" s="153">
        <f>SUM(P23:P25)</f>
        <v>2855573821.4754548</v>
      </c>
    </row>
    <row r="23" spans="1:16" x14ac:dyDescent="0.3">
      <c r="B23" s="144" t="s">
        <v>22</v>
      </c>
      <c r="C23" t="s">
        <v>302</v>
      </c>
      <c r="D23">
        <v>1024322609.46</v>
      </c>
      <c r="E23">
        <v>1059646806.39</v>
      </c>
      <c r="F23">
        <v>1088202159.77</v>
      </c>
      <c r="G23" s="140">
        <v>1091032582.3399999</v>
      </c>
      <c r="H23">
        <v>1107210405.29</v>
      </c>
      <c r="I23">
        <v>1108625153.29</v>
      </c>
      <c r="J23">
        <v>1126757980.3900001</v>
      </c>
      <c r="K23">
        <v>1144095522.26</v>
      </c>
      <c r="L23">
        <v>1160500731.96</v>
      </c>
      <c r="M23">
        <v>1171283105.4400001</v>
      </c>
      <c r="N23">
        <v>1186682488.52</v>
      </c>
      <c r="P23" s="148">
        <f>AVERAGE(D23:N23)</f>
        <v>1115305413.1918185</v>
      </c>
    </row>
    <row r="24" spans="1:16" x14ac:dyDescent="0.3">
      <c r="B24" s="144" t="s">
        <v>23</v>
      </c>
      <c r="C24" t="s">
        <v>291</v>
      </c>
      <c r="D24">
        <v>803773298.33000004</v>
      </c>
      <c r="E24">
        <v>820889496.39999998</v>
      </c>
      <c r="F24">
        <v>835004579.25</v>
      </c>
      <c r="G24" s="140">
        <v>835615039.54999995</v>
      </c>
      <c r="H24">
        <v>844030652.13999999</v>
      </c>
      <c r="I24">
        <v>871386212.08000004</v>
      </c>
      <c r="J24">
        <v>887340208.49000001</v>
      </c>
      <c r="K24">
        <v>905401586.40999997</v>
      </c>
      <c r="L24">
        <v>923994803.41999996</v>
      </c>
      <c r="M24">
        <v>943468204.60000002</v>
      </c>
      <c r="N24">
        <v>951905685.29999995</v>
      </c>
      <c r="P24" s="148">
        <f>AVERAGE(D24:N24)</f>
        <v>874800887.81545448</v>
      </c>
    </row>
    <row r="25" spans="1:16" x14ac:dyDescent="0.3">
      <c r="B25" s="144" t="s">
        <v>317</v>
      </c>
      <c r="C25" t="s">
        <v>298</v>
      </c>
      <c r="D25">
        <v>809952122.95000005</v>
      </c>
      <c r="E25">
        <v>836854751.79999995</v>
      </c>
      <c r="F25">
        <v>836005337.13999999</v>
      </c>
      <c r="G25" s="140">
        <v>836825851.01999998</v>
      </c>
      <c r="H25">
        <v>853715661.87</v>
      </c>
      <c r="I25">
        <v>869601259.25</v>
      </c>
      <c r="J25">
        <v>863272308.88</v>
      </c>
      <c r="K25">
        <v>877596934.35000002</v>
      </c>
      <c r="L25">
        <v>900344780.26999998</v>
      </c>
      <c r="M25">
        <v>908270043.63999999</v>
      </c>
      <c r="N25">
        <v>927703673.98000002</v>
      </c>
      <c r="P25" s="148">
        <f>AVERAGE(D25:N25)</f>
        <v>865467520.46818173</v>
      </c>
    </row>
    <row r="26" spans="1:16" x14ac:dyDescent="0.3">
      <c r="A26" s="89" t="s">
        <v>314</v>
      </c>
      <c r="P26" s="153">
        <f>SUM(P27,P29,P31,P30)</f>
        <v>2857333387.9009089</v>
      </c>
    </row>
    <row r="27" spans="1:16" x14ac:dyDescent="0.3">
      <c r="A27" s="89"/>
      <c r="B27" s="147" t="s">
        <v>322</v>
      </c>
      <c r="C27" s="90" t="s">
        <v>319</v>
      </c>
      <c r="D27">
        <f t="shared" ref="D27:N27" si="1">SUM(D28,D32)</f>
        <v>543800240.57999992</v>
      </c>
      <c r="E27">
        <f t="shared" si="1"/>
        <v>573797763.5999999</v>
      </c>
      <c r="F27">
        <f t="shared" si="1"/>
        <v>587069626.27999997</v>
      </c>
      <c r="G27" s="140">
        <f t="shared" si="1"/>
        <v>601102962.86000001</v>
      </c>
      <c r="H27">
        <f t="shared" si="1"/>
        <v>650912277.59000003</v>
      </c>
      <c r="I27">
        <f t="shared" si="1"/>
        <v>645758887.48000002</v>
      </c>
      <c r="J27">
        <f t="shared" si="1"/>
        <v>643290972.13</v>
      </c>
      <c r="K27">
        <f t="shared" si="1"/>
        <v>658392496.38</v>
      </c>
      <c r="L27">
        <f t="shared" si="1"/>
        <v>688515309.02999997</v>
      </c>
      <c r="M27">
        <f t="shared" si="1"/>
        <v>678145985.21000004</v>
      </c>
      <c r="N27">
        <f t="shared" si="1"/>
        <v>704934626.28999996</v>
      </c>
      <c r="P27" s="148">
        <f t="shared" ref="P27:P32" si="2">AVERAGE(D27:N27)</f>
        <v>634156467.94818175</v>
      </c>
    </row>
    <row r="28" spans="1:16" x14ac:dyDescent="0.3">
      <c r="B28" s="147" t="s">
        <v>323</v>
      </c>
      <c r="C28" t="s">
        <v>305</v>
      </c>
      <c r="D28">
        <v>198129627.88</v>
      </c>
      <c r="E28">
        <v>204136370.13999999</v>
      </c>
      <c r="F28">
        <v>208906351.44</v>
      </c>
      <c r="G28" s="140">
        <v>210889176.13</v>
      </c>
      <c r="H28">
        <v>232124498.91</v>
      </c>
      <c r="I28">
        <v>235690350.61000001</v>
      </c>
      <c r="J28">
        <v>237156491.80000001</v>
      </c>
      <c r="K28">
        <v>240964388.75999999</v>
      </c>
      <c r="L28">
        <v>252478866.09</v>
      </c>
      <c r="M28">
        <v>250896839.25999999</v>
      </c>
      <c r="N28">
        <v>258366085.34999999</v>
      </c>
      <c r="P28" s="148">
        <f t="shared" si="2"/>
        <v>229976276.94272727</v>
      </c>
    </row>
    <row r="29" spans="1:16" x14ac:dyDescent="0.3">
      <c r="B29" s="144" t="s">
        <v>271</v>
      </c>
      <c r="C29" t="s">
        <v>300</v>
      </c>
      <c r="D29">
        <v>2150009892.9400001</v>
      </c>
      <c r="E29">
        <v>2156754960.3800001</v>
      </c>
      <c r="F29">
        <v>2115236668.24</v>
      </c>
      <c r="G29" s="140">
        <v>2159563463.6799998</v>
      </c>
      <c r="H29">
        <v>2151088690.8800001</v>
      </c>
      <c r="I29">
        <v>2206948734.27</v>
      </c>
      <c r="J29">
        <v>2240870174.9000001</v>
      </c>
      <c r="K29">
        <v>2131626060.53</v>
      </c>
      <c r="L29">
        <v>2133302717.47</v>
      </c>
      <c r="M29">
        <v>2186386779.9499998</v>
      </c>
      <c r="N29">
        <v>2307887711.0900002</v>
      </c>
      <c r="P29" s="148">
        <f t="shared" si="2"/>
        <v>2176334168.5754547</v>
      </c>
    </row>
    <row r="30" spans="1:16" x14ac:dyDescent="0.3">
      <c r="B30" s="144" t="s">
        <v>318</v>
      </c>
      <c r="C30" t="s">
        <v>304</v>
      </c>
      <c r="D30">
        <v>31051456.940000001</v>
      </c>
      <c r="E30">
        <v>32386764.289999999</v>
      </c>
      <c r="F30">
        <v>28650656.329999998</v>
      </c>
      <c r="G30" s="140">
        <v>29546759.170000002</v>
      </c>
      <c r="H30">
        <v>31799092.789999999</v>
      </c>
      <c r="I30">
        <v>31124854.59</v>
      </c>
      <c r="J30">
        <v>35378885.259999998</v>
      </c>
      <c r="K30">
        <v>31881675.710000001</v>
      </c>
      <c r="L30">
        <v>32611725.359999999</v>
      </c>
      <c r="M30">
        <v>31389974.370000001</v>
      </c>
      <c r="N30">
        <v>32088084.949999999</v>
      </c>
      <c r="P30" s="148">
        <f t="shared" si="2"/>
        <v>31628175.432727274</v>
      </c>
    </row>
    <row r="31" spans="1:16" x14ac:dyDescent="0.3">
      <c r="B31" s="144" t="s">
        <v>224</v>
      </c>
      <c r="C31" t="s">
        <v>301</v>
      </c>
      <c r="D31">
        <v>12985646.5</v>
      </c>
      <c r="E31">
        <v>13149740.74</v>
      </c>
      <c r="F31">
        <v>13972373.34</v>
      </c>
      <c r="G31" s="140">
        <v>14121630.310000001</v>
      </c>
      <c r="H31">
        <v>14769563.17</v>
      </c>
      <c r="I31">
        <v>15055461.390000001</v>
      </c>
      <c r="J31">
        <v>15380346.439999999</v>
      </c>
      <c r="K31">
        <v>16771792.01</v>
      </c>
      <c r="L31">
        <v>17011079.43</v>
      </c>
      <c r="M31">
        <v>16981218.289999999</v>
      </c>
      <c r="N31">
        <v>17161483.77</v>
      </c>
      <c r="P31" s="148">
        <f t="shared" si="2"/>
        <v>15214575.944545455</v>
      </c>
    </row>
    <row r="32" spans="1:16" x14ac:dyDescent="0.3">
      <c r="C32" t="s">
        <v>295</v>
      </c>
      <c r="D32">
        <v>345670612.69999999</v>
      </c>
      <c r="E32">
        <v>369661393.45999998</v>
      </c>
      <c r="F32">
        <v>378163274.83999997</v>
      </c>
      <c r="G32" s="140">
        <v>390213786.73000002</v>
      </c>
      <c r="H32">
        <v>418787778.68000001</v>
      </c>
      <c r="I32">
        <v>410068536.87</v>
      </c>
      <c r="J32">
        <v>406134480.32999998</v>
      </c>
      <c r="K32">
        <v>417428107.62</v>
      </c>
      <c r="L32">
        <v>436036442.94</v>
      </c>
      <c r="M32">
        <v>427249145.94999999</v>
      </c>
      <c r="N32">
        <v>446568540.94</v>
      </c>
      <c r="P32" s="148">
        <f t="shared" si="2"/>
        <v>404180191.00545448</v>
      </c>
    </row>
    <row r="34" spans="1:3" x14ac:dyDescent="0.3">
      <c r="A34" s="146" t="s">
        <v>324</v>
      </c>
    </row>
    <row r="35" spans="1:3" x14ac:dyDescent="0.3">
      <c r="A35" s="149" t="s">
        <v>310</v>
      </c>
      <c r="B35" s="150"/>
      <c r="C35" s="150"/>
    </row>
    <row r="36" spans="1:3" x14ac:dyDescent="0.3">
      <c r="B36" s="144" t="s">
        <v>14</v>
      </c>
      <c r="C36" t="s">
        <v>288</v>
      </c>
    </row>
    <row r="37" spans="1:3" x14ac:dyDescent="0.3">
      <c r="B37" s="144" t="s">
        <v>315</v>
      </c>
      <c r="C37" t="s">
        <v>299</v>
      </c>
    </row>
    <row r="38" spans="1:3" x14ac:dyDescent="0.3">
      <c r="A38" s="89" t="s">
        <v>311</v>
      </c>
    </row>
    <row r="39" spans="1:3" x14ac:dyDescent="0.3">
      <c r="B39" s="144" t="s">
        <v>15</v>
      </c>
      <c r="C39" t="s">
        <v>293</v>
      </c>
    </row>
    <row r="40" spans="1:3" x14ac:dyDescent="0.3">
      <c r="B40" s="144" t="s">
        <v>16</v>
      </c>
      <c r="C40" t="s">
        <v>320</v>
      </c>
    </row>
    <row r="41" spans="1:3" x14ac:dyDescent="0.3">
      <c r="B41" s="147" t="s">
        <v>8</v>
      </c>
      <c r="C41" t="s">
        <v>321</v>
      </c>
    </row>
    <row r="42" spans="1:3" x14ac:dyDescent="0.3">
      <c r="A42" s="89" t="s">
        <v>6</v>
      </c>
      <c r="B42" s="144" t="s">
        <v>6</v>
      </c>
      <c r="C42" t="s">
        <v>294</v>
      </c>
    </row>
    <row r="43" spans="1:3" x14ac:dyDescent="0.3">
      <c r="A43" s="89" t="s">
        <v>7</v>
      </c>
      <c r="B43" s="144" t="s">
        <v>7</v>
      </c>
      <c r="C43" t="s">
        <v>290</v>
      </c>
    </row>
    <row r="44" spans="1:3" x14ac:dyDescent="0.3">
      <c r="A44" s="89" t="s">
        <v>12</v>
      </c>
      <c r="B44" s="144" t="s">
        <v>12</v>
      </c>
      <c r="C44" t="s">
        <v>296</v>
      </c>
    </row>
    <row r="45" spans="1:3" x14ac:dyDescent="0.3">
      <c r="A45" s="89" t="s">
        <v>312</v>
      </c>
      <c r="B45" s="144" t="s">
        <v>21</v>
      </c>
      <c r="C45" t="s">
        <v>289</v>
      </c>
    </row>
    <row r="46" spans="1:3" x14ac:dyDescent="0.3">
      <c r="A46" s="89"/>
      <c r="B46" s="144" t="s">
        <v>18</v>
      </c>
      <c r="C46" t="s">
        <v>303</v>
      </c>
    </row>
    <row r="47" spans="1:3" x14ac:dyDescent="0.3">
      <c r="B47" s="144" t="s">
        <v>19</v>
      </c>
      <c r="C47" t="s">
        <v>297</v>
      </c>
    </row>
    <row r="48" spans="1:3" x14ac:dyDescent="0.3">
      <c r="B48" s="144" t="s">
        <v>20</v>
      </c>
      <c r="C48" t="s">
        <v>292</v>
      </c>
    </row>
    <row r="49" spans="1:3" x14ac:dyDescent="0.3">
      <c r="B49" s="144" t="s">
        <v>316</v>
      </c>
      <c r="C49" t="s">
        <v>321</v>
      </c>
    </row>
    <row r="50" spans="1:3" x14ac:dyDescent="0.3">
      <c r="A50" s="89" t="s">
        <v>313</v>
      </c>
    </row>
    <row r="51" spans="1:3" x14ac:dyDescent="0.3">
      <c r="B51" s="144" t="s">
        <v>22</v>
      </c>
      <c r="C51" t="s">
        <v>302</v>
      </c>
    </row>
    <row r="52" spans="1:3" x14ac:dyDescent="0.3">
      <c r="B52" s="144" t="s">
        <v>23</v>
      </c>
      <c r="C52" t="s">
        <v>291</v>
      </c>
    </row>
    <row r="53" spans="1:3" x14ac:dyDescent="0.3">
      <c r="B53" s="144" t="s">
        <v>317</v>
      </c>
      <c r="C53" t="s">
        <v>298</v>
      </c>
    </row>
    <row r="54" spans="1:3" x14ac:dyDescent="0.3">
      <c r="A54" s="89" t="s">
        <v>314</v>
      </c>
    </row>
    <row r="55" spans="1:3" x14ac:dyDescent="0.3">
      <c r="A55" s="89"/>
      <c r="B55" s="147" t="s">
        <v>322</v>
      </c>
      <c r="C55" s="90" t="s">
        <v>319</v>
      </c>
    </row>
    <row r="56" spans="1:3" x14ac:dyDescent="0.3">
      <c r="B56" s="147" t="s">
        <v>323</v>
      </c>
      <c r="C56" t="s">
        <v>305</v>
      </c>
    </row>
    <row r="57" spans="1:3" x14ac:dyDescent="0.3">
      <c r="B57" s="144" t="s">
        <v>271</v>
      </c>
      <c r="C57" t="s">
        <v>300</v>
      </c>
    </row>
    <row r="58" spans="1:3" x14ac:dyDescent="0.3">
      <c r="B58" s="144" t="s">
        <v>224</v>
      </c>
      <c r="C58" t="s">
        <v>301</v>
      </c>
    </row>
    <row r="59" spans="1:3" x14ac:dyDescent="0.3">
      <c r="B59" s="144" t="s">
        <v>318</v>
      </c>
      <c r="C59" t="s">
        <v>304</v>
      </c>
    </row>
    <row r="60" spans="1:3" x14ac:dyDescent="0.3">
      <c r="C60" t="s">
        <v>295</v>
      </c>
    </row>
    <row r="62" spans="1:3" x14ac:dyDescent="0.3">
      <c r="A62" s="146" t="s">
        <v>325</v>
      </c>
    </row>
    <row r="63" spans="1:3" x14ac:dyDescent="0.3">
      <c r="A63" s="149" t="s">
        <v>310</v>
      </c>
      <c r="B63" s="150"/>
      <c r="C63" s="150"/>
    </row>
    <row r="64" spans="1:3" x14ac:dyDescent="0.3">
      <c r="B64" s="144" t="s">
        <v>14</v>
      </c>
      <c r="C64" t="s">
        <v>288</v>
      </c>
    </row>
    <row r="65" spans="1:3" x14ac:dyDescent="0.3">
      <c r="B65" s="144" t="s">
        <v>315</v>
      </c>
      <c r="C65" t="s">
        <v>299</v>
      </c>
    </row>
    <row r="66" spans="1:3" x14ac:dyDescent="0.3">
      <c r="A66" s="89" t="s">
        <v>311</v>
      </c>
    </row>
    <row r="67" spans="1:3" x14ac:dyDescent="0.3">
      <c r="B67" s="144" t="s">
        <v>15</v>
      </c>
      <c r="C67" t="s">
        <v>293</v>
      </c>
    </row>
    <row r="68" spans="1:3" x14ac:dyDescent="0.3">
      <c r="B68" s="144" t="s">
        <v>16</v>
      </c>
      <c r="C68" t="s">
        <v>320</v>
      </c>
    </row>
    <row r="69" spans="1:3" x14ac:dyDescent="0.3">
      <c r="B69" s="147" t="s">
        <v>8</v>
      </c>
      <c r="C69" t="s">
        <v>321</v>
      </c>
    </row>
    <row r="70" spans="1:3" x14ac:dyDescent="0.3">
      <c r="A70" s="89" t="s">
        <v>6</v>
      </c>
      <c r="B70" s="144" t="s">
        <v>6</v>
      </c>
      <c r="C70" t="s">
        <v>294</v>
      </c>
    </row>
    <row r="71" spans="1:3" x14ac:dyDescent="0.3">
      <c r="A71" s="89" t="s">
        <v>7</v>
      </c>
      <c r="B71" s="144" t="s">
        <v>7</v>
      </c>
      <c r="C71" t="s">
        <v>290</v>
      </c>
    </row>
    <row r="72" spans="1:3" x14ac:dyDescent="0.3">
      <c r="A72" s="89" t="s">
        <v>12</v>
      </c>
      <c r="B72" s="144" t="s">
        <v>12</v>
      </c>
      <c r="C72" t="s">
        <v>296</v>
      </c>
    </row>
    <row r="73" spans="1:3" x14ac:dyDescent="0.3">
      <c r="A73" s="89" t="s">
        <v>312</v>
      </c>
      <c r="B73" s="144" t="s">
        <v>21</v>
      </c>
      <c r="C73" t="s">
        <v>289</v>
      </c>
    </row>
    <row r="74" spans="1:3" x14ac:dyDescent="0.3">
      <c r="A74" s="89"/>
      <c r="B74" s="144" t="s">
        <v>18</v>
      </c>
      <c r="C74" t="s">
        <v>303</v>
      </c>
    </row>
    <row r="75" spans="1:3" x14ac:dyDescent="0.3">
      <c r="B75" s="144" t="s">
        <v>19</v>
      </c>
      <c r="C75" t="s">
        <v>297</v>
      </c>
    </row>
    <row r="76" spans="1:3" x14ac:dyDescent="0.3">
      <c r="B76" s="144" t="s">
        <v>20</v>
      </c>
      <c r="C76" t="s">
        <v>292</v>
      </c>
    </row>
    <row r="77" spans="1:3" x14ac:dyDescent="0.3">
      <c r="B77" s="144" t="s">
        <v>316</v>
      </c>
      <c r="C77" t="s">
        <v>321</v>
      </c>
    </row>
    <row r="78" spans="1:3" x14ac:dyDescent="0.3">
      <c r="A78" s="89" t="s">
        <v>313</v>
      </c>
    </row>
    <row r="79" spans="1:3" x14ac:dyDescent="0.3">
      <c r="B79" s="144" t="s">
        <v>22</v>
      </c>
      <c r="C79" t="s">
        <v>302</v>
      </c>
    </row>
    <row r="80" spans="1:3" x14ac:dyDescent="0.3">
      <c r="B80" s="144" t="s">
        <v>23</v>
      </c>
      <c r="C80" t="s">
        <v>291</v>
      </c>
    </row>
    <row r="81" spans="1:3" x14ac:dyDescent="0.3">
      <c r="B81" s="144" t="s">
        <v>317</v>
      </c>
      <c r="C81" t="s">
        <v>298</v>
      </c>
    </row>
    <row r="82" spans="1:3" x14ac:dyDescent="0.3">
      <c r="A82" s="89" t="s">
        <v>314</v>
      </c>
    </row>
    <row r="83" spans="1:3" x14ac:dyDescent="0.3">
      <c r="A83" s="89"/>
      <c r="B83" s="147" t="s">
        <v>322</v>
      </c>
      <c r="C83" s="90" t="s">
        <v>319</v>
      </c>
    </row>
    <row r="84" spans="1:3" x14ac:dyDescent="0.3">
      <c r="B84" s="147" t="s">
        <v>323</v>
      </c>
      <c r="C84" t="s">
        <v>305</v>
      </c>
    </row>
    <row r="85" spans="1:3" x14ac:dyDescent="0.3">
      <c r="B85" s="144" t="s">
        <v>271</v>
      </c>
      <c r="C85" t="s">
        <v>300</v>
      </c>
    </row>
    <row r="86" spans="1:3" x14ac:dyDescent="0.3">
      <c r="B86" s="144" t="s">
        <v>224</v>
      </c>
      <c r="C86" t="s">
        <v>301</v>
      </c>
    </row>
    <row r="87" spans="1:3" x14ac:dyDescent="0.3">
      <c r="B87" s="144" t="s">
        <v>318</v>
      </c>
      <c r="C87" t="s">
        <v>304</v>
      </c>
    </row>
    <row r="88" spans="1:3" x14ac:dyDescent="0.3">
      <c r="C88" t="s">
        <v>295</v>
      </c>
    </row>
  </sheetData>
  <hyperlinks>
    <hyperlink ref="A2" r:id="rId1" location="data/QCL" xr:uid="{946C94A9-EEE2-47DD-98F6-9A2797AF64D8}"/>
  </hyperlinks>
  <pageMargins left="0.7" right="0.7" top="0.75" bottom="0.75" header="0.3" footer="0.3"/>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4F7E1-2728-4AA0-924E-31014798477C}">
  <dimension ref="A1:T97"/>
  <sheetViews>
    <sheetView topLeftCell="D1" zoomScale="85" zoomScaleNormal="85" workbookViewId="0">
      <selection activeCell="V23" sqref="V23"/>
    </sheetView>
  </sheetViews>
  <sheetFormatPr defaultRowHeight="14.4" x14ac:dyDescent="0.3"/>
  <cols>
    <col min="1" max="1" width="14.5546875" customWidth="1"/>
    <col min="2" max="2" width="22" customWidth="1"/>
    <col min="3" max="3" width="15.44140625" customWidth="1"/>
    <col min="9" max="9" width="11.44140625" customWidth="1"/>
    <col min="13" max="13" width="8.88671875" style="160"/>
    <col min="18" max="18" width="29" customWidth="1"/>
    <col min="19" max="19" width="14.5546875" customWidth="1"/>
    <col min="20" max="20" width="19.21875" customWidth="1"/>
  </cols>
  <sheetData>
    <row r="1" spans="1:20" x14ac:dyDescent="0.3">
      <c r="C1" t="s">
        <v>342</v>
      </c>
    </row>
    <row r="3" spans="1:20" x14ac:dyDescent="0.3">
      <c r="C3" s="196" t="s">
        <v>328</v>
      </c>
      <c r="D3" s="167" t="s">
        <v>340</v>
      </c>
      <c r="I3" s="194" t="s">
        <v>338</v>
      </c>
      <c r="J3" s="167" t="s">
        <v>341</v>
      </c>
      <c r="M3" s="161" t="s">
        <v>210</v>
      </c>
      <c r="N3" s="133" t="s">
        <v>211</v>
      </c>
    </row>
    <row r="4" spans="1:20" ht="14.4" customHeight="1" x14ac:dyDescent="0.3">
      <c r="A4" s="89" t="s">
        <v>273</v>
      </c>
      <c r="B4" s="134" t="s">
        <v>213</v>
      </c>
      <c r="C4" s="196"/>
      <c r="D4" s="166" t="s">
        <v>339</v>
      </c>
      <c r="E4" s="166" t="s">
        <v>346</v>
      </c>
      <c r="F4" s="155" t="s">
        <v>858</v>
      </c>
      <c r="G4" s="155" t="s">
        <v>859</v>
      </c>
      <c r="H4" s="155" t="s">
        <v>860</v>
      </c>
      <c r="I4" s="194"/>
      <c r="J4" s="166" t="s">
        <v>339</v>
      </c>
      <c r="M4" s="162" t="s">
        <v>212</v>
      </c>
      <c r="N4" s="132" t="s">
        <v>212</v>
      </c>
      <c r="R4" t="s">
        <v>343</v>
      </c>
      <c r="S4" t="s">
        <v>344</v>
      </c>
      <c r="T4" s="89" t="s">
        <v>345</v>
      </c>
    </row>
    <row r="5" spans="1:20" x14ac:dyDescent="0.3">
      <c r="A5" s="138" t="s">
        <v>81</v>
      </c>
      <c r="B5" t="s">
        <v>214</v>
      </c>
      <c r="C5" s="156">
        <v>482152</v>
      </c>
      <c r="D5" s="158">
        <v>567</v>
      </c>
      <c r="E5" s="158">
        <v>28918</v>
      </c>
      <c r="F5" s="158">
        <v>249</v>
      </c>
      <c r="G5" s="158">
        <v>8.1999999999999993</v>
      </c>
      <c r="H5" s="158">
        <v>1.2</v>
      </c>
      <c r="I5" s="158">
        <v>502601</v>
      </c>
      <c r="J5" s="158">
        <v>568</v>
      </c>
      <c r="M5" s="163">
        <v>647.5</v>
      </c>
      <c r="N5" s="49">
        <v>33385.599999999999</v>
      </c>
      <c r="Q5" t="s">
        <v>82</v>
      </c>
      <c r="R5" cm="1">
        <f t="array" ref="R5">SUMPRODUCT((A$5:A$58=Q5)*(C$5:C$58*1000*1000)*(D$5:D$58)) / 1000</f>
        <v>58710729000</v>
      </c>
      <c r="S5" cm="1">
        <f t="array" ref="S5">SUMPRODUCT((A$5:A$58=Q5)*(C$5:C$58*1000))</f>
        <v>61384000</v>
      </c>
      <c r="T5">
        <f>R5/S5</f>
        <v>956.45003583995833</v>
      </c>
    </row>
    <row r="6" spans="1:20" x14ac:dyDescent="0.3">
      <c r="A6" s="138" t="s">
        <v>81</v>
      </c>
      <c r="B6" t="s">
        <v>215</v>
      </c>
      <c r="C6" s="156">
        <v>194554</v>
      </c>
      <c r="D6" s="158">
        <v>120</v>
      </c>
      <c r="E6" s="158">
        <v>6007</v>
      </c>
      <c r="F6" s="158"/>
      <c r="G6" s="158"/>
      <c r="H6" s="158"/>
      <c r="I6" s="158">
        <v>372539</v>
      </c>
      <c r="J6" s="158">
        <v>120</v>
      </c>
      <c r="M6" s="163">
        <v>215.7</v>
      </c>
      <c r="N6" s="49">
        <v>10863.3</v>
      </c>
      <c r="Q6" t="s">
        <v>83</v>
      </c>
      <c r="R6" cm="1">
        <f t="array" ref="R6">SUMPRODUCT((A$5:A$58=Q6)*(C$5:C$58*1000*1000)*(D$5:D$58)) / 1000</f>
        <v>234481629000</v>
      </c>
      <c r="S6" cm="1">
        <f t="array" ref="S6">SUMPRODUCT((A$5:A$58=Q6)*(C$5:C$58*1000))</f>
        <v>337534000</v>
      </c>
      <c r="T6">
        <f t="shared" ref="T6:T12" si="0">R6/S6</f>
        <v>694.69039859688212</v>
      </c>
    </row>
    <row r="7" spans="1:20" x14ac:dyDescent="0.3">
      <c r="A7" s="138" t="s">
        <v>81</v>
      </c>
      <c r="B7" t="s">
        <v>216</v>
      </c>
      <c r="C7" s="156">
        <v>206523</v>
      </c>
      <c r="D7" s="158">
        <v>15</v>
      </c>
      <c r="E7" s="158">
        <v>604</v>
      </c>
      <c r="F7" s="158"/>
      <c r="G7" s="158"/>
      <c r="H7" s="158"/>
      <c r="I7" s="158">
        <v>206828</v>
      </c>
      <c r="J7" s="158">
        <v>14</v>
      </c>
      <c r="M7" s="163">
        <v>17.100000000000001</v>
      </c>
      <c r="N7" s="49">
        <v>696.4</v>
      </c>
      <c r="Q7" t="s">
        <v>6</v>
      </c>
      <c r="R7" cm="1">
        <f t="array" ref="R7">SUMPRODUCT((A$5:A$58=Q7)*(C$5:C$58*1000*1000)*(D$5:D$58)) / 1000</f>
        <v>417371760000</v>
      </c>
      <c r="S7" cm="1">
        <f t="array" ref="S7">SUMPRODUCT((A$5:A$58=Q7)*(C$5:C$58*1000))</f>
        <v>545548000</v>
      </c>
      <c r="T7">
        <f t="shared" si="0"/>
        <v>765.0504813508619</v>
      </c>
    </row>
    <row r="8" spans="1:20" x14ac:dyDescent="0.3">
      <c r="A8" s="138" t="s">
        <v>81</v>
      </c>
      <c r="B8" t="s">
        <v>217</v>
      </c>
      <c r="C8" s="156">
        <v>4463</v>
      </c>
      <c r="D8" s="158">
        <v>302</v>
      </c>
      <c r="E8" s="158">
        <v>11774</v>
      </c>
      <c r="F8" s="158"/>
      <c r="G8" s="158"/>
      <c r="H8" s="158"/>
      <c r="I8" s="158">
        <v>4485</v>
      </c>
      <c r="J8" s="158">
        <v>299</v>
      </c>
      <c r="M8" s="163">
        <v>482.4</v>
      </c>
      <c r="N8" s="49">
        <v>18786.2</v>
      </c>
      <c r="Q8" t="s">
        <v>7</v>
      </c>
      <c r="R8" cm="1">
        <f t="array" ref="R8">SUMPRODUCT((A$5:A$58=Q8)*(C$5:C$58*1000*1000)*(D$5:D$58)) / 1000</f>
        <v>35299884000</v>
      </c>
      <c r="S8" cm="1">
        <f t="array" ref="S8">SUMPRODUCT((A$5:A$58=Q8)*(C$5:C$58*1000))</f>
        <v>63489000</v>
      </c>
      <c r="T8">
        <f t="shared" si="0"/>
        <v>556</v>
      </c>
    </row>
    <row r="9" spans="1:20" x14ac:dyDescent="0.3">
      <c r="A9" s="138" t="s">
        <v>81</v>
      </c>
      <c r="B9" t="s">
        <v>19</v>
      </c>
      <c r="C9" s="156">
        <v>397780</v>
      </c>
      <c r="D9" s="158">
        <v>1962</v>
      </c>
      <c r="E9" s="158">
        <v>43275</v>
      </c>
      <c r="F9" s="158"/>
      <c r="G9" s="158"/>
      <c r="H9" s="158"/>
      <c r="I9" s="158">
        <v>413660</v>
      </c>
      <c r="J9" s="158">
        <v>1963</v>
      </c>
      <c r="M9" s="163">
        <v>2248.4</v>
      </c>
      <c r="N9" s="49">
        <v>49576.3</v>
      </c>
      <c r="Q9" t="s">
        <v>12</v>
      </c>
      <c r="R9" cm="1">
        <f t="array" ref="R9">SUMPRODUCT((A$5:A$58=Q9)*(C$5:C$58*1000*1000)*(D$5:D$58)) / 1000</f>
        <v>17693638000</v>
      </c>
      <c r="S9" cm="1">
        <f t="array" ref="S9">SUMPRODUCT((A$5:A$58=Q9)*(C$5:C$58*1000))</f>
        <v>48791000</v>
      </c>
      <c r="T9">
        <f t="shared" si="0"/>
        <v>362.64142977188413</v>
      </c>
    </row>
    <row r="10" spans="1:20" x14ac:dyDescent="0.3">
      <c r="A10" s="138" t="s">
        <v>84</v>
      </c>
      <c r="B10" t="s">
        <v>218</v>
      </c>
      <c r="C10" s="156">
        <v>332343</v>
      </c>
      <c r="D10" s="158">
        <v>43</v>
      </c>
      <c r="E10" s="158">
        <v>2027</v>
      </c>
      <c r="F10" s="158"/>
      <c r="G10" s="158"/>
      <c r="H10" s="158"/>
      <c r="I10" s="158">
        <v>340906</v>
      </c>
      <c r="J10" s="158">
        <v>43</v>
      </c>
      <c r="M10" s="163">
        <v>59.1</v>
      </c>
      <c r="N10" s="49">
        <v>2754.2</v>
      </c>
      <c r="Q10" t="s">
        <v>81</v>
      </c>
      <c r="R10" cm="1">
        <f t="array" ref="R10">SUMPRODUCT((A$5:A$58=Q10)*(C$5:C$58*1000*1000)*(D$5:D$58)) / 1000</f>
        <v>1124348851000</v>
      </c>
      <c r="S10" cm="1">
        <f t="array" ref="S10">SUMPRODUCT((A$5:A$58=Q10)*(C$5:C$58*1000))</f>
        <v>1383034000</v>
      </c>
      <c r="T10">
        <f t="shared" si="0"/>
        <v>812.95821433167953</v>
      </c>
    </row>
    <row r="11" spans="1:20" x14ac:dyDescent="0.3">
      <c r="A11" s="138" t="s">
        <v>84</v>
      </c>
      <c r="B11" t="s">
        <v>219</v>
      </c>
      <c r="C11" s="156">
        <v>173814</v>
      </c>
      <c r="D11" s="158">
        <v>0</v>
      </c>
      <c r="E11" s="158">
        <v>0</v>
      </c>
      <c r="F11" s="158"/>
      <c r="G11" s="158"/>
      <c r="H11" s="158"/>
      <c r="I11" s="158">
        <v>213351</v>
      </c>
      <c r="J11" s="158">
        <v>0</v>
      </c>
      <c r="M11" s="163">
        <v>0</v>
      </c>
      <c r="N11" s="49">
        <v>0</v>
      </c>
      <c r="Q11" t="s">
        <v>84</v>
      </c>
      <c r="R11" cm="1">
        <f t="array" ref="R11">SUMPRODUCT((A$5:A$58=Q11)*(C$5:C$58*1000*1000)*(D$5:D$58)) / 1000</f>
        <v>189187016000</v>
      </c>
      <c r="S11" cm="1">
        <f t="array" ref="S11">SUMPRODUCT((A$5:A$58=Q11)*(C$5:C$58*1000))</f>
        <v>2136032000</v>
      </c>
      <c r="T11">
        <f t="shared" si="0"/>
        <v>88.569373492531952</v>
      </c>
    </row>
    <row r="12" spans="1:20" x14ac:dyDescent="0.3">
      <c r="A12" s="138" t="s">
        <v>85</v>
      </c>
      <c r="B12" t="s">
        <v>220</v>
      </c>
      <c r="C12" s="156">
        <v>141702</v>
      </c>
      <c r="D12" s="158">
        <v>492</v>
      </c>
      <c r="E12" s="158">
        <v>13096</v>
      </c>
      <c r="F12" s="158"/>
      <c r="G12" s="158"/>
      <c r="H12" s="158"/>
      <c r="I12" s="158">
        <v>199238</v>
      </c>
      <c r="J12" s="158">
        <v>599</v>
      </c>
      <c r="M12" s="163">
        <v>620.1</v>
      </c>
      <c r="N12" s="49">
        <v>16438.599999999999</v>
      </c>
      <c r="Q12" t="s">
        <v>85</v>
      </c>
      <c r="R12" cm="1">
        <f t="array" ref="R12">SUMPRODUCT((A$5:A$58=Q12)*(C$5:C$58*1000*1000)*(D$5:D$58)) / 1000</f>
        <v>162143091000</v>
      </c>
      <c r="S12" cm="1">
        <f t="array" ref="S12">SUMPRODUCT((A$5:A$58=Q12)*(C$5:C$58*1000))</f>
        <v>384551000</v>
      </c>
      <c r="T12">
        <f t="shared" si="0"/>
        <v>421.6426195745168</v>
      </c>
    </row>
    <row r="13" spans="1:20" ht="14.4" customHeight="1" x14ac:dyDescent="0.3">
      <c r="A13" s="138" t="s">
        <v>85</v>
      </c>
      <c r="B13" t="s">
        <v>221</v>
      </c>
      <c r="C13" s="156">
        <v>34038</v>
      </c>
      <c r="D13" s="158">
        <v>170</v>
      </c>
      <c r="E13" s="158">
        <v>7413</v>
      </c>
      <c r="F13" s="158"/>
      <c r="G13" s="158"/>
      <c r="H13" s="158"/>
      <c r="I13" s="158">
        <v>66972</v>
      </c>
      <c r="J13" s="158">
        <v>199</v>
      </c>
      <c r="M13" s="163">
        <v>217.7</v>
      </c>
      <c r="N13" s="49">
        <v>9493.2999999999993</v>
      </c>
    </row>
    <row r="14" spans="1:20" x14ac:dyDescent="0.3">
      <c r="A14" s="138" t="s">
        <v>12</v>
      </c>
      <c r="B14" t="s">
        <v>222</v>
      </c>
      <c r="C14" s="156">
        <v>42765</v>
      </c>
      <c r="D14" s="158">
        <v>364</v>
      </c>
      <c r="E14" s="158">
        <v>18670</v>
      </c>
      <c r="F14" s="158"/>
      <c r="G14" s="158"/>
      <c r="H14" s="158"/>
      <c r="I14" s="158">
        <v>43390</v>
      </c>
      <c r="J14" s="158">
        <v>364</v>
      </c>
      <c r="M14" s="163">
        <v>435.7</v>
      </c>
      <c r="N14" s="49">
        <v>22477.4</v>
      </c>
    </row>
    <row r="15" spans="1:20" x14ac:dyDescent="0.3">
      <c r="A15" s="138" t="s">
        <v>12</v>
      </c>
      <c r="B15" t="s">
        <v>223</v>
      </c>
      <c r="C15" s="156">
        <v>6026</v>
      </c>
      <c r="D15" s="158">
        <v>353</v>
      </c>
      <c r="E15" s="158">
        <v>24856</v>
      </c>
      <c r="F15" s="158"/>
      <c r="G15" s="158"/>
      <c r="H15" s="158"/>
      <c r="I15" s="158">
        <v>6080</v>
      </c>
      <c r="J15" s="158">
        <v>342</v>
      </c>
      <c r="M15" s="163">
        <v>396.6</v>
      </c>
      <c r="N15" s="49">
        <v>27948.2</v>
      </c>
      <c r="R15" t="s">
        <v>347</v>
      </c>
      <c r="S15" t="s">
        <v>344</v>
      </c>
      <c r="T15" s="89" t="s">
        <v>348</v>
      </c>
    </row>
    <row r="16" spans="1:20" x14ac:dyDescent="0.3">
      <c r="A16" s="138" t="s">
        <v>85</v>
      </c>
      <c r="B16" t="s">
        <v>224</v>
      </c>
      <c r="C16" s="156">
        <v>15296</v>
      </c>
      <c r="D16" s="158">
        <v>1914</v>
      </c>
      <c r="E16" s="158">
        <v>106382</v>
      </c>
      <c r="F16" s="158"/>
      <c r="G16" s="158"/>
      <c r="H16" s="158"/>
      <c r="I16" s="158">
        <v>15383</v>
      </c>
      <c r="J16" s="158">
        <v>1927</v>
      </c>
      <c r="M16" s="163">
        <v>4133.8</v>
      </c>
      <c r="N16" s="49">
        <v>229889.8</v>
      </c>
      <c r="Q16" t="s">
        <v>82</v>
      </c>
      <c r="R16" cm="1">
        <f t="array" ref="R16">SUMPRODUCT((A$5:A$58=Q16)*(C$5:C$58*1000*1000)*(E$5:E$58)) / 1000</f>
        <v>2364471288000</v>
      </c>
      <c r="S16" cm="1">
        <f t="array" ref="S16">SUMPRODUCT((A$5:A$58=Q16)*(C$5:C$58*1000))</f>
        <v>61384000</v>
      </c>
      <c r="T16">
        <f>R16/S16</f>
        <v>38519.341978365701</v>
      </c>
    </row>
    <row r="17" spans="1:20" x14ac:dyDescent="0.3">
      <c r="A17" s="138" t="s">
        <v>85</v>
      </c>
      <c r="B17" t="s">
        <v>225</v>
      </c>
      <c r="C17" s="156">
        <v>11827</v>
      </c>
      <c r="D17" s="158">
        <v>1431</v>
      </c>
      <c r="E17" s="158">
        <v>48147</v>
      </c>
      <c r="F17" s="158"/>
      <c r="G17" s="158"/>
      <c r="H17" s="158"/>
      <c r="I17" s="158">
        <v>12743</v>
      </c>
      <c r="J17" s="158">
        <v>1429</v>
      </c>
      <c r="M17" s="163">
        <v>1852.3</v>
      </c>
      <c r="N17" s="49">
        <v>61797.9</v>
      </c>
      <c r="Q17" t="s">
        <v>83</v>
      </c>
      <c r="R17" cm="1">
        <f t="array" ref="R17">SUMPRODUCT((A$5:A$58=Q17)*(C$5:C$58*1000*1000)*(E$5:E$58)) / 1000</f>
        <v>6528575554000</v>
      </c>
      <c r="S17" cm="1">
        <f t="array" ref="S17">SUMPRODUCT((A$5:A$58=Q17)*(C$5:C$58*1000))</f>
        <v>337534000</v>
      </c>
      <c r="T17">
        <f t="shared" ref="T17:T23" si="1">R17/S17</f>
        <v>19341.979042111314</v>
      </c>
    </row>
    <row r="18" spans="1:20" x14ac:dyDescent="0.3">
      <c r="A18" s="138" t="s">
        <v>85</v>
      </c>
      <c r="B18" t="s">
        <v>226</v>
      </c>
      <c r="C18" s="156">
        <v>33318</v>
      </c>
      <c r="D18" s="158">
        <v>26</v>
      </c>
      <c r="E18" s="158">
        <v>894</v>
      </c>
      <c r="F18" s="158"/>
      <c r="G18" s="158"/>
      <c r="H18" s="158"/>
      <c r="I18" s="158">
        <v>33318</v>
      </c>
      <c r="J18" s="158">
        <v>25</v>
      </c>
      <c r="M18" s="163">
        <v>27.8</v>
      </c>
      <c r="N18" s="49">
        <v>955.6</v>
      </c>
      <c r="Q18" t="s">
        <v>6</v>
      </c>
      <c r="R18" cm="1">
        <f t="array" ref="R18">SUMPRODUCT((A$5:A$58=Q18)*(C$5:C$58*1000*1000)*(E$5:E$58)) / 1000</f>
        <v>14109899128000</v>
      </c>
      <c r="S18" cm="1">
        <f t="array" ref="S18">SUMPRODUCT((A$5:A$58=Q18)*(C$5:C$58*1000))</f>
        <v>545548000</v>
      </c>
      <c r="T18">
        <f t="shared" si="1"/>
        <v>25863.717084472861</v>
      </c>
    </row>
    <row r="19" spans="1:20" x14ac:dyDescent="0.3">
      <c r="A19" s="138" t="s">
        <v>85</v>
      </c>
      <c r="B19" t="s">
        <v>227</v>
      </c>
      <c r="C19" s="156">
        <v>11853</v>
      </c>
      <c r="D19" s="158">
        <v>139</v>
      </c>
      <c r="E19" s="158">
        <v>4785</v>
      </c>
      <c r="F19" s="158"/>
      <c r="G19" s="158"/>
      <c r="H19" s="158"/>
      <c r="I19" s="158">
        <v>11853</v>
      </c>
      <c r="J19" s="158">
        <v>138</v>
      </c>
      <c r="M19" s="163">
        <v>148.6</v>
      </c>
      <c r="N19" s="49">
        <v>5113.2</v>
      </c>
      <c r="Q19" t="s">
        <v>7</v>
      </c>
      <c r="R19" cm="1">
        <f t="array" ref="R19">SUMPRODUCT((A$5:A$58=Q19)*(C$5:C$58*1000*1000)*(E$5:E$58)) / 1000</f>
        <v>1099312035000</v>
      </c>
      <c r="S19" cm="1">
        <f t="array" ref="S19">SUMPRODUCT((A$5:A$58=Q19)*(C$5:C$58*1000))</f>
        <v>63489000</v>
      </c>
      <c r="T19">
        <f t="shared" si="1"/>
        <v>17315</v>
      </c>
    </row>
    <row r="20" spans="1:20" x14ac:dyDescent="0.3">
      <c r="A20" s="138" t="s">
        <v>85</v>
      </c>
      <c r="B20" t="s">
        <v>228</v>
      </c>
      <c r="C20" s="156">
        <v>24148</v>
      </c>
      <c r="D20" s="158">
        <v>418</v>
      </c>
      <c r="E20" s="158">
        <v>15039</v>
      </c>
      <c r="F20" s="158"/>
      <c r="G20" s="158"/>
      <c r="H20" s="158"/>
      <c r="I20" s="158">
        <v>39187</v>
      </c>
      <c r="J20" s="158">
        <v>412</v>
      </c>
      <c r="M20" s="163">
        <v>414.6</v>
      </c>
      <c r="N20" s="49">
        <v>14888.2</v>
      </c>
      <c r="Q20" t="s">
        <v>12</v>
      </c>
      <c r="R20" cm="1">
        <f t="array" ref="R20">SUMPRODUCT((A$5:A$58=Q20)*(C$5:C$58*1000*1000)*(E$5:E$58)) / 1000</f>
        <v>948204806000</v>
      </c>
      <c r="S20" cm="1">
        <f t="array" ref="S20">SUMPRODUCT((A$5:A$58=Q20)*(C$5:C$58*1000))</f>
        <v>48791000</v>
      </c>
      <c r="T20">
        <f t="shared" si="1"/>
        <v>19434.010493738599</v>
      </c>
    </row>
    <row r="21" spans="1:20" x14ac:dyDescent="0.3">
      <c r="A21" s="138" t="s">
        <v>85</v>
      </c>
      <c r="B21" t="s">
        <v>229</v>
      </c>
      <c r="C21" s="156">
        <v>16691</v>
      </c>
      <c r="D21" s="158">
        <v>7</v>
      </c>
      <c r="E21" s="158">
        <v>37</v>
      </c>
      <c r="F21" s="158"/>
      <c r="G21" s="158"/>
      <c r="H21" s="158"/>
      <c r="I21" s="158">
        <v>47221</v>
      </c>
      <c r="J21" s="158">
        <v>7</v>
      </c>
      <c r="M21" s="163">
        <v>6.4</v>
      </c>
      <c r="N21" s="49">
        <v>36.200000000000003</v>
      </c>
      <c r="Q21" t="s">
        <v>81</v>
      </c>
      <c r="R21" cm="1">
        <f t="array" ref="R21">SUMPRODUCT((A$5:A$58=Q21)*(C$5:C$58*1000*1000)*(E$5:E$58)) / 1000</f>
        <v>34674699412000</v>
      </c>
      <c r="S21" cm="1">
        <f t="array" ref="S21">SUMPRODUCT((A$5:A$58=Q21)*(C$5:C$58*1000))</f>
        <v>1383034000</v>
      </c>
      <c r="T21">
        <f t="shared" si="1"/>
        <v>25071.47287196121</v>
      </c>
    </row>
    <row r="22" spans="1:20" x14ac:dyDescent="0.3">
      <c r="A22" s="138" t="s">
        <v>85</v>
      </c>
      <c r="B22" t="s">
        <v>230</v>
      </c>
      <c r="C22" s="156">
        <v>9554</v>
      </c>
      <c r="D22" s="158">
        <v>943</v>
      </c>
      <c r="E22" s="158">
        <v>34064</v>
      </c>
      <c r="F22" s="158"/>
      <c r="G22" s="158"/>
      <c r="H22" s="158"/>
      <c r="I22" s="158">
        <v>12556</v>
      </c>
      <c r="J22" s="158">
        <v>963</v>
      </c>
      <c r="M22" s="163">
        <v>1007.9</v>
      </c>
      <c r="N22" s="49">
        <v>36369.4</v>
      </c>
      <c r="Q22" t="s">
        <v>84</v>
      </c>
      <c r="R22" cm="1">
        <f t="array" ref="R22">SUMPRODUCT((A$5:A$58=Q22)*(C$5:C$58*1000*1000)*(E$5:E$58)) / 1000</f>
        <v>8450245939000</v>
      </c>
      <c r="S22" cm="1">
        <f t="array" ref="S22">SUMPRODUCT((A$5:A$58=Q22)*(C$5:C$58*1000))</f>
        <v>2136032000</v>
      </c>
      <c r="T22">
        <f t="shared" si="1"/>
        <v>3956.0483827021317</v>
      </c>
    </row>
    <row r="23" spans="1:20" x14ac:dyDescent="0.3">
      <c r="A23" s="138" t="s">
        <v>85</v>
      </c>
      <c r="B23" t="s">
        <v>231</v>
      </c>
      <c r="C23" s="156">
        <v>10311</v>
      </c>
      <c r="D23" s="158">
        <v>234</v>
      </c>
      <c r="E23" s="158">
        <v>10412</v>
      </c>
      <c r="F23" s="158"/>
      <c r="G23" s="158"/>
      <c r="H23" s="158"/>
      <c r="I23" s="158">
        <v>22190</v>
      </c>
      <c r="J23" s="158">
        <v>227</v>
      </c>
      <c r="M23" s="163">
        <v>237.7</v>
      </c>
      <c r="N23" s="49">
        <v>10593.7</v>
      </c>
      <c r="Q23" t="s">
        <v>85</v>
      </c>
      <c r="R23" cm="1">
        <f t="array" ref="R23">SUMPRODUCT((A$5:A$58=Q23)*(C$5:C$58*1000*1000)*(E$5:E$58)) / 1000</f>
        <v>6133591568000</v>
      </c>
      <c r="S23" cm="1">
        <f t="array" ref="S23">SUMPRODUCT((A$5:A$58=Q23)*(C$5:C$58*1000))</f>
        <v>384551000</v>
      </c>
      <c r="T23">
        <f t="shared" si="1"/>
        <v>15950.008108157306</v>
      </c>
    </row>
    <row r="24" spans="1:20" x14ac:dyDescent="0.3">
      <c r="A24" s="138" t="s">
        <v>85</v>
      </c>
      <c r="B24" t="s">
        <v>232</v>
      </c>
      <c r="C24" s="156">
        <v>2997</v>
      </c>
      <c r="D24" s="158">
        <v>2322</v>
      </c>
      <c r="E24" s="158">
        <v>192719</v>
      </c>
      <c r="F24" s="158"/>
      <c r="G24" s="158"/>
      <c r="H24" s="158"/>
      <c r="I24" s="158">
        <v>3264</v>
      </c>
      <c r="J24" s="158">
        <v>2304</v>
      </c>
      <c r="M24" s="163">
        <v>2141.8000000000002</v>
      </c>
      <c r="N24" s="49">
        <v>177480.2</v>
      </c>
    </row>
    <row r="25" spans="1:20" x14ac:dyDescent="0.3">
      <c r="A25" s="138" t="s">
        <v>84</v>
      </c>
      <c r="B25" t="s">
        <v>233</v>
      </c>
      <c r="C25" s="156">
        <v>148957</v>
      </c>
      <c r="D25" s="158">
        <v>235</v>
      </c>
      <c r="E25" s="158">
        <v>4013</v>
      </c>
      <c r="F25" s="158"/>
      <c r="G25" s="158"/>
      <c r="H25" s="158"/>
      <c r="I25" s="158">
        <v>149033</v>
      </c>
      <c r="J25" s="158">
        <v>235</v>
      </c>
      <c r="M25" s="163">
        <v>369.8</v>
      </c>
      <c r="N25" s="49">
        <v>5335.7</v>
      </c>
    </row>
    <row r="26" spans="1:20" x14ac:dyDescent="0.3">
      <c r="A26" s="138" t="s">
        <v>84</v>
      </c>
      <c r="B26" t="s">
        <v>234</v>
      </c>
      <c r="C26" s="156">
        <v>77927</v>
      </c>
      <c r="D26" s="158">
        <v>11</v>
      </c>
      <c r="E26" s="158">
        <v>746</v>
      </c>
      <c r="F26" s="158"/>
      <c r="G26" s="158"/>
      <c r="H26" s="158"/>
      <c r="I26" s="158">
        <v>77942</v>
      </c>
      <c r="J26" s="158">
        <v>11</v>
      </c>
      <c r="M26" s="163">
        <v>14.3</v>
      </c>
      <c r="N26" s="49">
        <v>932</v>
      </c>
    </row>
    <row r="27" spans="1:20" x14ac:dyDescent="0.3">
      <c r="A27" s="138" t="s">
        <v>84</v>
      </c>
      <c r="B27" t="s">
        <v>235</v>
      </c>
      <c r="C27" s="156">
        <v>35154</v>
      </c>
      <c r="D27" s="158">
        <v>23</v>
      </c>
      <c r="E27" s="158">
        <v>776</v>
      </c>
      <c r="F27" s="158"/>
      <c r="G27" s="158"/>
      <c r="H27" s="158"/>
      <c r="I27" s="158">
        <v>35170</v>
      </c>
      <c r="J27" s="158">
        <v>23</v>
      </c>
      <c r="M27" s="163">
        <v>28.4</v>
      </c>
      <c r="N27" s="49">
        <v>929.2</v>
      </c>
    </row>
    <row r="28" spans="1:20" x14ac:dyDescent="0.3">
      <c r="A28" s="138" t="s">
        <v>84</v>
      </c>
      <c r="B28" t="s">
        <v>236</v>
      </c>
      <c r="C28" s="156">
        <v>77045</v>
      </c>
      <c r="D28" s="158">
        <v>97</v>
      </c>
      <c r="E28" s="158">
        <v>6878</v>
      </c>
      <c r="F28" s="158"/>
      <c r="G28" s="158"/>
      <c r="H28" s="158"/>
      <c r="I28" s="158">
        <v>77079</v>
      </c>
      <c r="J28" s="158">
        <v>98</v>
      </c>
      <c r="M28" s="163">
        <v>119.4</v>
      </c>
      <c r="N28" s="49">
        <v>8455.1</v>
      </c>
    </row>
    <row r="29" spans="1:20" x14ac:dyDescent="0.3">
      <c r="A29" s="138" t="s">
        <v>84</v>
      </c>
      <c r="B29" t="s">
        <v>237</v>
      </c>
      <c r="C29" s="156">
        <v>654375</v>
      </c>
      <c r="D29" s="158">
        <v>83</v>
      </c>
      <c r="E29" s="158">
        <v>3958</v>
      </c>
      <c r="F29" s="158"/>
      <c r="G29" s="158"/>
      <c r="H29" s="158"/>
      <c r="I29" s="158">
        <v>654664</v>
      </c>
      <c r="J29" s="158">
        <v>82</v>
      </c>
      <c r="M29" s="163">
        <v>102.5</v>
      </c>
      <c r="N29" s="49">
        <v>4911.3999999999996</v>
      </c>
    </row>
    <row r="30" spans="1:20" x14ac:dyDescent="0.3">
      <c r="A30" s="138" t="s">
        <v>84</v>
      </c>
      <c r="B30" t="s">
        <v>238</v>
      </c>
      <c r="C30" s="156">
        <v>127923</v>
      </c>
      <c r="D30" s="158">
        <v>65</v>
      </c>
      <c r="E30" s="158">
        <v>3678</v>
      </c>
      <c r="F30" s="158"/>
      <c r="G30" s="158"/>
      <c r="H30" s="158"/>
      <c r="I30" s="158">
        <v>128230</v>
      </c>
      <c r="J30" s="158">
        <v>65</v>
      </c>
      <c r="M30" s="163">
        <v>82.7</v>
      </c>
      <c r="N30" s="49">
        <v>4662.7</v>
      </c>
    </row>
    <row r="31" spans="1:20" x14ac:dyDescent="0.3">
      <c r="A31" s="138" t="s">
        <v>84</v>
      </c>
      <c r="B31" t="s">
        <v>239</v>
      </c>
      <c r="C31" s="156">
        <v>128971</v>
      </c>
      <c r="D31" s="158">
        <v>86</v>
      </c>
      <c r="E31" s="158">
        <v>491</v>
      </c>
      <c r="F31" s="158"/>
      <c r="G31" s="158"/>
      <c r="H31" s="158"/>
      <c r="I31" s="158">
        <v>129311</v>
      </c>
      <c r="J31" s="158">
        <v>87</v>
      </c>
      <c r="M31" s="163">
        <v>114.5</v>
      </c>
      <c r="N31" s="49">
        <v>661.9</v>
      </c>
    </row>
    <row r="32" spans="1:20" x14ac:dyDescent="0.3">
      <c r="A32" s="138" t="s">
        <v>84</v>
      </c>
      <c r="B32" t="s">
        <v>240</v>
      </c>
      <c r="C32" s="156">
        <v>75781</v>
      </c>
      <c r="D32" s="158">
        <v>140</v>
      </c>
      <c r="E32" s="158">
        <v>10007</v>
      </c>
      <c r="F32" s="158"/>
      <c r="G32" s="158"/>
      <c r="H32" s="158"/>
      <c r="I32" s="158">
        <v>75811</v>
      </c>
      <c r="J32" s="158">
        <v>138</v>
      </c>
      <c r="M32" s="163">
        <v>180.1</v>
      </c>
      <c r="N32" s="49">
        <v>12948.6</v>
      </c>
    </row>
    <row r="33" spans="1:14" x14ac:dyDescent="0.3">
      <c r="A33" s="138" t="s">
        <v>84</v>
      </c>
      <c r="B33" t="s">
        <v>241</v>
      </c>
      <c r="C33" s="156">
        <v>67079</v>
      </c>
      <c r="D33" s="158">
        <v>292</v>
      </c>
      <c r="E33" s="158">
        <v>15180</v>
      </c>
      <c r="F33" s="158"/>
      <c r="G33" s="158"/>
      <c r="H33" s="158"/>
      <c r="I33" s="158">
        <v>68024</v>
      </c>
      <c r="J33" s="158">
        <v>295</v>
      </c>
      <c r="K33" s="137"/>
      <c r="M33" s="163">
        <v>419.6</v>
      </c>
      <c r="N33" s="49">
        <v>21162.1</v>
      </c>
    </row>
    <row r="34" spans="1:14" x14ac:dyDescent="0.3">
      <c r="A34" s="138" t="s">
        <v>84</v>
      </c>
      <c r="B34" t="s">
        <v>242</v>
      </c>
      <c r="C34" s="156">
        <v>26013</v>
      </c>
      <c r="D34" s="158">
        <v>68</v>
      </c>
      <c r="E34" s="158">
        <v>1003</v>
      </c>
      <c r="F34" s="158"/>
      <c r="G34" s="158"/>
      <c r="H34" s="158"/>
      <c r="I34" s="158">
        <v>27499</v>
      </c>
      <c r="J34" s="158">
        <v>68</v>
      </c>
      <c r="K34" s="139"/>
      <c r="M34" s="163">
        <v>78.900000000000006</v>
      </c>
      <c r="N34" s="49">
        <v>1149.3</v>
      </c>
    </row>
    <row r="35" spans="1:14" x14ac:dyDescent="0.3">
      <c r="A35" s="138" t="s">
        <v>84</v>
      </c>
      <c r="B35" t="s">
        <v>243</v>
      </c>
      <c r="C35" s="156">
        <v>210650</v>
      </c>
      <c r="D35" s="158">
        <v>119</v>
      </c>
      <c r="E35" s="158">
        <v>7771</v>
      </c>
      <c r="F35" s="158"/>
      <c r="G35" s="158"/>
      <c r="H35" s="158"/>
      <c r="I35" s="158">
        <v>211197</v>
      </c>
      <c r="J35" s="158">
        <v>120</v>
      </c>
      <c r="K35" s="139"/>
      <c r="M35" s="163">
        <v>153.5</v>
      </c>
      <c r="N35" s="49">
        <v>9533.1</v>
      </c>
    </row>
    <row r="36" spans="1:14" x14ac:dyDescent="0.3">
      <c r="A36" s="138" t="s">
        <v>85</v>
      </c>
      <c r="B36" t="s">
        <v>244</v>
      </c>
      <c r="C36" s="156">
        <v>7778</v>
      </c>
      <c r="D36" s="158">
        <v>14</v>
      </c>
      <c r="E36" s="158">
        <v>182</v>
      </c>
      <c r="F36" s="158"/>
      <c r="G36" s="158"/>
      <c r="H36" s="158"/>
      <c r="I36" s="158">
        <v>7812</v>
      </c>
      <c r="J36" s="158">
        <v>14</v>
      </c>
      <c r="K36" s="139"/>
      <c r="M36" s="163">
        <v>25.9</v>
      </c>
      <c r="N36" s="49">
        <v>337</v>
      </c>
    </row>
    <row r="37" spans="1:14" x14ac:dyDescent="0.3">
      <c r="A37" s="138" t="s">
        <v>85</v>
      </c>
      <c r="B37" t="s">
        <v>245</v>
      </c>
      <c r="C37" s="156">
        <v>4416</v>
      </c>
      <c r="D37" s="158">
        <v>209</v>
      </c>
      <c r="E37" s="158">
        <v>1097</v>
      </c>
      <c r="F37" s="158"/>
      <c r="G37" s="158"/>
      <c r="H37" s="158"/>
      <c r="I37" s="158">
        <v>4738</v>
      </c>
      <c r="J37" s="158">
        <v>190</v>
      </c>
      <c r="K37" s="139"/>
      <c r="M37" s="163">
        <v>540.6</v>
      </c>
      <c r="N37" s="49">
        <v>2879.2</v>
      </c>
    </row>
    <row r="38" spans="1:14" x14ac:dyDescent="0.3">
      <c r="A38" s="138" t="s">
        <v>82</v>
      </c>
      <c r="B38" t="s">
        <v>246</v>
      </c>
      <c r="C38" s="156">
        <v>40571</v>
      </c>
      <c r="D38" s="158">
        <v>871</v>
      </c>
      <c r="E38" s="158">
        <v>21163</v>
      </c>
      <c r="F38" s="158"/>
      <c r="G38" s="158"/>
      <c r="H38" s="158"/>
      <c r="I38" s="158">
        <v>40654</v>
      </c>
      <c r="J38" s="158">
        <v>942</v>
      </c>
      <c r="K38" s="139"/>
      <c r="M38" s="163">
        <v>1451.2</v>
      </c>
      <c r="N38" s="49">
        <v>34732.5</v>
      </c>
    </row>
    <row r="39" spans="1:14" x14ac:dyDescent="0.3">
      <c r="A39" s="138" t="s">
        <v>6</v>
      </c>
      <c r="B39" t="s">
        <v>247</v>
      </c>
      <c r="C39" s="156">
        <v>31425</v>
      </c>
      <c r="D39" s="158">
        <v>1650</v>
      </c>
      <c r="E39" s="158">
        <v>75339</v>
      </c>
      <c r="F39" s="158"/>
      <c r="G39" s="158"/>
      <c r="H39" s="158"/>
      <c r="I39" s="158">
        <v>31489</v>
      </c>
      <c r="J39" s="158">
        <v>1779</v>
      </c>
      <c r="K39" s="139"/>
      <c r="M39" s="163">
        <v>2714.3</v>
      </c>
      <c r="N39" s="49">
        <v>119805.2</v>
      </c>
    </row>
    <row r="40" spans="1:14" x14ac:dyDescent="0.3">
      <c r="A40" s="138" t="s">
        <v>82</v>
      </c>
      <c r="B40" t="s">
        <v>248</v>
      </c>
      <c r="C40" s="156">
        <v>14195</v>
      </c>
      <c r="D40" s="158">
        <v>1082</v>
      </c>
      <c r="E40" s="158">
        <v>85193</v>
      </c>
      <c r="F40" s="158"/>
      <c r="G40" s="158"/>
      <c r="H40" s="158"/>
      <c r="I40" s="158">
        <v>14329</v>
      </c>
      <c r="J40" s="158">
        <v>1575</v>
      </c>
      <c r="K40" s="139"/>
      <c r="M40" s="163">
        <v>1802.8</v>
      </c>
      <c r="N40" s="49">
        <v>141925</v>
      </c>
    </row>
    <row r="41" spans="1:14" x14ac:dyDescent="0.3">
      <c r="A41" s="138" t="s">
        <v>83</v>
      </c>
      <c r="B41" t="s">
        <v>249</v>
      </c>
      <c r="C41" s="156">
        <v>112892</v>
      </c>
      <c r="D41" s="158">
        <v>1073</v>
      </c>
      <c r="E41" s="158">
        <v>40028</v>
      </c>
      <c r="F41" s="158"/>
      <c r="G41" s="158"/>
      <c r="H41" s="158"/>
      <c r="I41" s="158">
        <v>113229</v>
      </c>
      <c r="J41" s="158">
        <v>1122</v>
      </c>
      <c r="K41" s="139"/>
      <c r="M41" s="163">
        <v>1795.8</v>
      </c>
      <c r="N41" s="49">
        <v>66867.399999999994</v>
      </c>
    </row>
    <row r="42" spans="1:14" x14ac:dyDescent="0.3">
      <c r="A42" s="138" t="s">
        <v>83</v>
      </c>
      <c r="B42" t="s">
        <v>250</v>
      </c>
      <c r="C42" s="156">
        <v>96439</v>
      </c>
      <c r="D42" s="158">
        <v>402</v>
      </c>
      <c r="E42" s="158">
        <v>8828</v>
      </c>
      <c r="F42" s="158"/>
      <c r="G42" s="158"/>
      <c r="H42" s="158"/>
      <c r="I42" s="158">
        <v>97430</v>
      </c>
      <c r="J42" s="158">
        <v>409</v>
      </c>
      <c r="M42" s="163">
        <v>660</v>
      </c>
      <c r="N42" s="49">
        <v>14177.9</v>
      </c>
    </row>
    <row r="43" spans="1:14" x14ac:dyDescent="0.3">
      <c r="A43" s="138" t="s">
        <v>6</v>
      </c>
      <c r="B43" t="s">
        <v>251</v>
      </c>
      <c r="C43" s="156">
        <v>470267</v>
      </c>
      <c r="D43" s="158">
        <v>533</v>
      </c>
      <c r="E43" s="158">
        <v>16951</v>
      </c>
      <c r="F43" s="158"/>
      <c r="G43" s="158"/>
      <c r="H43" s="158"/>
      <c r="I43" s="158">
        <v>482310</v>
      </c>
      <c r="J43" s="158">
        <v>520</v>
      </c>
      <c r="M43" s="163">
        <v>628.20000000000005</v>
      </c>
      <c r="N43" s="49">
        <v>19786.3</v>
      </c>
    </row>
    <row r="44" spans="1:14" x14ac:dyDescent="0.3">
      <c r="A44" s="138" t="s">
        <v>6</v>
      </c>
      <c r="B44" t="s">
        <v>252</v>
      </c>
      <c r="C44" s="157">
        <v>21191</v>
      </c>
      <c r="D44" s="159">
        <v>4735</v>
      </c>
      <c r="E44" s="159">
        <v>155464</v>
      </c>
      <c r="F44" s="159"/>
      <c r="G44" s="159"/>
      <c r="H44" s="159"/>
      <c r="I44" s="159">
        <v>21733</v>
      </c>
      <c r="J44" s="159">
        <v>4646</v>
      </c>
      <c r="M44" s="163">
        <v>5605.2</v>
      </c>
      <c r="N44" s="49">
        <v>180850.6</v>
      </c>
    </row>
    <row r="45" spans="1:14" x14ac:dyDescent="0.3">
      <c r="A45" s="138" t="s">
        <v>7</v>
      </c>
      <c r="B45" t="s">
        <v>7</v>
      </c>
      <c r="C45" s="156">
        <v>63489</v>
      </c>
      <c r="D45" s="158">
        <v>556</v>
      </c>
      <c r="E45" s="158">
        <v>17315</v>
      </c>
      <c r="F45" s="158"/>
      <c r="G45" s="158"/>
      <c r="H45" s="158"/>
      <c r="I45" s="158">
        <v>64219</v>
      </c>
      <c r="J45" s="158">
        <v>558</v>
      </c>
      <c r="M45" s="163">
        <v>577.70000000000005</v>
      </c>
      <c r="N45" s="49">
        <v>17982.7</v>
      </c>
    </row>
    <row r="46" spans="1:14" x14ac:dyDescent="0.3">
      <c r="A46" s="138" t="s">
        <v>83</v>
      </c>
      <c r="B46" t="s">
        <v>253</v>
      </c>
      <c r="C46" s="156">
        <v>45223</v>
      </c>
      <c r="D46" s="158">
        <v>1315</v>
      </c>
      <c r="E46" s="158">
        <v>13691</v>
      </c>
      <c r="F46" s="158"/>
      <c r="G46" s="158"/>
      <c r="H46" s="158"/>
      <c r="I46" s="158">
        <v>46744</v>
      </c>
      <c r="J46" s="158">
        <v>1361</v>
      </c>
      <c r="M46" s="163">
        <v>3691.3</v>
      </c>
      <c r="N46" s="49">
        <v>41572.199999999997</v>
      </c>
    </row>
    <row r="47" spans="1:14" x14ac:dyDescent="0.3">
      <c r="A47" s="138" t="s">
        <v>83</v>
      </c>
      <c r="B47" t="s">
        <v>254</v>
      </c>
      <c r="C47" s="156">
        <v>10633</v>
      </c>
      <c r="D47" s="158">
        <v>1394</v>
      </c>
      <c r="E47" s="158">
        <v>50685</v>
      </c>
      <c r="F47" s="158"/>
      <c r="G47" s="158"/>
      <c r="H47" s="158"/>
      <c r="I47" s="158">
        <v>10657</v>
      </c>
      <c r="J47" s="158">
        <v>1416</v>
      </c>
      <c r="M47" s="163">
        <v>3515.4</v>
      </c>
      <c r="N47" s="49">
        <v>127259</v>
      </c>
    </row>
    <row r="48" spans="1:14" x14ac:dyDescent="0.3">
      <c r="C48" s="156"/>
      <c r="D48" s="158"/>
      <c r="E48" s="158"/>
      <c r="F48" s="158"/>
      <c r="G48" s="158"/>
      <c r="H48" s="158"/>
      <c r="I48" s="158"/>
      <c r="J48" s="158"/>
    </row>
    <row r="49" spans="1:13" x14ac:dyDescent="0.3">
      <c r="A49" t="s">
        <v>81</v>
      </c>
      <c r="B49" s="155" t="s">
        <v>329</v>
      </c>
      <c r="C49" s="156">
        <v>97562</v>
      </c>
      <c r="D49" s="158">
        <v>438</v>
      </c>
      <c r="E49" s="158">
        <v>22262</v>
      </c>
      <c r="F49" s="158"/>
      <c r="G49" s="158"/>
      <c r="H49" s="158"/>
      <c r="I49" s="158">
        <v>121607</v>
      </c>
      <c r="J49" s="158">
        <v>439</v>
      </c>
    </row>
    <row r="50" spans="1:13" x14ac:dyDescent="0.3">
      <c r="A50" t="s">
        <v>85</v>
      </c>
      <c r="B50" s="155" t="s">
        <v>330</v>
      </c>
      <c r="C50" s="156">
        <v>13404</v>
      </c>
      <c r="D50" s="158">
        <v>449</v>
      </c>
      <c r="E50" s="158">
        <v>21573</v>
      </c>
      <c r="F50" s="158"/>
      <c r="G50" s="158"/>
      <c r="H50" s="158"/>
      <c r="I50" s="158">
        <v>22401</v>
      </c>
      <c r="J50" s="158">
        <v>448</v>
      </c>
    </row>
    <row r="51" spans="1:13" x14ac:dyDescent="0.3">
      <c r="A51" t="s">
        <v>85</v>
      </c>
      <c r="B51" s="155" t="s">
        <v>331</v>
      </c>
      <c r="C51" s="156">
        <v>21564</v>
      </c>
      <c r="D51" s="158">
        <v>0</v>
      </c>
      <c r="E51" s="158">
        <v>0</v>
      </c>
      <c r="F51" s="158"/>
      <c r="G51" s="158"/>
      <c r="H51" s="158"/>
      <c r="I51" s="158">
        <v>27425</v>
      </c>
      <c r="J51" s="158">
        <v>0</v>
      </c>
    </row>
    <row r="52" spans="1:13" x14ac:dyDescent="0.3">
      <c r="A52" t="s">
        <v>85</v>
      </c>
      <c r="B52" s="155" t="s">
        <v>332</v>
      </c>
      <c r="C52" s="156">
        <v>13269</v>
      </c>
      <c r="D52" s="158">
        <v>172</v>
      </c>
      <c r="E52" s="158">
        <v>5486</v>
      </c>
      <c r="F52" s="158"/>
      <c r="G52" s="158"/>
      <c r="H52" s="158"/>
      <c r="I52" s="158">
        <v>13585</v>
      </c>
      <c r="J52" s="158">
        <v>166</v>
      </c>
    </row>
    <row r="53" spans="1:13" x14ac:dyDescent="0.3">
      <c r="A53" s="138" t="s">
        <v>6</v>
      </c>
      <c r="B53" s="155" t="s">
        <v>333</v>
      </c>
      <c r="C53" s="156">
        <v>10599</v>
      </c>
      <c r="D53" s="158">
        <v>764</v>
      </c>
      <c r="E53" s="158">
        <v>25654</v>
      </c>
      <c r="F53" s="158"/>
      <c r="G53" s="158"/>
      <c r="H53" s="158"/>
      <c r="I53" s="158">
        <v>21053</v>
      </c>
      <c r="J53" s="158">
        <v>794</v>
      </c>
    </row>
    <row r="54" spans="1:13" x14ac:dyDescent="0.3">
      <c r="A54" s="138" t="s">
        <v>82</v>
      </c>
      <c r="B54" s="155" t="s">
        <v>334</v>
      </c>
      <c r="C54" s="156">
        <v>6618</v>
      </c>
      <c r="D54" s="158">
        <v>1211</v>
      </c>
      <c r="E54" s="158">
        <v>44810</v>
      </c>
      <c r="F54" s="158"/>
      <c r="G54" s="158"/>
      <c r="H54" s="158"/>
      <c r="I54" s="158">
        <v>6633</v>
      </c>
      <c r="J54" s="158">
        <v>1307</v>
      </c>
      <c r="M54" s="164"/>
    </row>
    <row r="55" spans="1:13" x14ac:dyDescent="0.3">
      <c r="A55" s="138" t="s">
        <v>6</v>
      </c>
      <c r="B55" s="155" t="s">
        <v>335</v>
      </c>
      <c r="C55" s="156">
        <v>12066</v>
      </c>
      <c r="D55" s="158">
        <v>533</v>
      </c>
      <c r="E55" s="158">
        <v>16951</v>
      </c>
      <c r="F55" s="158"/>
      <c r="G55" s="158"/>
      <c r="H55" s="158"/>
      <c r="I55" s="158">
        <v>12194</v>
      </c>
      <c r="J55" s="158">
        <v>520</v>
      </c>
      <c r="M55" s="165"/>
    </row>
    <row r="56" spans="1:13" x14ac:dyDescent="0.3">
      <c r="B56" s="155"/>
      <c r="C56" s="156"/>
      <c r="D56" s="158"/>
      <c r="E56" s="158"/>
      <c r="F56" s="158"/>
      <c r="G56" s="158"/>
      <c r="H56" s="158"/>
      <c r="I56" s="158"/>
      <c r="J56" s="158"/>
      <c r="M56" s="165"/>
    </row>
    <row r="57" spans="1:13" x14ac:dyDescent="0.3">
      <c r="A57" s="138" t="s">
        <v>83</v>
      </c>
      <c r="B57" s="155" t="s">
        <v>336</v>
      </c>
      <c r="C57" s="156">
        <v>72347</v>
      </c>
      <c r="D57" s="158">
        <v>4</v>
      </c>
      <c r="E57" s="158">
        <v>4</v>
      </c>
      <c r="F57" s="158"/>
      <c r="G57" s="158"/>
      <c r="H57" s="158"/>
      <c r="I57" s="158">
        <v>74183</v>
      </c>
      <c r="J57" s="158">
        <v>4</v>
      </c>
      <c r="M57" s="165"/>
    </row>
    <row r="58" spans="1:13" x14ac:dyDescent="0.3">
      <c r="A58" s="138" t="s">
        <v>85</v>
      </c>
      <c r="B58" s="155" t="s">
        <v>337</v>
      </c>
      <c r="C58" s="156">
        <v>12385</v>
      </c>
      <c r="D58" s="158">
        <v>0</v>
      </c>
      <c r="E58" s="158">
        <v>0</v>
      </c>
      <c r="F58" s="158"/>
      <c r="G58" s="158"/>
      <c r="H58" s="158"/>
      <c r="I58" s="158">
        <v>19793</v>
      </c>
      <c r="J58" s="158">
        <v>0</v>
      </c>
      <c r="M58" s="165"/>
    </row>
    <row r="59" spans="1:13" x14ac:dyDescent="0.3">
      <c r="M59" s="165"/>
    </row>
    <row r="60" spans="1:13" x14ac:dyDescent="0.3">
      <c r="E60" s="168"/>
      <c r="F60" s="155"/>
      <c r="G60" s="155"/>
      <c r="H60" s="155"/>
      <c r="M60" s="165"/>
    </row>
    <row r="61" spans="1:13" x14ac:dyDescent="0.3">
      <c r="E61" s="169"/>
      <c r="F61" s="175"/>
      <c r="G61" s="175"/>
      <c r="H61" s="175"/>
      <c r="M61" s="165"/>
    </row>
    <row r="62" spans="1:13" x14ac:dyDescent="0.3">
      <c r="M62" s="165"/>
    </row>
    <row r="63" spans="1:13" x14ac:dyDescent="0.3">
      <c r="M63" s="165"/>
    </row>
    <row r="64" spans="1:13" x14ac:dyDescent="0.3">
      <c r="M64" s="165"/>
    </row>
    <row r="65" spans="13:13" x14ac:dyDescent="0.3">
      <c r="M65" s="165"/>
    </row>
    <row r="66" spans="13:13" x14ac:dyDescent="0.3">
      <c r="M66" s="165"/>
    </row>
    <row r="67" spans="13:13" x14ac:dyDescent="0.3">
      <c r="M67" s="165"/>
    </row>
    <row r="68" spans="13:13" x14ac:dyDescent="0.3">
      <c r="M68" s="165"/>
    </row>
    <row r="69" spans="13:13" x14ac:dyDescent="0.3">
      <c r="M69" s="165"/>
    </row>
    <row r="70" spans="13:13" x14ac:dyDescent="0.3">
      <c r="M70" s="165"/>
    </row>
    <row r="71" spans="13:13" x14ac:dyDescent="0.3">
      <c r="M71" s="165"/>
    </row>
    <row r="72" spans="13:13" x14ac:dyDescent="0.3">
      <c r="M72" s="165"/>
    </row>
    <row r="73" spans="13:13" x14ac:dyDescent="0.3">
      <c r="M73" s="165"/>
    </row>
    <row r="74" spans="13:13" x14ac:dyDescent="0.3">
      <c r="M74" s="165"/>
    </row>
    <row r="75" spans="13:13" x14ac:dyDescent="0.3">
      <c r="M75" s="165"/>
    </row>
    <row r="76" spans="13:13" x14ac:dyDescent="0.3">
      <c r="M76" s="165"/>
    </row>
    <row r="77" spans="13:13" x14ac:dyDescent="0.3">
      <c r="M77" s="165"/>
    </row>
    <row r="78" spans="13:13" x14ac:dyDescent="0.3">
      <c r="M78" s="165"/>
    </row>
    <row r="79" spans="13:13" x14ac:dyDescent="0.3">
      <c r="M79" s="165"/>
    </row>
    <row r="80" spans="13:13" x14ac:dyDescent="0.3">
      <c r="M80" s="165"/>
    </row>
    <row r="81" spans="13:13" x14ac:dyDescent="0.3">
      <c r="M81" s="165"/>
    </row>
    <row r="82" spans="13:13" x14ac:dyDescent="0.3">
      <c r="M82" s="165"/>
    </row>
    <row r="83" spans="13:13" x14ac:dyDescent="0.3">
      <c r="M83" s="165"/>
    </row>
    <row r="84" spans="13:13" x14ac:dyDescent="0.3">
      <c r="M84" s="165"/>
    </row>
    <row r="85" spans="13:13" x14ac:dyDescent="0.3">
      <c r="M85" s="165"/>
    </row>
    <row r="86" spans="13:13" x14ac:dyDescent="0.3">
      <c r="M86" s="165"/>
    </row>
    <row r="87" spans="13:13" x14ac:dyDescent="0.3">
      <c r="M87" s="165"/>
    </row>
    <row r="88" spans="13:13" x14ac:dyDescent="0.3">
      <c r="M88" s="165"/>
    </row>
    <row r="89" spans="13:13" x14ac:dyDescent="0.3">
      <c r="M89" s="165"/>
    </row>
    <row r="90" spans="13:13" x14ac:dyDescent="0.3">
      <c r="M90" s="165"/>
    </row>
    <row r="91" spans="13:13" x14ac:dyDescent="0.3">
      <c r="M91" s="165"/>
    </row>
    <row r="92" spans="13:13" x14ac:dyDescent="0.3">
      <c r="M92" s="165"/>
    </row>
    <row r="93" spans="13:13" x14ac:dyDescent="0.3">
      <c r="M93" s="165"/>
    </row>
    <row r="94" spans="13:13" x14ac:dyDescent="0.3">
      <c r="M94" s="165"/>
    </row>
    <row r="95" spans="13:13" x14ac:dyDescent="0.3">
      <c r="M95" s="165"/>
    </row>
    <row r="96" spans="13:13" x14ac:dyDescent="0.3">
      <c r="M96" s="165"/>
    </row>
    <row r="97" spans="13:13" x14ac:dyDescent="0.3">
      <c r="M97" s="165"/>
    </row>
  </sheetData>
  <mergeCells count="2">
    <mergeCell ref="C3:C4"/>
    <mergeCell ref="I3:I4"/>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EBACC-8297-4274-BF57-74267FC56D7B}">
  <dimension ref="A1:J13"/>
  <sheetViews>
    <sheetView workbookViewId="0">
      <selection activeCell="A14" sqref="A14:XFD41"/>
    </sheetView>
  </sheetViews>
  <sheetFormatPr defaultRowHeight="14.4" x14ac:dyDescent="0.3"/>
  <cols>
    <col min="1" max="1" width="20.77734375" customWidth="1"/>
    <col min="2" max="2" width="25.6640625" customWidth="1"/>
    <col min="8" max="8" width="36.77734375" customWidth="1"/>
    <col min="11" max="11" width="22" customWidth="1"/>
  </cols>
  <sheetData>
    <row r="1" spans="1:10" x14ac:dyDescent="0.3">
      <c r="A1" t="s">
        <v>265</v>
      </c>
      <c r="B1" s="130"/>
      <c r="C1" s="135"/>
      <c r="D1" s="135"/>
      <c r="E1" s="135"/>
      <c r="F1" s="135"/>
      <c r="G1" s="135"/>
    </row>
    <row r="2" spans="1:10" x14ac:dyDescent="0.3">
      <c r="A2" s="131"/>
      <c r="B2" s="131"/>
      <c r="C2" s="130"/>
      <c r="D2" s="130"/>
      <c r="E2" s="130"/>
      <c r="F2" s="130"/>
      <c r="G2" s="130"/>
    </row>
    <row r="3" spans="1:10" x14ac:dyDescent="0.3">
      <c r="A3" s="131" t="s">
        <v>266</v>
      </c>
      <c r="B3" s="130"/>
      <c r="C3" s="135" t="s">
        <v>260</v>
      </c>
      <c r="D3" s="135" t="s">
        <v>261</v>
      </c>
      <c r="E3" s="135" t="s">
        <v>262</v>
      </c>
      <c r="F3" s="135" t="s">
        <v>263</v>
      </c>
      <c r="G3" s="135" t="s">
        <v>264</v>
      </c>
      <c r="H3" s="136" t="s">
        <v>267</v>
      </c>
      <c r="I3" s="136" t="s">
        <v>274</v>
      </c>
    </row>
    <row r="4" spans="1:10" x14ac:dyDescent="0.3">
      <c r="A4" s="131"/>
      <c r="B4" s="131" t="s">
        <v>255</v>
      </c>
      <c r="C4" s="130">
        <v>7542.7106637281786</v>
      </c>
      <c r="D4" s="130">
        <v>5912.2089257749385</v>
      </c>
      <c r="E4" s="130">
        <v>362.90029325136402</v>
      </c>
      <c r="F4" s="130">
        <v>40351.473557573365</v>
      </c>
      <c r="G4" s="130">
        <v>7819.6832473304157</v>
      </c>
      <c r="H4" t="s">
        <v>268</v>
      </c>
      <c r="J4" s="89"/>
    </row>
    <row r="5" spans="1:10" x14ac:dyDescent="0.3">
      <c r="A5" s="131"/>
      <c r="B5" s="131" t="s">
        <v>256</v>
      </c>
      <c r="C5" s="130">
        <v>237.87252813548781</v>
      </c>
      <c r="D5" s="130">
        <v>2109.8816366575365</v>
      </c>
      <c r="E5" s="130">
        <v>538.70801794637714</v>
      </c>
      <c r="F5" s="130">
        <v>30718.222301906535</v>
      </c>
      <c r="G5" s="130">
        <v>5065.8894664872414</v>
      </c>
      <c r="H5" t="s">
        <v>269</v>
      </c>
    </row>
    <row r="6" spans="1:10" x14ac:dyDescent="0.3">
      <c r="A6" s="131"/>
      <c r="B6" s="131" t="s">
        <v>128</v>
      </c>
      <c r="C6" s="130">
        <v>82.204789011349533</v>
      </c>
      <c r="D6" s="130">
        <v>1362.7511072982231</v>
      </c>
      <c r="E6" s="130">
        <v>113.64992165967293</v>
      </c>
      <c r="F6" s="130">
        <v>222.03448625591784</v>
      </c>
      <c r="G6" s="130">
        <v>351.85379075239337</v>
      </c>
      <c r="H6" t="s">
        <v>12</v>
      </c>
    </row>
    <row r="7" spans="1:10" x14ac:dyDescent="0.3">
      <c r="A7" s="131"/>
      <c r="B7" s="131" t="s">
        <v>257</v>
      </c>
      <c r="C7" s="130">
        <v>50.581339682743504</v>
      </c>
      <c r="D7" s="130">
        <v>339.5845508526337</v>
      </c>
      <c r="E7" s="130">
        <v>25.07390300831846</v>
      </c>
      <c r="F7" s="130">
        <v>650.86816988687406</v>
      </c>
      <c r="G7" s="130">
        <v>112.73572707574235</v>
      </c>
      <c r="H7" t="s">
        <v>224</v>
      </c>
    </row>
    <row r="8" spans="1:10" x14ac:dyDescent="0.3">
      <c r="A8" s="131"/>
      <c r="B8" s="131" t="s">
        <v>258</v>
      </c>
      <c r="C8" s="130">
        <v>1932.3656800222152</v>
      </c>
      <c r="D8" s="130">
        <v>10832.246195525051</v>
      </c>
      <c r="E8" s="130">
        <v>1706.9778340238204</v>
      </c>
      <c r="F8" s="130">
        <v>86045.628503822314</v>
      </c>
      <c r="G8" s="130">
        <v>13232.16143313332</v>
      </c>
      <c r="H8" t="s">
        <v>270</v>
      </c>
      <c r="J8" s="89"/>
    </row>
    <row r="9" spans="1:10" x14ac:dyDescent="0.3">
      <c r="B9" s="131" t="s">
        <v>26</v>
      </c>
      <c r="C9" s="130">
        <v>60.230269834441671</v>
      </c>
      <c r="D9" s="130">
        <v>544.42254466395775</v>
      </c>
      <c r="E9" s="130">
        <v>420.45379684838406</v>
      </c>
      <c r="F9" s="130">
        <v>7205.2741046708943</v>
      </c>
      <c r="G9" s="130">
        <v>1235.3785067542065</v>
      </c>
      <c r="H9" t="s">
        <v>271</v>
      </c>
    </row>
    <row r="10" spans="1:10" x14ac:dyDescent="0.3">
      <c r="B10" s="131" t="s">
        <v>179</v>
      </c>
      <c r="C10" s="130">
        <v>10438.716516504865</v>
      </c>
      <c r="D10" s="130">
        <v>25242.545941192639</v>
      </c>
      <c r="E10" s="130">
        <v>3614.1559909471657</v>
      </c>
      <c r="F10" s="130">
        <v>207360.95001778885</v>
      </c>
      <c r="G10" s="130">
        <v>35697.537442007146</v>
      </c>
    </row>
    <row r="11" spans="1:10" x14ac:dyDescent="0.3">
      <c r="B11" s="131" t="s">
        <v>259</v>
      </c>
      <c r="C11" s="130">
        <v>306.55950021883598</v>
      </c>
      <c r="D11" s="130">
        <v>1998.8395934727437</v>
      </c>
      <c r="E11" s="130">
        <v>90.590051831605763</v>
      </c>
      <c r="F11" s="130">
        <v>9162.9854271896802</v>
      </c>
      <c r="G11" s="130">
        <v>2253.399426172743</v>
      </c>
      <c r="H11" t="s">
        <v>272</v>
      </c>
    </row>
    <row r="13" spans="1:10" x14ac:dyDescent="0.3">
      <c r="J13" s="8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BackgroundData</vt:lpstr>
      <vt:lpstr>MeatLandDemand</vt:lpstr>
      <vt:lpstr>Model Input</vt:lpstr>
      <vt:lpstr>FAONutritionData</vt:lpstr>
      <vt:lpstr>Diet-Population</vt:lpstr>
      <vt:lpstr>Flexitarian diet</vt:lpstr>
      <vt:lpstr>WRI</vt:lpstr>
      <vt:lpstr>Healthy diet</vt:lpstr>
      <vt:lpstr>Sheet1</vt:lpstr>
      <vt:lpstr>Sheet2</vt:lpstr>
      <vt:lpstr>FAOProduction(Agg)2013-2020</vt:lpstr>
      <vt:lpstr>SourcePooreNemecek2018</vt:lpstr>
      <vt:lpstr>SourceSpringmann2018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TAN Ryan</cp:lastModifiedBy>
  <dcterms:created xsi:type="dcterms:W3CDTF">2018-07-12T10:48:48Z</dcterms:created>
  <dcterms:modified xsi:type="dcterms:W3CDTF">2025-06-02T13:17:41Z</dcterms:modified>
</cp:coreProperties>
</file>