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fuels\BFPIaE\"/>
    </mc:Choice>
  </mc:AlternateContent>
  <xr:revisionPtr revIDLastSave="0" documentId="13_ncr:1_{75D8FEDC-5682-4F70-BF0E-FE1A1942F2C2}" xr6:coauthVersionLast="47" xr6:coauthVersionMax="47" xr10:uidLastSave="{00000000-0000-0000-0000-000000000000}"/>
  <bookViews>
    <workbookView xWindow="-98" yWindow="-98" windowWidth="21795" windowHeight="12975" tabRatio="986" activeTab="4" xr2:uid="{00000000-000D-0000-FFFF-FFFF00000000}"/>
  </bookViews>
  <sheets>
    <sheet name="About" sheetId="4" r:id="rId1"/>
    <sheet name="PDE-O&amp;G" sheetId="28" r:id="rId2"/>
    <sheet name="PDE Bio" sheetId="29" r:id="rId3"/>
    <sheet name="BEN" sheetId="27" r:id="rId4"/>
    <sheet name="BFPIaE-production" sheetId="12" r:id="rId5"/>
    <sheet name="BFPIaE-imports" sheetId="30" r:id="rId6"/>
    <sheet name="BFPIaE-exports" sheetId="31" r:id="rId7"/>
  </sheets>
  <externalReferences>
    <externalReference r:id="rId8"/>
  </externalReferences>
  <definedNames>
    <definedName name="gal_per_barrel">[1]About!$A$63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2" l="1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H21" i="30"/>
  <c r="AI21" i="30"/>
  <c r="AJ21" i="30"/>
  <c r="AK21" i="30"/>
  <c r="AL21" i="30"/>
  <c r="AM21" i="30"/>
  <c r="AN21" i="30"/>
  <c r="AO21" i="30"/>
  <c r="AP21" i="30"/>
  <c r="AQ21" i="30"/>
  <c r="AR21" i="30"/>
  <c r="AS21" i="30"/>
  <c r="AT21" i="30"/>
  <c r="AU21" i="30"/>
  <c r="AV21" i="30"/>
  <c r="AW21" i="30"/>
  <c r="AX21" i="30"/>
  <c r="AY21" i="30"/>
  <c r="AZ21" i="30"/>
  <c r="BA21" i="30"/>
  <c r="AH22" i="30"/>
  <c r="AI22" i="30"/>
  <c r="AJ22" i="30"/>
  <c r="AK22" i="30"/>
  <c r="AL22" i="30"/>
  <c r="AM22" i="30"/>
  <c r="AN22" i="30"/>
  <c r="AO22" i="30"/>
  <c r="AP22" i="30"/>
  <c r="AQ22" i="30"/>
  <c r="AR22" i="30"/>
  <c r="AS22" i="30"/>
  <c r="AT22" i="30"/>
  <c r="AU22" i="30"/>
  <c r="AV22" i="30"/>
  <c r="AW22" i="30"/>
  <c r="AX22" i="30"/>
  <c r="AY22" i="30"/>
  <c r="AZ22" i="30"/>
  <c r="BA22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BA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X15" i="27"/>
  <c r="Y15" i="27"/>
  <c r="Z15" i="27"/>
  <c r="AA15" i="27"/>
  <c r="AB15" i="27"/>
  <c r="AC15" i="27"/>
  <c r="AD15" i="27"/>
  <c r="V5" i="30" s="1"/>
  <c r="AE15" i="27"/>
  <c r="W5" i="30" s="1"/>
  <c r="AF15" i="27"/>
  <c r="X5" i="30" s="1"/>
  <c r="AG15" i="27"/>
  <c r="Y5" i="30" s="1"/>
  <c r="AH15" i="27"/>
  <c r="Z5" i="30" s="1"/>
  <c r="AI15" i="27"/>
  <c r="AJ15" i="27"/>
  <c r="AK15" i="27"/>
  <c r="AC5" i="30" s="1"/>
  <c r="AL15" i="27"/>
  <c r="AD5" i="30" s="1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BC15" i="27"/>
  <c r="BD15" i="27"/>
  <c r="BE15" i="27"/>
  <c r="BF15" i="27"/>
  <c r="BG15" i="27"/>
  <c r="BH15" i="27"/>
  <c r="BI15" i="27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AL14" i="31"/>
  <c r="AM14" i="31"/>
  <c r="AN14" i="31"/>
  <c r="AO14" i="31"/>
  <c r="AP14" i="31"/>
  <c r="AQ14" i="31"/>
  <c r="AR14" i="31"/>
  <c r="AS14" i="31"/>
  <c r="AT14" i="31"/>
  <c r="AU14" i="31"/>
  <c r="AV14" i="31"/>
  <c r="AW14" i="31"/>
  <c r="AX14" i="31"/>
  <c r="AY14" i="31"/>
  <c r="AZ14" i="31"/>
  <c r="H14" i="31"/>
  <c r="I14" i="31"/>
  <c r="J14" i="31"/>
  <c r="K14" i="31"/>
  <c r="L14" i="31"/>
  <c r="M14" i="31"/>
  <c r="N14" i="31"/>
  <c r="O14" i="31"/>
  <c r="F14" i="31"/>
  <c r="G14" i="31"/>
  <c r="E14" i="31"/>
  <c r="D14" i="31"/>
  <c r="C14" i="31"/>
  <c r="AH21" i="31"/>
  <c r="AI21" i="31"/>
  <c r="AJ21" i="31"/>
  <c r="AK21" i="31"/>
  <c r="AL21" i="31"/>
  <c r="AM21" i="31"/>
  <c r="AN21" i="31"/>
  <c r="AO21" i="31"/>
  <c r="AP21" i="31"/>
  <c r="AQ21" i="31"/>
  <c r="AR21" i="31"/>
  <c r="AS21" i="31"/>
  <c r="AT21" i="31"/>
  <c r="AU21" i="31"/>
  <c r="AV21" i="31"/>
  <c r="AW21" i="31"/>
  <c r="AX21" i="31"/>
  <c r="AY21" i="31"/>
  <c r="AZ21" i="31"/>
  <c r="BA21" i="31"/>
  <c r="AH22" i="31"/>
  <c r="AI22" i="31"/>
  <c r="AJ22" i="31"/>
  <c r="AK22" i="31"/>
  <c r="AL22" i="31"/>
  <c r="AM22" i="31"/>
  <c r="AN22" i="31"/>
  <c r="AO22" i="31"/>
  <c r="AP22" i="31"/>
  <c r="AQ22" i="31"/>
  <c r="AR22" i="31"/>
  <c r="AS22" i="31"/>
  <c r="AT22" i="31"/>
  <c r="AU22" i="31"/>
  <c r="AV22" i="31"/>
  <c r="AW22" i="31"/>
  <c r="AX22" i="31"/>
  <c r="AY22" i="31"/>
  <c r="AZ22" i="31"/>
  <c r="BA22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AW3" i="31"/>
  <c r="AX3" i="31"/>
  <c r="AY3" i="31"/>
  <c r="AZ3" i="31"/>
  <c r="BA3" i="31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X14" i="27"/>
  <c r="Y14" i="27"/>
  <c r="Z14" i="27"/>
  <c r="AA14" i="27"/>
  <c r="S5" i="31" s="1"/>
  <c r="AB14" i="27"/>
  <c r="T5" i="31" s="1"/>
  <c r="AC14" i="27"/>
  <c r="U5" i="31" s="1"/>
  <c r="AD14" i="27"/>
  <c r="V5" i="12" s="1"/>
  <c r="AE14" i="27"/>
  <c r="W5" i="12" s="1"/>
  <c r="AF14" i="27"/>
  <c r="X5" i="12" s="1"/>
  <c r="AG14" i="27"/>
  <c r="Y5" i="12" s="1"/>
  <c r="AH14" i="27"/>
  <c r="Z5" i="31" s="1"/>
  <c r="AI14" i="27"/>
  <c r="AA5" i="31" s="1"/>
  <c r="AJ14" i="27"/>
  <c r="AB5" i="31" s="1"/>
  <c r="AK14" i="27"/>
  <c r="AC5" i="31" s="1"/>
  <c r="AL14" i="27"/>
  <c r="AM14" i="27"/>
  <c r="AN14" i="27"/>
  <c r="AO14" i="27"/>
  <c r="AG5" i="31" s="1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BC14" i="27"/>
  <c r="BD14" i="27"/>
  <c r="BE14" i="27"/>
  <c r="BF14" i="27"/>
  <c r="BG14" i="27"/>
  <c r="BH14" i="27"/>
  <c r="BI14" i="27"/>
  <c r="BA3" i="27"/>
  <c r="BB3" i="27"/>
  <c r="BC3" i="27"/>
  <c r="BD3" i="27"/>
  <c r="BE3" i="27"/>
  <c r="BF3" i="27"/>
  <c r="BG3" i="27"/>
  <c r="BH3" i="27"/>
  <c r="BI3" i="27"/>
  <c r="AL3" i="27"/>
  <c r="AM3" i="27" s="1"/>
  <c r="AN3" i="27" s="1"/>
  <c r="AO3" i="27" s="1"/>
  <c r="AP3" i="27" s="1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X3" i="27"/>
  <c r="Y3" i="27"/>
  <c r="Z3" i="27"/>
  <c r="AA3" i="27"/>
  <c r="AB3" i="27"/>
  <c r="AC3" i="27"/>
  <c r="AD3" i="27"/>
  <c r="AE3" i="27"/>
  <c r="AF3" i="27"/>
  <c r="AG3" i="27" s="1"/>
  <c r="AH3" i="27" s="1"/>
  <c r="AI3" i="27" s="1"/>
  <c r="AJ3" i="27" s="1"/>
  <c r="AK3" i="27" s="1"/>
  <c r="B19" i="31"/>
  <c r="B18" i="31"/>
  <c r="E8" i="29"/>
  <c r="D8" i="29"/>
  <c r="B12" i="31"/>
  <c r="B10" i="31"/>
  <c r="P29" i="28"/>
  <c r="E30" i="29"/>
  <c r="D30" i="29"/>
  <c r="B11" i="31"/>
  <c r="P38" i="28"/>
  <c r="B20" i="31"/>
  <c r="B17" i="31"/>
  <c r="B14" i="31"/>
  <c r="B13" i="31"/>
  <c r="B9" i="31"/>
  <c r="B5" i="31"/>
  <c r="B4" i="31"/>
  <c r="B3" i="31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E11" i="30"/>
  <c r="D11" i="30"/>
  <c r="C11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E10" i="30"/>
  <c r="D10" i="30"/>
  <c r="C10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AG5" i="30"/>
  <c r="AF5" i="30"/>
  <c r="AE5" i="30"/>
  <c r="AB5" i="30"/>
  <c r="AA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20" i="30"/>
  <c r="B19" i="30"/>
  <c r="B18" i="30"/>
  <c r="B17" i="30"/>
  <c r="B14" i="30"/>
  <c r="B13" i="30"/>
  <c r="B12" i="30"/>
  <c r="B11" i="30"/>
  <c r="B10" i="30"/>
  <c r="B9" i="30"/>
  <c r="B5" i="30"/>
  <c r="B4" i="30"/>
  <c r="B3" i="30"/>
  <c r="AG22" i="31"/>
  <c r="AF22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AG21" i="31"/>
  <c r="AF21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G20" i="31"/>
  <c r="AF20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AG19" i="31"/>
  <c r="AF19" i="31"/>
  <c r="AE19" i="31"/>
  <c r="AD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E13" i="31"/>
  <c r="D13" i="31"/>
  <c r="C13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AF5" i="31"/>
  <c r="AE5" i="31"/>
  <c r="AD5" i="31"/>
  <c r="Y5" i="31"/>
  <c r="X5" i="31"/>
  <c r="W5" i="31"/>
  <c r="V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AG4" i="31"/>
  <c r="AF4" i="31"/>
  <c r="AE4" i="31"/>
  <c r="AD4" i="31"/>
  <c r="AC4" i="31"/>
  <c r="AB4" i="31"/>
  <c r="AA4" i="31"/>
  <c r="Z4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AG3" i="31"/>
  <c r="AF3" i="31"/>
  <c r="AE3" i="31"/>
  <c r="AD3" i="31"/>
  <c r="AC3" i="31"/>
  <c r="AB3" i="31"/>
  <c r="AA3" i="31"/>
  <c r="Z3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22" i="30"/>
  <c r="B21" i="30"/>
  <c r="I19" i="27"/>
  <c r="H19" i="27"/>
  <c r="G19" i="27"/>
  <c r="F19" i="27"/>
  <c r="E19" i="27"/>
  <c r="D19" i="27"/>
  <c r="W19" i="27"/>
  <c r="V19" i="27"/>
  <c r="U19" i="27"/>
  <c r="T19" i="27"/>
  <c r="S19" i="27"/>
  <c r="R19" i="27"/>
  <c r="Q19" i="27"/>
  <c r="P19" i="27"/>
  <c r="O19" i="27"/>
  <c r="N19" i="27"/>
  <c r="M19" i="27"/>
  <c r="E9" i="12" s="1"/>
  <c r="L19" i="27"/>
  <c r="D9" i="12" s="1"/>
  <c r="K19" i="27"/>
  <c r="C9" i="12" s="1"/>
  <c r="J19" i="27"/>
  <c r="A15" i="27"/>
  <c r="AG5" i="12"/>
  <c r="AF5" i="12"/>
  <c r="AE5" i="12"/>
  <c r="AD5" i="12"/>
  <c r="AA5" i="12"/>
  <c r="Z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E13" i="12"/>
  <c r="D13" i="12"/>
  <c r="C13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22" i="12"/>
  <c r="B21" i="12"/>
  <c r="B20" i="12"/>
  <c r="B19" i="12"/>
  <c r="B18" i="12"/>
  <c r="A50" i="27"/>
  <c r="B17" i="12"/>
  <c r="B14" i="12"/>
  <c r="B12" i="12"/>
  <c r="B13" i="12"/>
  <c r="B11" i="12"/>
  <c r="B10" i="12"/>
  <c r="B9" i="12"/>
  <c r="B4" i="12"/>
  <c r="B3" i="12"/>
  <c r="A62" i="27"/>
  <c r="A58" i="27"/>
  <c r="A54" i="27"/>
  <c r="B44" i="27"/>
  <c r="A40" i="27"/>
  <c r="A36" i="27"/>
  <c r="A32" i="27"/>
  <c r="A28" i="27"/>
  <c r="A20" i="27"/>
  <c r="A9" i="27"/>
  <c r="A5" i="27"/>
  <c r="O31" i="29"/>
  <c r="N31" i="29"/>
  <c r="E29" i="29"/>
  <c r="D29" i="29"/>
  <c r="F28" i="29"/>
  <c r="G28" i="29" s="1"/>
  <c r="H28" i="29" s="1"/>
  <c r="I28" i="29" s="1"/>
  <c r="E28" i="29"/>
  <c r="B23" i="29"/>
  <c r="E19" i="29"/>
  <c r="D19" i="29"/>
  <c r="E18" i="29"/>
  <c r="D18" i="29"/>
  <c r="E17" i="29"/>
  <c r="F17" i="29" s="1"/>
  <c r="O15" i="29"/>
  <c r="N15" i="29"/>
  <c r="M15" i="29"/>
  <c r="L15" i="29"/>
  <c r="K15" i="29"/>
  <c r="J15" i="29"/>
  <c r="I15" i="29"/>
  <c r="H15" i="29"/>
  <c r="G15" i="29"/>
  <c r="F15" i="29"/>
  <c r="E15" i="29"/>
  <c r="O11" i="29"/>
  <c r="N11" i="29"/>
  <c r="M11" i="29"/>
  <c r="L11" i="29"/>
  <c r="K11" i="29"/>
  <c r="J11" i="29"/>
  <c r="I11" i="29"/>
  <c r="H11" i="29"/>
  <c r="G11" i="29"/>
  <c r="F11" i="29"/>
  <c r="E11" i="29"/>
  <c r="D10" i="29"/>
  <c r="E9" i="29"/>
  <c r="F9" i="29" s="1"/>
  <c r="G9" i="29" s="1"/>
  <c r="D9" i="29"/>
  <c r="E7" i="29"/>
  <c r="D7" i="29"/>
  <c r="E6" i="29"/>
  <c r="D6" i="29"/>
  <c r="E5" i="29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O60" i="28"/>
  <c r="N60" i="28"/>
  <c r="E60" i="28"/>
  <c r="E59" i="28"/>
  <c r="O57" i="28"/>
  <c r="W61" i="27" s="1"/>
  <c r="N57" i="28"/>
  <c r="V61" i="27" s="1"/>
  <c r="M57" i="28"/>
  <c r="U61" i="27" s="1"/>
  <c r="L57" i="28"/>
  <c r="T61" i="27" s="1"/>
  <c r="K57" i="28"/>
  <c r="J57" i="28"/>
  <c r="I57" i="28"/>
  <c r="H57" i="28"/>
  <c r="G57" i="28"/>
  <c r="F57" i="28"/>
  <c r="E57" i="28"/>
  <c r="O55" i="28"/>
  <c r="E55" i="28"/>
  <c r="O52" i="28"/>
  <c r="N52" i="28"/>
  <c r="W57" i="27" s="1"/>
  <c r="M52" i="28"/>
  <c r="L52" i="28"/>
  <c r="K52" i="28"/>
  <c r="J52" i="28"/>
  <c r="I52" i="28"/>
  <c r="H52" i="28"/>
  <c r="G52" i="28"/>
  <c r="F52" i="28"/>
  <c r="E52" i="28"/>
  <c r="N57" i="27" s="1"/>
  <c r="O50" i="28"/>
  <c r="E50" i="28"/>
  <c r="O45" i="28"/>
  <c r="K45" i="28"/>
  <c r="H45" i="28"/>
  <c r="E45" i="28"/>
  <c r="O42" i="28"/>
  <c r="W46" i="27" s="1"/>
  <c r="E42" i="28"/>
  <c r="O35" i="28"/>
  <c r="W31" i="27" s="1"/>
  <c r="N35" i="28"/>
  <c r="V31" i="27" s="1"/>
  <c r="M35" i="28"/>
  <c r="L35" i="28"/>
  <c r="K35" i="28"/>
  <c r="J35" i="28"/>
  <c r="R31" i="27" s="1"/>
  <c r="I35" i="28"/>
  <c r="H35" i="28"/>
  <c r="G35" i="28"/>
  <c r="O31" i="27" s="1"/>
  <c r="F35" i="28"/>
  <c r="E35" i="28"/>
  <c r="O33" i="28"/>
  <c r="E33" i="28"/>
  <c r="O25" i="28"/>
  <c r="N25" i="28"/>
  <c r="M25" i="28"/>
  <c r="L25" i="28"/>
  <c r="K25" i="28"/>
  <c r="J25" i="28"/>
  <c r="I25" i="28"/>
  <c r="H25" i="28"/>
  <c r="G25" i="28"/>
  <c r="F25" i="28"/>
  <c r="E25" i="28"/>
  <c r="E24" i="28"/>
  <c r="O22" i="28"/>
  <c r="N22" i="28"/>
  <c r="M22" i="28"/>
  <c r="L22" i="28"/>
  <c r="K22" i="28"/>
  <c r="J22" i="28"/>
  <c r="I22" i="28"/>
  <c r="H22" i="28"/>
  <c r="G22" i="28"/>
  <c r="F22" i="28"/>
  <c r="E22" i="28"/>
  <c r="E21" i="28"/>
  <c r="O18" i="28"/>
  <c r="N18" i="28"/>
  <c r="M18" i="28"/>
  <c r="L18" i="28"/>
  <c r="K18" i="28"/>
  <c r="J18" i="28"/>
  <c r="I18" i="28"/>
  <c r="H18" i="28"/>
  <c r="G18" i="28"/>
  <c r="F18" i="28"/>
  <c r="E18" i="28"/>
  <c r="O16" i="28"/>
  <c r="W8" i="27" s="1"/>
  <c r="N16" i="28"/>
  <c r="V8" i="27" s="1"/>
  <c r="M16" i="28"/>
  <c r="U8" i="27" s="1"/>
  <c r="L16" i="28"/>
  <c r="T8" i="27" s="1"/>
  <c r="K16" i="28"/>
  <c r="J16" i="28"/>
  <c r="I16" i="28"/>
  <c r="Q8" i="27" s="1"/>
  <c r="H16" i="28"/>
  <c r="G16" i="28"/>
  <c r="F16" i="28"/>
  <c r="E16" i="28"/>
  <c r="D16" i="28"/>
  <c r="O12" i="28"/>
  <c r="O11" i="28" s="1"/>
  <c r="K12" i="28"/>
  <c r="H12" i="28"/>
  <c r="E12" i="28"/>
  <c r="K11" i="28"/>
  <c r="H11" i="28"/>
  <c r="E11" i="28"/>
  <c r="E10" i="28"/>
  <c r="O8" i="28"/>
  <c r="N8" i="28"/>
  <c r="M8" i="28"/>
  <c r="L8" i="28"/>
  <c r="K8" i="28"/>
  <c r="J8" i="28"/>
  <c r="I8" i="28"/>
  <c r="H8" i="28"/>
  <c r="G8" i="28"/>
  <c r="F8" i="28"/>
  <c r="E8" i="28"/>
  <c r="O7" i="28"/>
  <c r="N7" i="28"/>
  <c r="M7" i="28"/>
  <c r="L7" i="28"/>
  <c r="K7" i="28"/>
  <c r="J7" i="28"/>
  <c r="I7" i="28"/>
  <c r="H7" i="28"/>
  <c r="G7" i="28"/>
  <c r="F7" i="28"/>
  <c r="E7" i="28"/>
  <c r="A7" i="28"/>
  <c r="E6" i="28"/>
  <c r="E13" i="28" s="1"/>
  <c r="D6" i="28"/>
  <c r="E5" i="28"/>
  <c r="F5" i="28" s="1"/>
  <c r="S61" i="27"/>
  <c r="R61" i="27"/>
  <c r="Q61" i="27"/>
  <c r="P61" i="27"/>
  <c r="O61" i="27"/>
  <c r="N61" i="27"/>
  <c r="V57" i="27"/>
  <c r="U57" i="27"/>
  <c r="T57" i="27"/>
  <c r="S57" i="27"/>
  <c r="R57" i="27"/>
  <c r="Q57" i="27"/>
  <c r="P57" i="27"/>
  <c r="O57" i="27"/>
  <c r="N50" i="27"/>
  <c r="W49" i="27"/>
  <c r="V49" i="27"/>
  <c r="U49" i="27"/>
  <c r="T49" i="27"/>
  <c r="S49" i="27"/>
  <c r="R49" i="27"/>
  <c r="Q49" i="27"/>
  <c r="N49" i="27"/>
  <c r="P49" i="27" s="1"/>
  <c r="M45" i="27"/>
  <c r="D48" i="28" s="1"/>
  <c r="L45" i="27"/>
  <c r="K45" i="27"/>
  <c r="J45" i="27"/>
  <c r="J44" i="27" s="1"/>
  <c r="I45" i="27"/>
  <c r="H45" i="27"/>
  <c r="H44" i="27" s="1"/>
  <c r="G45" i="27"/>
  <c r="G44" i="27" s="1"/>
  <c r="F45" i="27"/>
  <c r="F44" i="27" s="1"/>
  <c r="E45" i="27"/>
  <c r="E44" i="27" s="1"/>
  <c r="D45" i="27"/>
  <c r="L44" i="27"/>
  <c r="K44" i="27"/>
  <c r="I44" i="27"/>
  <c r="D44" i="27"/>
  <c r="M43" i="27"/>
  <c r="L43" i="27"/>
  <c r="D44" i="28" s="1"/>
  <c r="K43" i="27"/>
  <c r="J43" i="27"/>
  <c r="I43" i="27"/>
  <c r="H43" i="27"/>
  <c r="G43" i="27"/>
  <c r="F43" i="27"/>
  <c r="E43" i="27"/>
  <c r="D43" i="27"/>
  <c r="W36" i="27"/>
  <c r="V36" i="27"/>
  <c r="U36" i="27"/>
  <c r="T36" i="27"/>
  <c r="S36" i="27"/>
  <c r="R36" i="27"/>
  <c r="Q36" i="27"/>
  <c r="P36" i="27"/>
  <c r="O36" i="27"/>
  <c r="N36" i="27"/>
  <c r="U31" i="27"/>
  <c r="T31" i="27"/>
  <c r="S31" i="27"/>
  <c r="Q31" i="27"/>
  <c r="P31" i="27"/>
  <c r="N31" i="27"/>
  <c r="N15" i="27"/>
  <c r="R15" i="27" s="1"/>
  <c r="W14" i="27"/>
  <c r="V14" i="27"/>
  <c r="U14" i="27"/>
  <c r="T14" i="27"/>
  <c r="N14" i="27"/>
  <c r="S14" i="27" s="1"/>
  <c r="W9" i="27"/>
  <c r="V9" i="27"/>
  <c r="U9" i="27"/>
  <c r="T9" i="27"/>
  <c r="S9" i="27"/>
  <c r="R9" i="27"/>
  <c r="Q9" i="27"/>
  <c r="P9" i="27"/>
  <c r="O9" i="27"/>
  <c r="N9" i="27"/>
  <c r="S8" i="27"/>
  <c r="R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W5" i="27"/>
  <c r="T5" i="27"/>
  <c r="S5" i="27"/>
  <c r="R5" i="27"/>
  <c r="N5" i="27"/>
  <c r="Q5" i="27" s="1"/>
  <c r="N3" i="27"/>
  <c r="O3" i="27" s="1"/>
  <c r="P3" i="27" s="1"/>
  <c r="Q3" i="27" s="1"/>
  <c r="R3" i="27" s="1"/>
  <c r="S3" i="27" s="1"/>
  <c r="T3" i="27" s="1"/>
  <c r="U3" i="27" s="1"/>
  <c r="V3" i="27" s="1"/>
  <c r="W3" i="27" s="1"/>
  <c r="AB5" i="12" l="1"/>
  <c r="AC5" i="12"/>
  <c r="U5" i="12"/>
  <c r="P28" i="28"/>
  <c r="D31" i="29"/>
  <c r="E32" i="28"/>
  <c r="E37" i="28" s="1"/>
  <c r="P39" i="28"/>
  <c r="E31" i="29"/>
  <c r="E39" i="28"/>
  <c r="C25" i="27"/>
  <c r="P19" i="29" s="1"/>
  <c r="F21" i="28"/>
  <c r="G21" i="28" s="1"/>
  <c r="E10" i="29"/>
  <c r="E38" i="28"/>
  <c r="E27" i="28"/>
  <c r="E29" i="28" s="1"/>
  <c r="P5" i="27"/>
  <c r="O14" i="27"/>
  <c r="K10" i="29"/>
  <c r="Q14" i="27"/>
  <c r="V50" i="27"/>
  <c r="U50" i="27"/>
  <c r="T50" i="27"/>
  <c r="S50" i="27"/>
  <c r="R50" i="27"/>
  <c r="Q50" i="27"/>
  <c r="P50" i="27"/>
  <c r="O50" i="27"/>
  <c r="J28" i="29"/>
  <c r="F6" i="28"/>
  <c r="W50" i="27"/>
  <c r="O59" i="28"/>
  <c r="W62" i="27" s="1"/>
  <c r="M44" i="27"/>
  <c r="D47" i="28" s="1"/>
  <c r="P48" i="28"/>
  <c r="E44" i="28"/>
  <c r="E41" i="28"/>
  <c r="W15" i="27"/>
  <c r="V15" i="27"/>
  <c r="T15" i="27"/>
  <c r="S15" i="27"/>
  <c r="O15" i="27"/>
  <c r="J10" i="29"/>
  <c r="I10" i="29"/>
  <c r="H10" i="29"/>
  <c r="G10" i="29"/>
  <c r="G6" i="29" s="1"/>
  <c r="F10" i="29"/>
  <c r="F6" i="29" s="1"/>
  <c r="P15" i="27"/>
  <c r="H9" i="29"/>
  <c r="F24" i="28"/>
  <c r="F27" i="28" s="1"/>
  <c r="E21" i="29"/>
  <c r="O21" i="29"/>
  <c r="Q15" i="27"/>
  <c r="U15" i="27"/>
  <c r="G17" i="29"/>
  <c r="G5" i="28"/>
  <c r="V5" i="27"/>
  <c r="U5" i="27"/>
  <c r="O5" i="27"/>
  <c r="P14" i="27"/>
  <c r="D41" i="28"/>
  <c r="R14" i="27"/>
  <c r="O49" i="27"/>
  <c r="E28" i="28" l="1"/>
  <c r="L10" i="29"/>
  <c r="O10" i="29"/>
  <c r="N10" i="29"/>
  <c r="M10" i="29"/>
  <c r="N53" i="27"/>
  <c r="G6" i="28"/>
  <c r="H17" i="29"/>
  <c r="E48" i="28"/>
  <c r="E47" i="28" s="1"/>
  <c r="O35" i="27"/>
  <c r="G8" i="29"/>
  <c r="G27" i="28"/>
  <c r="H21" i="28"/>
  <c r="K28" i="29"/>
  <c r="N35" i="27"/>
  <c r="F8" i="29"/>
  <c r="F29" i="28"/>
  <c r="F28" i="28"/>
  <c r="N28" i="27" s="1"/>
  <c r="F10" i="30" s="1"/>
  <c r="N27" i="27"/>
  <c r="G24" i="28"/>
  <c r="H6" i="29"/>
  <c r="I9" i="29"/>
  <c r="H5" i="28"/>
  <c r="G14" i="28"/>
  <c r="G13" i="28" s="1"/>
  <c r="G46" i="28"/>
  <c r="G45" i="28" s="1"/>
  <c r="I21" i="28" l="1"/>
  <c r="L28" i="29"/>
  <c r="G28" i="28"/>
  <c r="O28" i="27" s="1"/>
  <c r="G10" i="30" s="1"/>
  <c r="G29" i="28"/>
  <c r="I5" i="28"/>
  <c r="F14" i="28"/>
  <c r="F13" i="28" s="1"/>
  <c r="F46" i="28"/>
  <c r="F45" i="28" s="1"/>
  <c r="F44" i="28" s="1"/>
  <c r="F12" i="28"/>
  <c r="F11" i="28" s="1"/>
  <c r="F10" i="28" s="1"/>
  <c r="G12" i="28"/>
  <c r="G11" i="28" s="1"/>
  <c r="I6" i="29"/>
  <c r="J9" i="29"/>
  <c r="H24" i="28"/>
  <c r="O27" i="27"/>
  <c r="H6" i="28"/>
  <c r="O53" i="27"/>
  <c r="P35" i="27"/>
  <c r="H8" i="29"/>
  <c r="I17" i="29"/>
  <c r="J6" i="29" l="1"/>
  <c r="K9" i="29"/>
  <c r="J5" i="28"/>
  <c r="M28" i="29"/>
  <c r="I24" i="28"/>
  <c r="P27" i="27"/>
  <c r="N54" i="27"/>
  <c r="G10" i="28"/>
  <c r="H13" i="28"/>
  <c r="P53" i="27"/>
  <c r="I6" i="28"/>
  <c r="I27" i="28"/>
  <c r="J21" i="28"/>
  <c r="Q35" i="27"/>
  <c r="I8" i="29"/>
  <c r="G44" i="28"/>
  <c r="N43" i="27"/>
  <c r="J17" i="29"/>
  <c r="H27" i="28"/>
  <c r="J6" i="28" l="1"/>
  <c r="Q53" i="27"/>
  <c r="H28" i="28"/>
  <c r="P28" i="27" s="1"/>
  <c r="H10" i="30" s="1"/>
  <c r="H29" i="28"/>
  <c r="I28" i="28"/>
  <c r="Q28" i="27" s="1"/>
  <c r="I10" i="30" s="1"/>
  <c r="I29" i="28"/>
  <c r="O54" i="27"/>
  <c r="H10" i="28"/>
  <c r="J24" i="28"/>
  <c r="Q27" i="27"/>
  <c r="N28" i="29"/>
  <c r="O28" i="29" s="1"/>
  <c r="I31" i="29"/>
  <c r="J31" i="29"/>
  <c r="K31" i="29"/>
  <c r="L31" i="29"/>
  <c r="H44" i="28"/>
  <c r="O43" i="27"/>
  <c r="K5" i="28"/>
  <c r="J14" i="28"/>
  <c r="J13" i="28" s="1"/>
  <c r="I46" i="28"/>
  <c r="I45" i="28" s="1"/>
  <c r="K6" i="29"/>
  <c r="L9" i="29"/>
  <c r="K17" i="29"/>
  <c r="K21" i="28"/>
  <c r="J27" i="28"/>
  <c r="J8" i="29"/>
  <c r="R35" i="27"/>
  <c r="J28" i="28" l="1"/>
  <c r="R28" i="27" s="1"/>
  <c r="J10" i="30" s="1"/>
  <c r="J29" i="28"/>
  <c r="L21" i="28"/>
  <c r="K24" i="28"/>
  <c r="R27" i="27"/>
  <c r="L6" i="29"/>
  <c r="M9" i="29"/>
  <c r="P54" i="27"/>
  <c r="I10" i="28"/>
  <c r="L17" i="29"/>
  <c r="K8" i="29"/>
  <c r="S35" i="27"/>
  <c r="L5" i="28"/>
  <c r="J46" i="28"/>
  <c r="J45" i="28" s="1"/>
  <c r="I12" i="28"/>
  <c r="I11" i="28" s="1"/>
  <c r="J12" i="28"/>
  <c r="J11" i="28" s="1"/>
  <c r="I14" i="28"/>
  <c r="I13" i="28" s="1"/>
  <c r="P43" i="27"/>
  <c r="I44" i="28"/>
  <c r="K6" i="28"/>
  <c r="R53" i="27"/>
  <c r="M5" i="28" l="1"/>
  <c r="L60" i="28" s="1"/>
  <c r="K13" i="28"/>
  <c r="L6" i="28"/>
  <c r="S53" i="27"/>
  <c r="M6" i="29"/>
  <c r="N9" i="29"/>
  <c r="L8" i="29"/>
  <c r="T35" i="27"/>
  <c r="L24" i="28"/>
  <c r="L27" i="28" s="1"/>
  <c r="S27" i="27"/>
  <c r="Q43" i="27"/>
  <c r="J44" i="28"/>
  <c r="K27" i="28"/>
  <c r="M21" i="28"/>
  <c r="M17" i="29"/>
  <c r="Q54" i="27"/>
  <c r="J10" i="28"/>
  <c r="L28" i="28" l="1"/>
  <c r="T28" i="27" s="1"/>
  <c r="L10" i="30" s="1"/>
  <c r="L29" i="28"/>
  <c r="R54" i="27"/>
  <c r="K10" i="28"/>
  <c r="K28" i="28"/>
  <c r="S28" i="27" s="1"/>
  <c r="K10" i="30" s="1"/>
  <c r="K29" i="28"/>
  <c r="R43" i="27"/>
  <c r="K44" i="28"/>
  <c r="M24" i="28"/>
  <c r="T27" i="27"/>
  <c r="N6" i="29"/>
  <c r="O9" i="29"/>
  <c r="O6" i="29" s="1"/>
  <c r="M8" i="29"/>
  <c r="U35" i="27"/>
  <c r="M6" i="28"/>
  <c r="T53" i="27"/>
  <c r="N17" i="29"/>
  <c r="N21" i="28"/>
  <c r="N5" i="28"/>
  <c r="F60" i="28"/>
  <c r="G60" i="28"/>
  <c r="H60" i="28"/>
  <c r="I60" i="28"/>
  <c r="J60" i="28"/>
  <c r="K60" i="28"/>
  <c r="N24" i="28" l="1"/>
  <c r="U27" i="27"/>
  <c r="S43" i="27"/>
  <c r="O5" i="28"/>
  <c r="N43" i="28" s="1"/>
  <c r="N42" i="28" s="1"/>
  <c r="V46" i="27" s="1"/>
  <c r="N14" i="28"/>
  <c r="O8" i="29"/>
  <c r="W35" i="27"/>
  <c r="N22" i="29"/>
  <c r="N21" i="29" s="1"/>
  <c r="O17" i="29"/>
  <c r="P22" i="29" s="1"/>
  <c r="N8" i="29"/>
  <c r="V35" i="27"/>
  <c r="M27" i="28"/>
  <c r="O21" i="28"/>
  <c r="N27" i="28"/>
  <c r="S54" i="27"/>
  <c r="N6" i="28"/>
  <c r="U53" i="27"/>
  <c r="N13" i="28" l="1"/>
  <c r="N46" i="28"/>
  <c r="N45" i="28" s="1"/>
  <c r="F22" i="29"/>
  <c r="F21" i="29" s="1"/>
  <c r="F19" i="29" s="1"/>
  <c r="G22" i="29"/>
  <c r="G21" i="29" s="1"/>
  <c r="H22" i="29"/>
  <c r="H21" i="29" s="1"/>
  <c r="I22" i="29"/>
  <c r="I21" i="29" s="1"/>
  <c r="J22" i="29"/>
  <c r="J21" i="29" s="1"/>
  <c r="K22" i="29"/>
  <c r="K21" i="29" s="1"/>
  <c r="L22" i="29"/>
  <c r="L21" i="29" s="1"/>
  <c r="M22" i="29"/>
  <c r="M21" i="29" s="1"/>
  <c r="N28" i="28"/>
  <c r="V28" i="27" s="1"/>
  <c r="N10" i="30" s="1"/>
  <c r="N29" i="28"/>
  <c r="P34" i="28"/>
  <c r="F34" i="28" s="1"/>
  <c r="P51" i="28"/>
  <c r="F51" i="28" s="1"/>
  <c r="F43" i="28"/>
  <c r="F42" i="28" s="1"/>
  <c r="P56" i="28"/>
  <c r="F56" i="28" s="1"/>
  <c r="M12" i="28"/>
  <c r="M11" i="28" s="1"/>
  <c r="N12" i="28"/>
  <c r="N11" i="28" s="1"/>
  <c r="L12" i="28"/>
  <c r="L11" i="28" s="1"/>
  <c r="L10" i="28" s="1"/>
  <c r="G43" i="28"/>
  <c r="G42" i="28" s="1"/>
  <c r="O46" i="27" s="1"/>
  <c r="H43" i="28"/>
  <c r="H42" i="28" s="1"/>
  <c r="P46" i="27" s="1"/>
  <c r="I43" i="28"/>
  <c r="I42" i="28" s="1"/>
  <c r="Q46" i="27" s="1"/>
  <c r="J43" i="28"/>
  <c r="J42" i="28" s="1"/>
  <c r="R46" i="27" s="1"/>
  <c r="K43" i="28"/>
  <c r="K42" i="28" s="1"/>
  <c r="S46" i="27" s="1"/>
  <c r="L43" i="28"/>
  <c r="L42" i="28" s="1"/>
  <c r="T46" i="27" s="1"/>
  <c r="L46" i="28"/>
  <c r="L45" i="28" s="1"/>
  <c r="L44" i="28" s="1"/>
  <c r="L14" i="28"/>
  <c r="L13" i="28" s="1"/>
  <c r="M43" i="28"/>
  <c r="M42" i="28" s="1"/>
  <c r="U46" i="27" s="1"/>
  <c r="M46" i="28"/>
  <c r="M45" i="28" s="1"/>
  <c r="M14" i="28"/>
  <c r="M13" i="28" s="1"/>
  <c r="O6" i="28"/>
  <c r="V53" i="27"/>
  <c r="M28" i="28"/>
  <c r="U28" i="27" s="1"/>
  <c r="M10" i="30" s="1"/>
  <c r="M29" i="28"/>
  <c r="O24" i="28"/>
  <c r="W27" i="27" s="1"/>
  <c r="V27" i="27"/>
  <c r="O27" i="28" l="1"/>
  <c r="T43" i="27"/>
  <c r="M44" i="28"/>
  <c r="G56" i="28"/>
  <c r="F55" i="28"/>
  <c r="F59" i="28" s="1"/>
  <c r="N62" i="27" s="1"/>
  <c r="N46" i="27"/>
  <c r="F41" i="28"/>
  <c r="O29" i="28"/>
  <c r="O28" i="28"/>
  <c r="W28" i="27" s="1"/>
  <c r="O10" i="30" s="1"/>
  <c r="W53" i="27"/>
  <c r="O13" i="28"/>
  <c r="F33" i="28"/>
  <c r="F32" i="28" s="1"/>
  <c r="G34" i="28"/>
  <c r="M10" i="28"/>
  <c r="T54" i="27"/>
  <c r="F18" i="29"/>
  <c r="F9" i="12" s="1"/>
  <c r="G19" i="29"/>
  <c r="N23" i="27"/>
  <c r="G51" i="28"/>
  <c r="F50" i="28"/>
  <c r="G41" i="28" l="1"/>
  <c r="F48" i="28"/>
  <c r="N45" i="27" s="1"/>
  <c r="N10" i="28"/>
  <c r="U54" i="27"/>
  <c r="G33" i="28"/>
  <c r="G32" i="28" s="1"/>
  <c r="H34" i="28"/>
  <c r="F30" i="29"/>
  <c r="F29" i="29" s="1"/>
  <c r="N39" i="27" s="1"/>
  <c r="F37" i="28"/>
  <c r="U43" i="27"/>
  <c r="N44" i="28"/>
  <c r="G50" i="28"/>
  <c r="H51" i="28"/>
  <c r="G18" i="29"/>
  <c r="G9" i="12" s="1"/>
  <c r="O23" i="27"/>
  <c r="H19" i="29"/>
  <c r="G55" i="28"/>
  <c r="G59" i="28" s="1"/>
  <c r="O62" i="27" s="1"/>
  <c r="H56" i="28"/>
  <c r="F13" i="31" l="1"/>
  <c r="F13" i="12"/>
  <c r="G30" i="29"/>
  <c r="G29" i="29" s="1"/>
  <c r="O39" i="27" s="1"/>
  <c r="G37" i="28"/>
  <c r="I51" i="28"/>
  <c r="H50" i="28"/>
  <c r="V43" i="27"/>
  <c r="O44" i="28"/>
  <c r="F39" i="28"/>
  <c r="F38" i="28"/>
  <c r="N32" i="27" s="1"/>
  <c r="F11" i="30" s="1"/>
  <c r="H33" i="28"/>
  <c r="H32" i="28" s="1"/>
  <c r="I34" i="28"/>
  <c r="H55" i="28"/>
  <c r="H59" i="28" s="1"/>
  <c r="P62" i="27" s="1"/>
  <c r="I56" i="28"/>
  <c r="O10" i="28"/>
  <c r="W54" i="27" s="1"/>
  <c r="V54" i="27"/>
  <c r="H18" i="29"/>
  <c r="H9" i="12" s="1"/>
  <c r="P23" i="27"/>
  <c r="I19" i="29"/>
  <c r="F47" i="28"/>
  <c r="N44" i="27" s="1"/>
  <c r="H41" i="28"/>
  <c r="G48" i="28"/>
  <c r="O45" i="27" s="1"/>
  <c r="G13" i="12" l="1"/>
  <c r="G13" i="31"/>
  <c r="G47" i="28"/>
  <c r="O44" i="27" s="1"/>
  <c r="H37" i="28"/>
  <c r="H30" i="29"/>
  <c r="H29" i="29" s="1"/>
  <c r="P39" i="27" s="1"/>
  <c r="I33" i="28"/>
  <c r="I32" i="28" s="1"/>
  <c r="J34" i="28"/>
  <c r="I41" i="28"/>
  <c r="H48" i="28"/>
  <c r="P45" i="27" s="1"/>
  <c r="I55" i="28"/>
  <c r="I59" i="28" s="1"/>
  <c r="Q62" i="27" s="1"/>
  <c r="J56" i="28"/>
  <c r="W43" i="27"/>
  <c r="I18" i="29"/>
  <c r="I9" i="12" s="1"/>
  <c r="J19" i="29"/>
  <c r="Q23" i="27"/>
  <c r="G39" i="28"/>
  <c r="G38" i="28"/>
  <c r="O32" i="27" s="1"/>
  <c r="G11" i="30" s="1"/>
  <c r="J51" i="28"/>
  <c r="I50" i="28"/>
  <c r="H13" i="12" l="1"/>
  <c r="H13" i="31"/>
  <c r="I37" i="28"/>
  <c r="I30" i="29"/>
  <c r="I29" i="29" s="1"/>
  <c r="Q39" i="27" s="1"/>
  <c r="J55" i="28"/>
  <c r="J59" i="28" s="1"/>
  <c r="R62" i="27" s="1"/>
  <c r="K56" i="28"/>
  <c r="J18" i="29"/>
  <c r="J9" i="12" s="1"/>
  <c r="R23" i="27"/>
  <c r="K19" i="29"/>
  <c r="H47" i="28"/>
  <c r="P44" i="27" s="1"/>
  <c r="J50" i="28"/>
  <c r="K51" i="28"/>
  <c r="J41" i="28"/>
  <c r="I48" i="28"/>
  <c r="Q45" i="27" s="1"/>
  <c r="J33" i="28"/>
  <c r="J32" i="28" s="1"/>
  <c r="K34" i="28"/>
  <c r="H39" i="28"/>
  <c r="H38" i="28"/>
  <c r="P32" i="27" s="1"/>
  <c r="H11" i="30" s="1"/>
  <c r="I13" i="31" l="1"/>
  <c r="I13" i="12"/>
  <c r="J37" i="28"/>
  <c r="J30" i="29"/>
  <c r="J29" i="29" s="1"/>
  <c r="R39" i="27" s="1"/>
  <c r="I47" i="28"/>
  <c r="Q44" i="27" s="1"/>
  <c r="K50" i="28"/>
  <c r="L51" i="28"/>
  <c r="K18" i="29"/>
  <c r="K9" i="12" s="1"/>
  <c r="S23" i="27"/>
  <c r="L19" i="29"/>
  <c r="K41" i="28"/>
  <c r="J48" i="28"/>
  <c r="R45" i="27" s="1"/>
  <c r="J47" i="28"/>
  <c r="R44" i="27" s="1"/>
  <c r="K33" i="28"/>
  <c r="K32" i="28" s="1"/>
  <c r="L34" i="28"/>
  <c r="K55" i="28"/>
  <c r="K59" i="28" s="1"/>
  <c r="S62" i="27" s="1"/>
  <c r="L56" i="28"/>
  <c r="I38" i="28"/>
  <c r="Q32" i="27" s="1"/>
  <c r="I11" i="30" s="1"/>
  <c r="I39" i="28"/>
  <c r="J13" i="31" l="1"/>
  <c r="J13" i="12"/>
  <c r="K37" i="28"/>
  <c r="K30" i="29"/>
  <c r="K29" i="29" s="1"/>
  <c r="S39" i="27" s="1"/>
  <c r="L55" i="28"/>
  <c r="L59" i="28" s="1"/>
  <c r="T62" i="27" s="1"/>
  <c r="M56" i="28"/>
  <c r="L41" i="28"/>
  <c r="K48" i="28"/>
  <c r="S45" i="27" s="1"/>
  <c r="L50" i="28"/>
  <c r="M51" i="28"/>
  <c r="M34" i="28"/>
  <c r="L33" i="28"/>
  <c r="L32" i="28" s="1"/>
  <c r="L18" i="29"/>
  <c r="L9" i="12" s="1"/>
  <c r="T23" i="27"/>
  <c r="M19" i="29"/>
  <c r="J39" i="28"/>
  <c r="J38" i="28"/>
  <c r="R32" i="27" s="1"/>
  <c r="J11" i="30" s="1"/>
  <c r="K13" i="31" l="1"/>
  <c r="K13" i="12"/>
  <c r="L30" i="29"/>
  <c r="L29" i="29" s="1"/>
  <c r="T39" i="27" s="1"/>
  <c r="L37" i="28"/>
  <c r="M18" i="29"/>
  <c r="M9" i="12" s="1"/>
  <c r="U23" i="27"/>
  <c r="N19" i="29"/>
  <c r="N34" i="28"/>
  <c r="N33" i="28" s="1"/>
  <c r="M33" i="28"/>
  <c r="M32" i="28" s="1"/>
  <c r="M50" i="28"/>
  <c r="N51" i="28"/>
  <c r="N50" i="28" s="1"/>
  <c r="K47" i="28"/>
  <c r="S44" i="27" s="1"/>
  <c r="M41" i="28"/>
  <c r="L48" i="28"/>
  <c r="T45" i="27" s="1"/>
  <c r="L47" i="28"/>
  <c r="T44" i="27" s="1"/>
  <c r="M55" i="28"/>
  <c r="M59" i="28" s="1"/>
  <c r="U62" i="27" s="1"/>
  <c r="N56" i="28"/>
  <c r="N55" i="28" s="1"/>
  <c r="N59" i="28" s="1"/>
  <c r="V62" i="27" s="1"/>
  <c r="K39" i="28"/>
  <c r="K38" i="28"/>
  <c r="S32" i="27" s="1"/>
  <c r="K11" i="30" s="1"/>
  <c r="L13" i="31" l="1"/>
  <c r="L13" i="12"/>
  <c r="M30" i="29"/>
  <c r="M29" i="29" s="1"/>
  <c r="U39" i="27" s="1"/>
  <c r="N32" i="28"/>
  <c r="M37" i="28"/>
  <c r="L38" i="28"/>
  <c r="T32" i="27" s="1"/>
  <c r="L11" i="30" s="1"/>
  <c r="L39" i="28"/>
  <c r="O19" i="29"/>
  <c r="N18" i="29"/>
  <c r="N9" i="12" s="1"/>
  <c r="V23" i="27"/>
  <c r="N41" i="28"/>
  <c r="M48" i="28"/>
  <c r="U45" i="27" s="1"/>
  <c r="M47" i="28"/>
  <c r="U44" i="27" s="1"/>
  <c r="M13" i="31" l="1"/>
  <c r="M13" i="12"/>
  <c r="O41" i="28"/>
  <c r="N48" i="28"/>
  <c r="V45" i="27" s="1"/>
  <c r="N47" i="28"/>
  <c r="V44" i="27" s="1"/>
  <c r="W23" i="27"/>
  <c r="O18" i="29"/>
  <c r="O9" i="12" s="1"/>
  <c r="M39" i="28"/>
  <c r="M38" i="28"/>
  <c r="U32" i="27" s="1"/>
  <c r="M11" i="30" s="1"/>
  <c r="O32" i="28"/>
  <c r="N30" i="29"/>
  <c r="N29" i="29" s="1"/>
  <c r="V39" i="27" s="1"/>
  <c r="N37" i="28"/>
  <c r="N13" i="12" l="1"/>
  <c r="N13" i="31"/>
  <c r="N39" i="28"/>
  <c r="N38" i="28"/>
  <c r="V32" i="27" s="1"/>
  <c r="N11" i="30" s="1"/>
  <c r="O30" i="29"/>
  <c r="O29" i="29" s="1"/>
  <c r="W39" i="27" s="1"/>
  <c r="O37" i="28"/>
  <c r="O48" i="28"/>
  <c r="W45" i="27" s="1"/>
  <c r="O47" i="28"/>
  <c r="W44" i="27" s="1"/>
  <c r="O13" i="12" l="1"/>
  <c r="O13" i="31"/>
  <c r="O39" i="28"/>
  <c r="O38" i="28"/>
  <c r="W32" i="27" s="1"/>
  <c r="O11" i="30" s="1"/>
</calcChain>
</file>

<file path=xl/sharedStrings.xml><?xml version="1.0" encoding="utf-8"?>
<sst xmlns="http://schemas.openxmlformats.org/spreadsheetml/2006/main" count="352" uniqueCount="158">
  <si>
    <t>BFPIaE BAU Fuel Production</t>
  </si>
  <si>
    <t>BFPIaE BAU Fuel Imports</t>
  </si>
  <si>
    <t>BFPIaE BAU Fuel Exports</t>
  </si>
  <si>
    <t>Source:</t>
  </si>
  <si>
    <t>National Energy Balance - BEN 2023</t>
  </si>
  <si>
    <t>Empresa de Pesquisa Energética - official Energy Research Office</t>
  </si>
  <si>
    <t>all fuels</t>
  </si>
  <si>
    <t>2023 edition with data up to 2022</t>
  </si>
  <si>
    <t>https://www.epe.gov.br/pt/publicacoes-dados-abertos/publicacoes/balanco-energetico-nacional-2023</t>
  </si>
  <si>
    <t>Area: Brazil, Period: Annual 2023</t>
  </si>
  <si>
    <t>Ten-Year Energy Expansion Plan - PDE 2023-32</t>
  </si>
  <si>
    <t>2023 edition with projections up to 2032</t>
  </si>
  <si>
    <t>https://www.epe.gov.br/pt/publicacoes-dados-abertos/publicacoes/plano-decenal-de-expansao-de-energia-2032</t>
  </si>
  <si>
    <t>natural gas</t>
  </si>
  <si>
    <t>see Caderno de Previsão da Produção de Petróleo e Gás Natural</t>
  </si>
  <si>
    <t>biomass</t>
  </si>
  <si>
    <t>calculated from bagasse, its main component</t>
  </si>
  <si>
    <t>bagasse</t>
  </si>
  <si>
    <t>see Oferta de Biocombustiveis</t>
  </si>
  <si>
    <t>petroleum gasoline</t>
  </si>
  <si>
    <t>see Caderno de Abastecimento de Derivados</t>
  </si>
  <si>
    <t>petroleum diesel</t>
  </si>
  <si>
    <t>biofuel gasoline</t>
  </si>
  <si>
    <t>biofuel diesel</t>
  </si>
  <si>
    <t>jet fuel</t>
  </si>
  <si>
    <t>crude oil</t>
  </si>
  <si>
    <t>heavy fuel oil</t>
  </si>
  <si>
    <t>LPG propane or butane</t>
  </si>
  <si>
    <t>Unit Conversions for hard coal, natural gas, petroleum fuels, LPG, liquid biofuels, lignite, biomass</t>
  </si>
  <si>
    <t>Annex VIII - Tables 1 - 10</t>
  </si>
  <si>
    <t>Notes</t>
  </si>
  <si>
    <t>Collect Export, Import, and Production Data for Each Fuel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</si>
  <si>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</si>
  <si>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</si>
  <si>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</si>
  <si>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</si>
  <si>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</si>
  <si>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Time Series</t>
  </si>
  <si>
    <t>This variable contains time series data.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</si>
  <si>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</si>
  <si>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</si>
  <si>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</si>
  <si>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</si>
  <si>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</si>
  <si>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</si>
  <si>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</si>
  <si>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Included Fuels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</si>
  <si>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</si>
  <si>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</si>
  <si>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</si>
  <si>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</si>
  <si>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and handled in the power sector.  District heat imports/exports are assumed to be negligible.)</t>
  </si>
  <si>
    <t>Hydrogen is an energy carrier, but can theoretically be imported</t>
  </si>
  <si>
    <t>or exported in bulk, so is included here.</t>
  </si>
  <si>
    <t>Brazil specifics</t>
  </si>
  <si>
    <t>hard coal</t>
  </si>
  <si>
    <t>No plans for new steel plants, the only consumer of hard coal. Demand to remain constant</t>
  </si>
  <si>
    <t>nuclear</t>
  </si>
  <si>
    <t>Third nuclear plant still unfinished with low likelyhood of running. Demand to remain constant</t>
  </si>
  <si>
    <t>lignite</t>
  </si>
  <si>
    <t>No new plants in the pipeline. Demand to remain constant.</t>
  </si>
  <si>
    <t>MSW</t>
  </si>
  <si>
    <t>No plants using residues in operations nor forecasted in the National Plan</t>
  </si>
  <si>
    <t>hydrogen</t>
  </si>
  <si>
    <t>No plants using H2 in operations nor forecasted in the National Plan</t>
  </si>
  <si>
    <t>DECENAL ENERGY PLAN 2023-2032</t>
  </si>
  <si>
    <t>Forecast of Oil and Natural Gas Production Notes</t>
  </si>
  <si>
    <t>Petroleum Products Supply Notes</t>
  </si>
  <si>
    <t>petroleo</t>
  </si>
  <si>
    <t>1000 m3</t>
  </si>
  <si>
    <t>keep proportion</t>
  </si>
  <si>
    <t>Mbbl</t>
  </si>
  <si>
    <t>production</t>
  </si>
  <si>
    <t>Mbbl/d</t>
  </si>
  <si>
    <t>import</t>
  </si>
  <si>
    <t>export</t>
  </si>
  <si>
    <t>Relação entre exportação de petróleo e produção nacional</t>
  </si>
  <si>
    <t>nat gas</t>
  </si>
  <si>
    <t>10^6 m3</t>
  </si>
  <si>
    <t>Mm3/d</t>
  </si>
  <si>
    <t>pet gasoline</t>
  </si>
  <si>
    <t>demand</t>
  </si>
  <si>
    <t>imp+exp</t>
  </si>
  <si>
    <t>imp</t>
  </si>
  <si>
    <t>exp</t>
  </si>
  <si>
    <t>pet diesel</t>
  </si>
  <si>
    <t>ktoe</t>
  </si>
  <si>
    <t>km3/ktoe</t>
  </si>
  <si>
    <t>LPG</t>
  </si>
  <si>
    <t>importação</t>
  </si>
  <si>
    <t>relação produção satisfaz demanda</t>
  </si>
  <si>
    <t>Biofuels Supply Notes</t>
  </si>
  <si>
    <t>Biofuel Gasoline (Ethanol)</t>
  </si>
  <si>
    <t>total</t>
  </si>
  <si>
    <t>oferta</t>
  </si>
  <si>
    <t>cana</t>
  </si>
  <si>
    <t>milho</t>
  </si>
  <si>
    <t>1000 t</t>
  </si>
  <si>
    <t>GWmed</t>
  </si>
  <si>
    <t>MWh/t bagaço</t>
  </si>
  <si>
    <t>https://www.epe.gov.br/sites-pt/publicacoes-dados-abertos/publicacoes/PublicacoesArquivos/publicacao-251/topico-311/DEA%20025-17%20-%20%20Indicadores%20de%20Eficiência%20Energética.pdf</t>
  </si>
  <si>
    <t>kWh/t cana</t>
  </si>
  <si>
    <t>https://www.novacana.com/noticias/cogeracao-como-funciona-producao-energia-eletrica</t>
  </si>
  <si>
    <t>t bagaço / t cana</t>
  </si>
  <si>
    <t>https://www.prp.unicamp.br/inscricao-congresso/resumos/2020P17452A35250O2884.pdf</t>
  </si>
  <si>
    <t>biodiesel</t>
  </si>
  <si>
    <t>ratio</t>
  </si>
  <si>
    <t>https://g1.globo.com/politica/noticia/2024/03/13/camara-aprova-texto-base-de-projeto-que-estabelece-mistura-de-ate-25percent-de-biodiesel-no-diesel-entenda.ghtml</t>
  </si>
  <si>
    <t>BRAZILIAN ENERGY BALANCE 2023 | year 2022 (BEN - BALANÇO ENERGÉTICO NACIONAL)</t>
  </si>
  <si>
    <t>Table 2.5 Hard coal</t>
  </si>
  <si>
    <t>PRODUÇÃO</t>
  </si>
  <si>
    <t>IMPORTAÇÃO</t>
  </si>
  <si>
    <t>BTU/1000 t</t>
  </si>
  <si>
    <t>EXPORTAÇÃO</t>
  </si>
  <si>
    <t>Table 2.3 Natural Gas</t>
  </si>
  <si>
    <t>BTU/10^6 m3</t>
  </si>
  <si>
    <t>PRODUÇÃO BRUTA</t>
  </si>
  <si>
    <t>não-aproveitada e reinjeção</t>
  </si>
  <si>
    <t>Tabel 2.10 Nuclear</t>
  </si>
  <si>
    <t>t</t>
  </si>
  <si>
    <t>manter 2022</t>
  </si>
  <si>
    <t>BTU/t</t>
  </si>
  <si>
    <t>GWh</t>
  </si>
  <si>
    <t>biomass total</t>
  </si>
  <si>
    <t>firewood</t>
  </si>
  <si>
    <t>charcoal</t>
  </si>
  <si>
    <t>Table 2.11 Firewood + Table 2.14 Bagasse + Table 2.31 Charcoal</t>
  </si>
  <si>
    <t>bagasse/biomass total</t>
  </si>
  <si>
    <t>Table 2.23 Pet Gasoline</t>
  </si>
  <si>
    <t>BTU/1000 m3</t>
  </si>
  <si>
    <t>Table 2.20 Pet Diesel</t>
  </si>
  <si>
    <t>Table 3.32 Biofuel Gasoline (Ethanol)</t>
  </si>
  <si>
    <t>Table 2.21 Biodiesel</t>
  </si>
  <si>
    <t>Table 5.1 Refineries</t>
  </si>
  <si>
    <t>1000 toe</t>
  </si>
  <si>
    <t>Jet Fuel - calulated Imports</t>
  </si>
  <si>
    <t>Table 4.4 Exports</t>
  </si>
  <si>
    <t>MBTU/1000 toe</t>
  </si>
  <si>
    <t>Table 3.6.3.a Consumption</t>
  </si>
  <si>
    <t>CONSUMO</t>
  </si>
  <si>
    <t>Table 2.4 Lignite</t>
  </si>
  <si>
    <t>manter média (2017-22)</t>
  </si>
  <si>
    <t>Table 2.2 Crude Oil</t>
  </si>
  <si>
    <t>PRODUÇÃO1</t>
  </si>
  <si>
    <t>IMPORTAÇÃO2</t>
  </si>
  <si>
    <t>Table 2.22 Heavy Fuel Oil</t>
  </si>
  <si>
    <t>Table 2.24 LPG</t>
  </si>
  <si>
    <t>HYDROGEN</t>
  </si>
  <si>
    <t>Fuel (BTU)</t>
  </si>
  <si>
    <t>electricity (not used in this variable)</t>
  </si>
  <si>
    <t>hydro (is not a fuel)</t>
  </si>
  <si>
    <t>wind (is not a fuel)</t>
  </si>
  <si>
    <t>solar (is not a fuel)</t>
  </si>
  <si>
    <t>jet fuel or kerosene</t>
  </si>
  <si>
    <t>heat (not used in this variable)</t>
  </si>
  <si>
    <t>geothermal (is not a fuel)</t>
  </si>
  <si>
    <t>municipal solid waste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</si>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</sst>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"/>
    <numFmt numFmtId="166" formatCode="0.0"/>
    <numFmt numFmtId="167" formatCode="#,##0.000"/>
    <numFmt numFmtId="168" formatCode="0.000"/>
    <numFmt numFmtId="169" formatCode="0.000%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sz val="11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u/>
      <sz val="9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30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Protection="0">
      <alignment vertical="top" wrapText="1"/>
    </xf>
    <xf numFmtId="0" fontId="8" fillId="0" borderId="5" applyNumberFormat="0" applyProtection="0">
      <alignment horizontal="left" wrapText="1"/>
    </xf>
    <xf numFmtId="0" fontId="7" fillId="0" borderId="6" applyNumberFormat="0" applyFont="0" applyFill="0" applyProtection="0">
      <alignment wrapText="1"/>
    </xf>
    <xf numFmtId="0" fontId="8" fillId="0" borderId="7" applyNumberFormat="0" applyFill="0" applyProtection="0">
      <alignment wrapText="1"/>
    </xf>
    <xf numFmtId="0" fontId="4" fillId="0" borderId="4">
      <alignment wrapText="1"/>
    </xf>
    <xf numFmtId="0" fontId="4" fillId="0" borderId="3">
      <alignment wrapText="1"/>
    </xf>
    <xf numFmtId="0" fontId="5" fillId="0" borderId="2">
      <alignment wrapText="1"/>
    </xf>
    <xf numFmtId="0" fontId="5" fillId="0" borderId="1">
      <alignment wrapText="1"/>
    </xf>
    <xf numFmtId="0" fontId="4" fillId="0" borderId="0"/>
    <xf numFmtId="0" fontId="6" fillId="0" borderId="0">
      <alignment horizontal="left"/>
    </xf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3" fontId="0" fillId="0" borderId="0" xfId="0" applyNumberFormat="1"/>
    <xf numFmtId="3" fontId="0" fillId="4" borderId="0" xfId="0" applyNumberFormat="1" applyFill="1"/>
    <xf numFmtId="0" fontId="1" fillId="0" borderId="0" xfId="26" applyAlignment="1">
      <alignment vertical="center"/>
    </xf>
    <xf numFmtId="0" fontId="1" fillId="0" borderId="0" xfId="26" applyAlignment="1">
      <alignment horizontal="center" vertical="center"/>
    </xf>
    <xf numFmtId="0" fontId="1" fillId="0" borderId="0" xfId="26" applyAlignment="1">
      <alignment horizontal="right" vertical="center"/>
    </xf>
    <xf numFmtId="165" fontId="1" fillId="0" borderId="0" xfId="26" applyNumberFormat="1" applyAlignment="1">
      <alignment vertical="center"/>
    </xf>
    <xf numFmtId="1" fontId="1" fillId="5" borderId="0" xfId="26" applyNumberFormat="1" applyFill="1" applyAlignment="1">
      <alignment vertical="center"/>
    </xf>
    <xf numFmtId="0" fontId="1" fillId="6" borderId="0" xfId="26" applyFill="1" applyAlignment="1">
      <alignment vertical="center"/>
    </xf>
    <xf numFmtId="3" fontId="1" fillId="0" borderId="0" xfId="26" applyNumberFormat="1" applyAlignment="1">
      <alignment vertical="center"/>
    </xf>
    <xf numFmtId="0" fontId="9" fillId="0" borderId="0" xfId="26" applyFont="1" applyAlignment="1">
      <alignment horizontal="right" vertical="center"/>
    </xf>
    <xf numFmtId="3" fontId="9" fillId="0" borderId="0" xfId="26" applyNumberFormat="1" applyFont="1" applyAlignment="1">
      <alignment vertical="center"/>
    </xf>
    <xf numFmtId="9" fontId="0" fillId="0" borderId="0" xfId="27" applyFont="1" applyAlignment="1">
      <alignment horizontal="right" vertical="center"/>
    </xf>
    <xf numFmtId="9" fontId="0" fillId="0" borderId="0" xfId="27" applyFont="1" applyAlignment="1">
      <alignment vertical="center"/>
    </xf>
    <xf numFmtId="0" fontId="1" fillId="3" borderId="0" xfId="26" applyFill="1" applyAlignment="1">
      <alignment horizontal="right" vertical="center"/>
    </xf>
    <xf numFmtId="166" fontId="1" fillId="0" borderId="0" xfId="26" applyNumberFormat="1" applyAlignment="1">
      <alignment vertical="center"/>
    </xf>
    <xf numFmtId="1" fontId="1" fillId="0" borderId="0" xfId="26" applyNumberFormat="1" applyAlignment="1">
      <alignment vertical="center"/>
    </xf>
    <xf numFmtId="168" fontId="1" fillId="0" borderId="0" xfId="26" applyNumberFormat="1" applyAlignment="1">
      <alignment vertical="center"/>
    </xf>
    <xf numFmtId="0" fontId="1" fillId="7" borderId="0" xfId="26" applyFill="1" applyAlignment="1">
      <alignment horizontal="right" vertical="center"/>
    </xf>
    <xf numFmtId="164" fontId="0" fillId="0" borderId="0" xfId="27" applyNumberFormat="1" applyFont="1" applyAlignment="1">
      <alignment vertical="center"/>
    </xf>
    <xf numFmtId="169" fontId="0" fillId="0" borderId="0" xfId="27" applyNumberFormat="1" applyFont="1" applyAlignment="1">
      <alignment vertical="center"/>
    </xf>
    <xf numFmtId="167" fontId="1" fillId="0" borderId="0" xfId="26" applyNumberFormat="1" applyAlignment="1">
      <alignment vertical="center"/>
    </xf>
    <xf numFmtId="0" fontId="1" fillId="7" borderId="0" xfId="26" applyFill="1" applyAlignment="1">
      <alignment vertical="center"/>
    </xf>
    <xf numFmtId="165" fontId="0" fillId="0" borderId="0" xfId="27" applyNumberFormat="1" applyFont="1" applyAlignment="1">
      <alignment vertical="center"/>
    </xf>
    <xf numFmtId="2" fontId="11" fillId="0" borderId="0" xfId="28" applyNumberFormat="1" applyFont="1" applyAlignment="1">
      <alignment vertical="center"/>
    </xf>
    <xf numFmtId="0" fontId="11" fillId="0" borderId="0" xfId="28" applyFont="1" applyAlignment="1">
      <alignment vertical="center"/>
    </xf>
    <xf numFmtId="0" fontId="12" fillId="0" borderId="0" xfId="29" applyAlignment="1">
      <alignment vertical="center"/>
    </xf>
    <xf numFmtId="3" fontId="9" fillId="0" borderId="0" xfId="26" applyNumberFormat="1" applyFont="1" applyAlignment="1">
      <alignment horizontal="right" vertical="center"/>
    </xf>
    <xf numFmtId="9" fontId="7" fillId="0" borderId="0" xfId="27" applyFont="1" applyAlignment="1">
      <alignment vertical="center"/>
    </xf>
  </cellXfs>
  <cellStyles count="30">
    <cellStyle name="Body: normal cell" xfId="7" xr:uid="{00000000-0005-0000-0000-000000000000}"/>
    <cellStyle name="Body: normal cell 2" xfId="13" xr:uid="{00000000-0005-0000-0000-000001000000}"/>
    <cellStyle name="Body: normal cell 3" xfId="20" xr:uid="{B1293A1F-F4C6-4A3E-BD91-9A34733FCCAD}"/>
    <cellStyle name="Font: Calibri, 9pt regular" xfId="3" xr:uid="{00000000-0005-0000-0000-000003000000}"/>
    <cellStyle name="Font: Calibri, 9pt regular 2" xfId="9" xr:uid="{00000000-0005-0000-0000-000004000000}"/>
    <cellStyle name="Font: Calibri, 9pt regular 3" xfId="23" xr:uid="{8475CEE1-2C32-49A6-8FA4-42C33F4120AF}"/>
    <cellStyle name="Footnotes: all except top row" xfId="15" xr:uid="{00000000-0005-0000-0000-000005000000}"/>
    <cellStyle name="Footnotes: top row" xfId="8" xr:uid="{00000000-0005-0000-0000-000006000000}"/>
    <cellStyle name="Footnotes: top row 2" xfId="14" xr:uid="{00000000-0005-0000-0000-000007000000}"/>
    <cellStyle name="Footnotes: top row 3" xfId="19" xr:uid="{8A775C82-5C61-4D7B-A6D8-70CEAAAC375B}"/>
    <cellStyle name="Header: bottom row" xfId="4" xr:uid="{00000000-0005-0000-0000-000008000000}"/>
    <cellStyle name="Header: bottom row 2" xfId="10" xr:uid="{00000000-0005-0000-0000-000009000000}"/>
    <cellStyle name="Header: bottom row 3" xfId="22" xr:uid="{AE126B05-B4CF-4974-9AFE-DDCD45802937}"/>
    <cellStyle name="Header: top rows" xfId="16" xr:uid="{00000000-0005-0000-0000-00000A000000}"/>
    <cellStyle name="Hiperlink 2" xfId="29" xr:uid="{33EA1847-7C53-4B7D-80A3-ACCE05962832}"/>
    <cellStyle name="Hyperlink" xfId="1" builtinId="8"/>
    <cellStyle name="Normal" xfId="0" builtinId="0"/>
    <cellStyle name="Normal 2" xfId="2" xr:uid="{00000000-0005-0000-0000-00000D000000}"/>
    <cellStyle name="Normal 2 2" xfId="28" xr:uid="{4FB238CE-9FB0-415F-815A-5E8D0C8C4F19}"/>
    <cellStyle name="Normal 3" xfId="26" xr:uid="{DC510B78-2D81-4B54-9AD4-594447DCBCBE}"/>
    <cellStyle name="Parent row" xfId="6" xr:uid="{00000000-0005-0000-0000-00000E000000}"/>
    <cellStyle name="Parent row 2" xfId="12" xr:uid="{00000000-0005-0000-0000-00000F000000}"/>
    <cellStyle name="Parent row 3" xfId="21" xr:uid="{331FC99C-93DD-42D6-8CB1-F9333C05A143}"/>
    <cellStyle name="Percent 2" xfId="25" xr:uid="{9E1DDFDA-DFF4-4D40-BF83-8294F9197DDF}"/>
    <cellStyle name="Porcentagem 2" xfId="27" xr:uid="{E124B50E-57CB-4B71-9D21-E3317747CA17}"/>
    <cellStyle name="Section Break" xfId="17" xr:uid="{00000000-0005-0000-0000-000011000000}"/>
    <cellStyle name="Section Break: parent row" xfId="18" xr:uid="{00000000-0005-0000-0000-000012000000}"/>
    <cellStyle name="Table title" xfId="5" xr:uid="{00000000-0005-0000-0000-000013000000}"/>
    <cellStyle name="Table title 2" xfId="11" xr:uid="{00000000-0005-0000-0000-000014000000}"/>
    <cellStyle name="Table title 3" xfId="24" xr:uid="{CE97C44B-4CC0-45E6-AB97-7B8144BE63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igu\Documents\_swj\_Talanoa\CPSA%20Fletcher\dados\InputData%20(BR)%202024\d18%20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U Conversion Factors"/>
      <sheetName val="Abou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e.gov.br/pt/publicacoes-dados-abertos/publicacoes/balanco-energetico-nacional-2023" TargetMode="External"/><Relationship Id="rId2" Type="http://schemas.openxmlformats.org/officeDocument/2006/relationships/hyperlink" Target="https://www.epe.gov.br/pt/publicacoes-dados-abertos/publicacoes/plano-decenal-de-expansao-de-energia-2032" TargetMode="External"/><Relationship Id="rId1" Type="http://schemas.openxmlformats.org/officeDocument/2006/relationships/hyperlink" Target="https://www.epe.gov.br/pt/publicacoes-dados-abertos/publicacoes/balanco-energetico-nacional-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p.unicamp.br/inscricao-congresso/resumos/2020P17452A35250O2884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workbookViewId="0">
      <selection activeCell="A3" sqref="A3"/>
    </sheetView>
  </sheetViews>
  <sheetFormatPr defaultRowHeight="14.25" x14ac:dyDescent="0.45"/>
  <cols>
    <col min="1" max="1" width="20.73046875" customWidth="1"/>
    <col min="2" max="2" width="82.73046875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3" spans="1:2" x14ac:dyDescent="0.45">
      <c r="A3" s="1" t="s">
        <v>2</v>
      </c>
    </row>
    <row r="5" spans="1:2" x14ac:dyDescent="0.45">
      <c r="A5" s="1" t="s">
        <v>3</v>
      </c>
      <c r="B5" s="2" t="s">
        <v>4</v>
      </c>
    </row>
    <row r="6" spans="1:2" x14ac:dyDescent="0.45">
      <c r="B6" t="s">
        <v>5</v>
      </c>
    </row>
    <row r="7" spans="1:2" x14ac:dyDescent="0.45">
      <c r="B7" t="s">
        <v>6</v>
      </c>
    </row>
    <row r="8" spans="1:2" x14ac:dyDescent="0.45">
      <c r="B8" s="3" t="s">
        <v>7</v>
      </c>
    </row>
    <row r="9" spans="1:2" x14ac:dyDescent="0.45">
      <c r="B9" s="4" t="s">
        <v>8</v>
      </c>
    </row>
    <row r="10" spans="1:2" x14ac:dyDescent="0.45">
      <c r="B10" t="s">
        <v>9</v>
      </c>
    </row>
    <row r="12" spans="1:2" x14ac:dyDescent="0.45">
      <c r="B12" s="2" t="s">
        <v>10</v>
      </c>
    </row>
    <row r="13" spans="1:2" x14ac:dyDescent="0.45">
      <c r="B13" t="s">
        <v>5</v>
      </c>
    </row>
    <row r="14" spans="1:2" x14ac:dyDescent="0.45">
      <c r="B14" s="3" t="s">
        <v>11</v>
      </c>
    </row>
    <row r="15" spans="1:2" x14ac:dyDescent="0.45">
      <c r="B15" t="s">
        <v>6</v>
      </c>
    </row>
    <row r="16" spans="1:2" x14ac:dyDescent="0.45">
      <c r="B16" s="4" t="s">
        <v>12</v>
      </c>
    </row>
    <row r="17" spans="1:2" x14ac:dyDescent="0.45">
      <c r="A17" t="s">
        <v>13</v>
      </c>
      <c r="B17" t="s">
        <v>14</v>
      </c>
    </row>
    <row r="18" spans="1:2" x14ac:dyDescent="0.45">
      <c r="A18" t="s">
        <v>15</v>
      </c>
      <c r="B18" t="s">
        <v>16</v>
      </c>
    </row>
    <row r="19" spans="1:2" x14ac:dyDescent="0.45">
      <c r="A19" t="s">
        <v>17</v>
      </c>
      <c r="B19" t="s">
        <v>18</v>
      </c>
    </row>
    <row r="20" spans="1:2" x14ac:dyDescent="0.45">
      <c r="A20" t="s">
        <v>19</v>
      </c>
      <c r="B20" t="s">
        <v>20</v>
      </c>
    </row>
    <row r="21" spans="1:2" x14ac:dyDescent="0.45">
      <c r="A21" t="s">
        <v>21</v>
      </c>
      <c r="B21" t="s">
        <v>20</v>
      </c>
    </row>
    <row r="22" spans="1:2" x14ac:dyDescent="0.45">
      <c r="A22" t="s">
        <v>22</v>
      </c>
      <c r="B22" t="s">
        <v>18</v>
      </c>
    </row>
    <row r="23" spans="1:2" x14ac:dyDescent="0.45">
      <c r="A23" t="s">
        <v>23</v>
      </c>
      <c r="B23" t="s">
        <v>18</v>
      </c>
    </row>
    <row r="24" spans="1:2" x14ac:dyDescent="0.45">
      <c r="A24" t="s">
        <v>24</v>
      </c>
      <c r="B24" t="s">
        <v>20</v>
      </c>
    </row>
    <row r="25" spans="1:2" x14ac:dyDescent="0.45">
      <c r="A25" t="s">
        <v>25</v>
      </c>
      <c r="B25" t="s">
        <v>14</v>
      </c>
    </row>
    <row r="26" spans="1:2" x14ac:dyDescent="0.45">
      <c r="A26" t="s">
        <v>26</v>
      </c>
      <c r="B26" t="s">
        <v>14</v>
      </c>
    </row>
    <row r="27" spans="1:2" x14ac:dyDescent="0.45">
      <c r="A27" t="s">
        <v>27</v>
      </c>
      <c r="B27" t="s">
        <v>20</v>
      </c>
    </row>
    <row r="29" spans="1:2" x14ac:dyDescent="0.45">
      <c r="B29" s="2" t="s">
        <v>28</v>
      </c>
    </row>
    <row r="30" spans="1:2" x14ac:dyDescent="0.45">
      <c r="B30" t="s">
        <v>4</v>
      </c>
    </row>
    <row r="31" spans="1:2" x14ac:dyDescent="0.45">
      <c r="B31" s="3" t="s">
        <v>5</v>
      </c>
    </row>
    <row r="32" spans="1:2" x14ac:dyDescent="0.45">
      <c r="B32" t="s">
        <v>29</v>
      </c>
    </row>
    <row r="33" spans="1:2" x14ac:dyDescent="0.45">
      <c r="B33" s="4" t="s">
        <v>8</v>
      </c>
    </row>
    <row r="35" spans="1:2" x14ac:dyDescent="0.45">
      <c r="A35" s="1" t="s">
        <v>30</v>
      </c>
    </row>
    <row r="37" spans="1:2" x14ac:dyDescent="0.45">
      <c r="A37" s="1" t="s">
        <v>31</v>
      </c>
    </row>
    <row r="38" spans="1:2" x14ac:dyDescent="0.45">
      <c r="A38" t="s">
        <v>32</v>
      </c>
    </row>
    <row r="39" spans="1:2" x14ac:dyDescent="0.45">
      <c r="A39" t="s">
        <v>33</v>
      </c>
    </row>
    <row r="40" spans="1:2" x14ac:dyDescent="0.45">
      <c r="A40" t="s">
        <v>34</v>
      </c>
    </row>
    <row r="41" spans="1:2" x14ac:dyDescent="0.45">
      <c r="A41" t="s">
        <v>35</v>
      </c>
    </row>
    <row r="42" spans="1:2" x14ac:dyDescent="0.45">
      <c r="A42" t="s">
        <v>36</v>
      </c>
    </row>
    <row r="44" spans="1:2" x14ac:dyDescent="0.45">
      <c r="A44" s="1" t="s">
        <v>37</v>
      </c>
    </row>
    <row r="45" spans="1:2" x14ac:dyDescent="0.45">
      <c r="A45" t="s">
        <v>38</v>
      </c>
    </row>
    <row r="46" spans="1:2" x14ac:dyDescent="0.45">
      <c r="A46" t="s">
        <v>39</v>
      </c>
    </row>
    <row r="47" spans="1:2" x14ac:dyDescent="0.45">
      <c r="A47" t="s">
        <v>40</v>
      </c>
    </row>
    <row r="48" spans="1:2" x14ac:dyDescent="0.45">
      <c r="A48" t="s">
        <v>41</v>
      </c>
    </row>
    <row r="50" spans="1:1" x14ac:dyDescent="0.45">
      <c r="A50" s="1" t="s">
        <v>42</v>
      </c>
    </row>
    <row r="51" spans="1:1" x14ac:dyDescent="0.45">
      <c r="A51" t="s">
        <v>43</v>
      </c>
    </row>
    <row r="52" spans="1:1" x14ac:dyDescent="0.45">
      <c r="A52" t="s">
        <v>44</v>
      </c>
    </row>
    <row r="53" spans="1:1" x14ac:dyDescent="0.45">
      <c r="A53" t="s">
        <v>45</v>
      </c>
    </row>
    <row r="55" spans="1:1" x14ac:dyDescent="0.45">
      <c r="A55" s="1" t="s">
        <v>46</v>
      </c>
    </row>
    <row r="56" spans="1:1" x14ac:dyDescent="0.45">
      <c r="A56" t="s">
        <v>47</v>
      </c>
    </row>
    <row r="57" spans="1:1" x14ac:dyDescent="0.45">
      <c r="A57" t="s">
        <v>48</v>
      </c>
    </row>
    <row r="58" spans="1:1" x14ac:dyDescent="0.45">
      <c r="A58" t="s">
        <v>49</v>
      </c>
    </row>
    <row r="59" spans="1:1" x14ac:dyDescent="0.45">
      <c r="A59" t="s">
        <v>50</v>
      </c>
    </row>
    <row r="60" spans="1:1" x14ac:dyDescent="0.45">
      <c r="A60" t="s">
        <v>51</v>
      </c>
    </row>
    <row r="61" spans="1:1" x14ac:dyDescent="0.45">
      <c r="A61" t="s">
        <v>52</v>
      </c>
    </row>
    <row r="62" spans="1:1" x14ac:dyDescent="0.45">
      <c r="A62" t="s">
        <v>53</v>
      </c>
    </row>
    <row r="64" spans="1:1" x14ac:dyDescent="0.45">
      <c r="A64" s="1" t="s">
        <v>54</v>
      </c>
    </row>
    <row r="65" spans="1:2" x14ac:dyDescent="0.45">
      <c r="A65" t="s">
        <v>55</v>
      </c>
      <c r="B65" t="s">
        <v>56</v>
      </c>
    </row>
    <row r="66" spans="1:2" x14ac:dyDescent="0.45">
      <c r="A66" t="s">
        <v>57</v>
      </c>
      <c r="B66" t="s">
        <v>58</v>
      </c>
    </row>
    <row r="67" spans="1:2" x14ac:dyDescent="0.45">
      <c r="A67" t="s">
        <v>59</v>
      </c>
      <c r="B67" t="s">
        <v>60</v>
      </c>
    </row>
    <row r="68" spans="1:2" x14ac:dyDescent="0.45">
      <c r="A68" t="s">
        <v>61</v>
      </c>
      <c r="B68" t="s">
        <v>62</v>
      </c>
    </row>
    <row r="69" spans="1:2" x14ac:dyDescent="0.45">
      <c r="A69" t="s">
        <v>63</v>
      </c>
      <c r="B69" t="s">
        <v>64</v>
      </c>
    </row>
  </sheetData>
  <hyperlinks>
    <hyperlink ref="B9" r:id="rId1" xr:uid="{00000000-0004-0000-0000-000001000000}"/>
    <hyperlink ref="B16" r:id="rId2" xr:uid="{00000000-0004-0000-0000-000002000000}"/>
    <hyperlink ref="B33" r:id="rId3" xr:uid="{76283F47-F1A3-4232-8A14-56D5B74E611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7FC2-8940-4B3D-8875-9D3ABAD52CA3}">
  <dimension ref="A2:Q60"/>
  <sheetViews>
    <sheetView topLeftCell="A29" workbookViewId="0">
      <selection activeCell="P48" sqref="P48"/>
    </sheetView>
  </sheetViews>
  <sheetFormatPr defaultColWidth="8.86328125" defaultRowHeight="11.65" x14ac:dyDescent="0.45"/>
  <cols>
    <col min="1" max="1" width="8.86328125" style="9"/>
    <col min="2" max="2" width="10.265625" style="11" bestFit="1" customWidth="1"/>
    <col min="3" max="15" width="8.86328125" style="9"/>
    <col min="16" max="16" width="7.3984375" style="9" bestFit="1" customWidth="1"/>
    <col min="17" max="16384" width="8.86328125" style="9"/>
  </cols>
  <sheetData>
    <row r="2" spans="1:17" x14ac:dyDescent="0.45">
      <c r="B2" s="9" t="s">
        <v>65</v>
      </c>
    </row>
    <row r="3" spans="1:17" x14ac:dyDescent="0.45">
      <c r="B3" s="9" t="s">
        <v>66</v>
      </c>
    </row>
    <row r="4" spans="1:17" x14ac:dyDescent="0.45">
      <c r="B4" s="9" t="s">
        <v>67</v>
      </c>
    </row>
    <row r="5" spans="1:17" x14ac:dyDescent="0.45">
      <c r="D5" s="9">
        <v>2021</v>
      </c>
      <c r="E5" s="9">
        <f>1+D5</f>
        <v>2022</v>
      </c>
      <c r="F5" s="9">
        <f t="shared" ref="F5:O5" si="0">1+E5</f>
        <v>2023</v>
      </c>
      <c r="G5" s="9">
        <f t="shared" si="0"/>
        <v>2024</v>
      </c>
      <c r="H5" s="9">
        <f t="shared" si="0"/>
        <v>2025</v>
      </c>
      <c r="I5" s="9">
        <f t="shared" si="0"/>
        <v>2026</v>
      </c>
      <c r="J5" s="9">
        <f t="shared" si="0"/>
        <v>2027</v>
      </c>
      <c r="K5" s="9">
        <f t="shared" si="0"/>
        <v>2028</v>
      </c>
      <c r="L5" s="9">
        <f t="shared" si="0"/>
        <v>2029</v>
      </c>
      <c r="M5" s="9">
        <f t="shared" si="0"/>
        <v>2030</v>
      </c>
      <c r="N5" s="9">
        <f t="shared" si="0"/>
        <v>2031</v>
      </c>
      <c r="O5" s="9">
        <f t="shared" si="0"/>
        <v>2032</v>
      </c>
    </row>
    <row r="6" spans="1:17" x14ac:dyDescent="0.45">
      <c r="B6" s="11" t="s">
        <v>68</v>
      </c>
      <c r="C6" s="9" t="s">
        <v>69</v>
      </c>
      <c r="D6" s="15">
        <f>BEN!L53</f>
        <v>168784</v>
      </c>
      <c r="E6" s="15">
        <f>BEN!M53</f>
        <v>175531</v>
      </c>
      <c r="F6" s="15">
        <f>E6*F7/E7</f>
        <v>193084.1</v>
      </c>
      <c r="G6" s="15">
        <f t="shared" ref="G6:O6" si="1">F6*G7/F7</f>
        <v>222339.26666666663</v>
      </c>
      <c r="H6" s="15">
        <f t="shared" si="1"/>
        <v>239892.36666666661</v>
      </c>
      <c r="I6" s="15">
        <f t="shared" si="1"/>
        <v>263296.49999999994</v>
      </c>
      <c r="J6" s="15">
        <f t="shared" si="1"/>
        <v>274998.56666666665</v>
      </c>
      <c r="K6" s="15">
        <f t="shared" si="1"/>
        <v>298402.69999999995</v>
      </c>
      <c r="L6" s="15">
        <f t="shared" si="1"/>
        <v>315955.8</v>
      </c>
      <c r="M6" s="15">
        <f t="shared" si="1"/>
        <v>310104.7666666666</v>
      </c>
      <c r="N6" s="15">
        <f t="shared" si="1"/>
        <v>304253.73333333328</v>
      </c>
      <c r="O6" s="15">
        <f t="shared" si="1"/>
        <v>286700.6333333333</v>
      </c>
    </row>
    <row r="7" spans="1:17" x14ac:dyDescent="0.45">
      <c r="A7" s="15">
        <f>BEN!M53</f>
        <v>175531</v>
      </c>
      <c r="B7" s="9"/>
      <c r="C7" s="11" t="s">
        <v>70</v>
      </c>
      <c r="D7" s="15"/>
      <c r="E7" s="15">
        <f t="shared" ref="E7:O7" si="2">365*E9/$P$7*1000</f>
        <v>174091.10927039132</v>
      </c>
      <c r="F7" s="15">
        <f t="shared" si="2"/>
        <v>191500.22019743046</v>
      </c>
      <c r="G7" s="15">
        <f t="shared" si="2"/>
        <v>220515.40507582898</v>
      </c>
      <c r="H7" s="15">
        <f t="shared" si="2"/>
        <v>237924.5160028681</v>
      </c>
      <c r="I7" s="15">
        <f t="shared" si="2"/>
        <v>261136.66390558693</v>
      </c>
      <c r="J7" s="15">
        <f t="shared" si="2"/>
        <v>272742.73785694642</v>
      </c>
      <c r="K7" s="15">
        <f t="shared" si="2"/>
        <v>295954.88575966522</v>
      </c>
      <c r="L7" s="15">
        <f t="shared" si="2"/>
        <v>313363.9966867044</v>
      </c>
      <c r="M7" s="15">
        <f t="shared" si="2"/>
        <v>307560.95971102465</v>
      </c>
      <c r="N7" s="15">
        <f t="shared" si="2"/>
        <v>301757.92273534497</v>
      </c>
      <c r="O7" s="15">
        <f t="shared" si="2"/>
        <v>284348.81180830585</v>
      </c>
      <c r="P7" s="9">
        <v>6.2898100000000001</v>
      </c>
      <c r="Q7" s="9" t="s">
        <v>66</v>
      </c>
    </row>
    <row r="8" spans="1:17" x14ac:dyDescent="0.45">
      <c r="C8" s="9" t="s">
        <v>71</v>
      </c>
      <c r="D8" s="15"/>
      <c r="E8" s="15">
        <f t="shared" ref="E8:O8" si="3">365*E9</f>
        <v>1095</v>
      </c>
      <c r="F8" s="15">
        <f t="shared" si="3"/>
        <v>1204.5</v>
      </c>
      <c r="G8" s="15">
        <f t="shared" si="3"/>
        <v>1387</v>
      </c>
      <c r="H8" s="15">
        <f t="shared" si="3"/>
        <v>1496.4999999999998</v>
      </c>
      <c r="I8" s="15">
        <f t="shared" si="3"/>
        <v>1642.5</v>
      </c>
      <c r="J8" s="15">
        <f t="shared" si="3"/>
        <v>1715.5</v>
      </c>
      <c r="K8" s="15">
        <f t="shared" si="3"/>
        <v>1861.4999999999998</v>
      </c>
      <c r="L8" s="15">
        <f t="shared" si="3"/>
        <v>1971.0000000000002</v>
      </c>
      <c r="M8" s="15">
        <f t="shared" si="3"/>
        <v>1934.5</v>
      </c>
      <c r="N8" s="15">
        <f t="shared" si="3"/>
        <v>1898</v>
      </c>
      <c r="O8" s="15">
        <f t="shared" si="3"/>
        <v>1788.5000000000002</v>
      </c>
    </row>
    <row r="9" spans="1:17" x14ac:dyDescent="0.45">
      <c r="B9" s="11" t="s">
        <v>72</v>
      </c>
      <c r="C9" s="9" t="s">
        <v>73</v>
      </c>
      <c r="D9" s="21"/>
      <c r="E9" s="21">
        <v>3</v>
      </c>
      <c r="F9" s="21">
        <v>3.3</v>
      </c>
      <c r="G9" s="21">
        <v>3.8</v>
      </c>
      <c r="H9" s="21">
        <v>4.0999999999999996</v>
      </c>
      <c r="I9" s="21">
        <v>4.5</v>
      </c>
      <c r="J9" s="21">
        <v>4.7</v>
      </c>
      <c r="K9" s="21">
        <v>5.0999999999999996</v>
      </c>
      <c r="L9" s="21">
        <v>5.4</v>
      </c>
      <c r="M9" s="21">
        <v>5.3</v>
      </c>
      <c r="N9" s="21">
        <v>5.2</v>
      </c>
      <c r="O9" s="21">
        <v>4.9000000000000004</v>
      </c>
    </row>
    <row r="10" spans="1:17" x14ac:dyDescent="0.45">
      <c r="B10" s="11" t="s">
        <v>74</v>
      </c>
      <c r="C10" s="9" t="s">
        <v>69</v>
      </c>
      <c r="D10" s="21"/>
      <c r="E10" s="15">
        <f>BEN!M54</f>
        <v>14280</v>
      </c>
      <c r="F10" s="15">
        <f>E10*F11/E11</f>
        <v>13016.28318584071</v>
      </c>
      <c r="G10" s="15">
        <f t="shared" ref="G10:O10" si="4">F10*G11/F11</f>
        <v>11752.566371681418</v>
      </c>
      <c r="H10" s="15">
        <f t="shared" si="4"/>
        <v>10488.849557522128</v>
      </c>
      <c r="I10" s="15">
        <f t="shared" si="4"/>
        <v>10320.353982300889</v>
      </c>
      <c r="J10" s="15">
        <f t="shared" si="4"/>
        <v>10151.858407079648</v>
      </c>
      <c r="K10" s="15">
        <f t="shared" si="4"/>
        <v>9983.3628318584088</v>
      </c>
      <c r="L10" s="15">
        <f t="shared" si="4"/>
        <v>10109.734513274339</v>
      </c>
      <c r="M10" s="15">
        <f t="shared" si="4"/>
        <v>10236.106194690268</v>
      </c>
      <c r="N10" s="15">
        <f t="shared" si="4"/>
        <v>10362.477876106197</v>
      </c>
      <c r="O10" s="15">
        <f t="shared" si="4"/>
        <v>10488.849557522126</v>
      </c>
    </row>
    <row r="11" spans="1:17" x14ac:dyDescent="0.45">
      <c r="B11" s="9"/>
      <c r="C11" s="11" t="s">
        <v>70</v>
      </c>
      <c r="D11" s="15"/>
      <c r="E11" s="15">
        <f>365*E12/$P$7</f>
        <v>13114.863565036145</v>
      </c>
      <c r="F11" s="15">
        <f t="shared" ref="F11:O11" si="5">365*F12/$P$7</f>
        <v>11954.256169900204</v>
      </c>
      <c r="G11" s="15">
        <f t="shared" si="5"/>
        <v>10793.64877476426</v>
      </c>
      <c r="H11" s="15">
        <f t="shared" si="5"/>
        <v>9633.0413796283192</v>
      </c>
      <c r="I11" s="15">
        <f t="shared" si="5"/>
        <v>9478.2937269435279</v>
      </c>
      <c r="J11" s="15">
        <f t="shared" si="5"/>
        <v>9323.5460742587347</v>
      </c>
      <c r="K11" s="15">
        <f t="shared" si="5"/>
        <v>9168.7984215739416</v>
      </c>
      <c r="L11" s="15">
        <f t="shared" si="5"/>
        <v>9284.8591610875374</v>
      </c>
      <c r="M11" s="15">
        <f t="shared" si="5"/>
        <v>9400.9199006011313</v>
      </c>
      <c r="N11" s="15">
        <f t="shared" si="5"/>
        <v>9516.9806401147252</v>
      </c>
      <c r="O11" s="15">
        <f t="shared" si="5"/>
        <v>9633.0413796283192</v>
      </c>
    </row>
    <row r="12" spans="1:17" x14ac:dyDescent="0.45">
      <c r="C12" s="9" t="s">
        <v>73</v>
      </c>
      <c r="D12" s="22"/>
      <c r="E12" s="22">
        <f>145+81</f>
        <v>226</v>
      </c>
      <c r="F12" s="22">
        <f>E12+1*(H12-E12)/(H$5-E$5)</f>
        <v>206</v>
      </c>
      <c r="G12" s="22">
        <f>E12+2*(H12-E12)/(H$5-E$5)</f>
        <v>186</v>
      </c>
      <c r="H12" s="22">
        <f>91+75</f>
        <v>166</v>
      </c>
      <c r="I12" s="22">
        <f>H12+1*(K12-H12)/(K$5-H$5)</f>
        <v>163.33333333333334</v>
      </c>
      <c r="J12" s="22">
        <f>H12+2*(K12-H12)/(K$5-H$5)</f>
        <v>160.66666666666666</v>
      </c>
      <c r="K12" s="22">
        <f>83+75</f>
        <v>158</v>
      </c>
      <c r="L12" s="22">
        <f>K12+1*(O12-K12)/(O5-K5)</f>
        <v>160</v>
      </c>
      <c r="M12" s="22">
        <f>K12+2*(O12-K12)/(O5-K5)</f>
        <v>162</v>
      </c>
      <c r="N12" s="22">
        <f>K12+3*(O12-K12)/(O5-K5)</f>
        <v>164</v>
      </c>
      <c r="O12" s="22">
        <f>91+75</f>
        <v>166</v>
      </c>
    </row>
    <row r="13" spans="1:17" x14ac:dyDescent="0.45">
      <c r="B13" s="11" t="s">
        <v>75</v>
      </c>
      <c r="C13" s="9" t="s">
        <v>69</v>
      </c>
      <c r="D13" s="22"/>
      <c r="E13" s="15">
        <f>E14*E6</f>
        <v>71967.709999999992</v>
      </c>
      <c r="F13" s="15">
        <f t="shared" ref="F13:O13" si="6">F14*F6</f>
        <v>89462.299666666673</v>
      </c>
      <c r="G13" s="15">
        <f t="shared" si="6"/>
        <v>114875.28777777775</v>
      </c>
      <c r="H13" s="15">
        <f t="shared" si="6"/>
        <v>136738.64899999995</v>
      </c>
      <c r="I13" s="15">
        <f t="shared" si="6"/>
        <v>154467.27999999997</v>
      </c>
      <c r="J13" s="15">
        <f t="shared" si="6"/>
        <v>165915.80188888888</v>
      </c>
      <c r="K13" s="15">
        <f t="shared" si="6"/>
        <v>185009.67399999997</v>
      </c>
      <c r="L13" s="15">
        <f t="shared" si="6"/>
        <v>195102.70649999997</v>
      </c>
      <c r="M13" s="15">
        <f t="shared" si="6"/>
        <v>190714.43149999995</v>
      </c>
      <c r="N13" s="15">
        <f t="shared" si="6"/>
        <v>186355.41166666665</v>
      </c>
      <c r="O13" s="15">
        <f t="shared" si="6"/>
        <v>174887.3863333333</v>
      </c>
    </row>
    <row r="14" spans="1:17" ht="14.25" x14ac:dyDescent="0.45">
      <c r="C14" s="11" t="s">
        <v>76</v>
      </c>
      <c r="D14" s="21"/>
      <c r="E14" s="19">
        <v>0.41</v>
      </c>
      <c r="F14" s="19">
        <f>$E14+(F5-$E5)*($H14-$E14)/($H5-$E5)</f>
        <v>0.46333333333333332</v>
      </c>
      <c r="G14" s="19">
        <f>$E14+(G5-$E5)*($H14-$E14)/($H5-$E5)</f>
        <v>0.51666666666666661</v>
      </c>
      <c r="H14" s="19">
        <v>0.56999999999999995</v>
      </c>
      <c r="I14" s="19">
        <f>$H14+(I5-$H5)*($K14-$H14)/($K5-$H5)</f>
        <v>0.58666666666666667</v>
      </c>
      <c r="J14" s="19">
        <f>$H14+(J5-$H5)*($K14-$H14)/($K5-$H5)</f>
        <v>0.60333333333333328</v>
      </c>
      <c r="K14" s="19">
        <v>0.62</v>
      </c>
      <c r="L14" s="19">
        <f>$K14+(L5-$K5)*($O14-$K14)/($O5-$K5)</f>
        <v>0.61749999999999994</v>
      </c>
      <c r="M14" s="19">
        <f>$K14+(M5-$K5)*($O14-$K14)/($O5-$K5)</f>
        <v>0.61499999999999999</v>
      </c>
      <c r="N14" s="19">
        <f>$K14+(N5-$K5)*($O14-$K14)/($O5-$K5)</f>
        <v>0.61250000000000004</v>
      </c>
      <c r="O14" s="19">
        <v>0.61</v>
      </c>
    </row>
    <row r="15" spans="1:17" x14ac:dyDescent="0.45">
      <c r="D15" s="15"/>
      <c r="E15" s="15"/>
    </row>
    <row r="16" spans="1:17" x14ac:dyDescent="0.45">
      <c r="B16" s="11" t="s">
        <v>77</v>
      </c>
      <c r="C16" s="9" t="s">
        <v>78</v>
      </c>
      <c r="D16" s="15">
        <f>365*D17</f>
        <v>20440</v>
      </c>
      <c r="E16" s="15">
        <f t="shared" ref="E16:O16" si="7">365*E17</f>
        <v>24820</v>
      </c>
      <c r="F16" s="15">
        <f t="shared" si="7"/>
        <v>26280</v>
      </c>
      <c r="G16" s="15">
        <f t="shared" si="7"/>
        <v>27375</v>
      </c>
      <c r="H16" s="15">
        <f t="shared" si="7"/>
        <v>27740</v>
      </c>
      <c r="I16" s="15">
        <f t="shared" si="7"/>
        <v>28470</v>
      </c>
      <c r="J16" s="15">
        <f t="shared" si="7"/>
        <v>34675</v>
      </c>
      <c r="K16" s="15">
        <f t="shared" si="7"/>
        <v>40150</v>
      </c>
      <c r="L16" s="15">
        <f t="shared" si="7"/>
        <v>42340</v>
      </c>
      <c r="M16" s="15">
        <f t="shared" si="7"/>
        <v>44165</v>
      </c>
      <c r="N16" s="15">
        <f t="shared" si="7"/>
        <v>47085</v>
      </c>
      <c r="O16" s="15">
        <f t="shared" si="7"/>
        <v>48910</v>
      </c>
      <c r="Q16" s="9" t="s">
        <v>66</v>
      </c>
    </row>
    <row r="17" spans="2:17" x14ac:dyDescent="0.45">
      <c r="B17" s="11" t="s">
        <v>72</v>
      </c>
      <c r="C17" s="9" t="s">
        <v>79</v>
      </c>
      <c r="D17" s="9">
        <v>56</v>
      </c>
      <c r="E17" s="9">
        <v>68</v>
      </c>
      <c r="F17" s="9">
        <v>72</v>
      </c>
      <c r="G17" s="9">
        <v>75</v>
      </c>
      <c r="H17" s="9">
        <v>76</v>
      </c>
      <c r="I17" s="9">
        <v>78</v>
      </c>
      <c r="J17" s="9">
        <v>95</v>
      </c>
      <c r="K17" s="9">
        <v>110</v>
      </c>
      <c r="L17" s="9">
        <v>116</v>
      </c>
      <c r="M17" s="9">
        <v>121</v>
      </c>
      <c r="N17" s="9">
        <v>129</v>
      </c>
      <c r="O17" s="9">
        <v>134</v>
      </c>
    </row>
    <row r="18" spans="2:17" x14ac:dyDescent="0.45">
      <c r="B18" s="11" t="s">
        <v>74</v>
      </c>
      <c r="C18" s="9" t="s">
        <v>78</v>
      </c>
      <c r="E18" s="15">
        <f>365*(-E17+E19)</f>
        <v>17520</v>
      </c>
      <c r="F18" s="15">
        <f t="shared" ref="F18:O18" si="8">365*(-F17+F19)</f>
        <v>22630</v>
      </c>
      <c r="G18" s="15">
        <f t="shared" si="8"/>
        <v>27375</v>
      </c>
      <c r="H18" s="15">
        <f t="shared" si="8"/>
        <v>26645</v>
      </c>
      <c r="I18" s="15">
        <f t="shared" si="8"/>
        <v>26280</v>
      </c>
      <c r="J18" s="15">
        <f t="shared" si="8"/>
        <v>23725</v>
      </c>
      <c r="K18" s="15">
        <f t="shared" si="8"/>
        <v>21900</v>
      </c>
      <c r="L18" s="15">
        <f t="shared" si="8"/>
        <v>19710</v>
      </c>
      <c r="M18" s="15">
        <f t="shared" si="8"/>
        <v>18980</v>
      </c>
      <c r="N18" s="15">
        <f t="shared" si="8"/>
        <v>17885</v>
      </c>
      <c r="O18" s="15">
        <f t="shared" si="8"/>
        <v>17520</v>
      </c>
    </row>
    <row r="19" spans="2:17" x14ac:dyDescent="0.45">
      <c r="E19" s="9">
        <v>116</v>
      </c>
      <c r="F19" s="9">
        <v>134</v>
      </c>
      <c r="G19" s="9">
        <v>150</v>
      </c>
      <c r="H19" s="9">
        <v>149</v>
      </c>
      <c r="I19" s="9">
        <v>150</v>
      </c>
      <c r="J19" s="9">
        <v>160</v>
      </c>
      <c r="K19" s="9">
        <v>170</v>
      </c>
      <c r="L19" s="9">
        <v>170</v>
      </c>
      <c r="M19" s="9">
        <v>173</v>
      </c>
      <c r="N19" s="9">
        <v>178</v>
      </c>
      <c r="O19" s="9">
        <v>182</v>
      </c>
    </row>
    <row r="21" spans="2:17" x14ac:dyDescent="0.45">
      <c r="B21" s="11" t="s">
        <v>80</v>
      </c>
      <c r="C21" s="9" t="s">
        <v>69</v>
      </c>
      <c r="E21" s="15">
        <f>BEN!M27+BEN!M28+BEN!M30</f>
        <v>32820</v>
      </c>
      <c r="F21" s="15">
        <f>E21*F22/E22</f>
        <v>30560.879541108992</v>
      </c>
      <c r="G21" s="15">
        <f t="shared" ref="G21:O21" si="9">F21*G22/F22</f>
        <v>28364.512428298287</v>
      </c>
      <c r="H21" s="15">
        <f t="shared" si="9"/>
        <v>25917.131931166354</v>
      </c>
      <c r="I21" s="15">
        <f t="shared" si="9"/>
        <v>23909.024856596559</v>
      </c>
      <c r="J21" s="15">
        <f t="shared" si="9"/>
        <v>23030.478011472285</v>
      </c>
      <c r="K21" s="15">
        <f t="shared" si="9"/>
        <v>23030.478011472285</v>
      </c>
      <c r="L21" s="15">
        <f t="shared" si="9"/>
        <v>23469.751434034413</v>
      </c>
      <c r="M21" s="15">
        <f t="shared" si="9"/>
        <v>25289.598470363289</v>
      </c>
      <c r="N21" s="15">
        <f t="shared" si="9"/>
        <v>27485.965583173995</v>
      </c>
      <c r="O21" s="15">
        <f t="shared" si="9"/>
        <v>29682.332695984704</v>
      </c>
    </row>
    <row r="22" spans="2:17" x14ac:dyDescent="0.45">
      <c r="B22" s="9"/>
      <c r="C22" s="11" t="s">
        <v>70</v>
      </c>
      <c r="D22" s="15"/>
      <c r="E22" s="15">
        <f>365*E23</f>
        <v>29579.541538537647</v>
      </c>
      <c r="F22" s="15">
        <f t="shared" ref="F22:O22" si="10">365*F23</f>
        <v>27543.473669728177</v>
      </c>
      <c r="G22" s="15">
        <f t="shared" si="10"/>
        <v>25563.963241718964</v>
      </c>
      <c r="H22" s="15">
        <f t="shared" si="10"/>
        <v>23358.223050508699</v>
      </c>
      <c r="I22" s="15">
        <f t="shared" si="10"/>
        <v>21548.384944900274</v>
      </c>
      <c r="J22" s="15">
        <f t="shared" si="10"/>
        <v>20756.580773696598</v>
      </c>
      <c r="K22" s="15">
        <f t="shared" si="10"/>
        <v>20756.580773696598</v>
      </c>
      <c r="L22" s="15">
        <f t="shared" si="10"/>
        <v>21152.48285929843</v>
      </c>
      <c r="M22" s="15">
        <f t="shared" si="10"/>
        <v>22792.648642506068</v>
      </c>
      <c r="N22" s="15">
        <f t="shared" si="10"/>
        <v>24772.159070515278</v>
      </c>
      <c r="O22" s="15">
        <f t="shared" si="10"/>
        <v>26751.66949852449</v>
      </c>
      <c r="Q22" s="9" t="s">
        <v>67</v>
      </c>
    </row>
    <row r="23" spans="2:17" x14ac:dyDescent="0.45">
      <c r="B23" s="11" t="s">
        <v>81</v>
      </c>
      <c r="C23" s="9" t="s">
        <v>79</v>
      </c>
      <c r="E23" s="22">
        <v>81.039839831609996</v>
      </c>
      <c r="F23" s="22">
        <v>75.461571697885418</v>
      </c>
      <c r="G23" s="22">
        <v>70.03825545676429</v>
      </c>
      <c r="H23" s="22">
        <v>63.995131645229314</v>
      </c>
      <c r="I23" s="22">
        <v>59.036671081918563</v>
      </c>
      <c r="J23" s="22">
        <v>56.867344585470128</v>
      </c>
      <c r="K23" s="22">
        <v>56.867344585470128</v>
      </c>
      <c r="L23" s="22">
        <v>57.952007833694331</v>
      </c>
      <c r="M23" s="22">
        <v>62.445612719194706</v>
      </c>
      <c r="N23" s="22">
        <v>67.868928960315827</v>
      </c>
      <c r="O23" s="22">
        <v>73.292245201436955</v>
      </c>
      <c r="P23" s="22"/>
    </row>
    <row r="24" spans="2:17" x14ac:dyDescent="0.45">
      <c r="B24" s="11" t="s">
        <v>72</v>
      </c>
      <c r="C24" s="9" t="s">
        <v>69</v>
      </c>
      <c r="E24" s="15">
        <f>BEN!M27</f>
        <v>28674</v>
      </c>
      <c r="F24" s="15">
        <f>E24*F25/E25</f>
        <v>27860.028387096776</v>
      </c>
      <c r="G24" s="15">
        <f t="shared" ref="G24:O24" si="11">F24*G25/F25</f>
        <v>27046.056774193556</v>
      </c>
      <c r="H24" s="15">
        <f t="shared" si="11"/>
        <v>26232.085161290328</v>
      </c>
      <c r="I24" s="15">
        <f t="shared" si="11"/>
        <v>26540.407741935484</v>
      </c>
      <c r="J24" s="15">
        <f t="shared" si="11"/>
        <v>26848.730322580646</v>
      </c>
      <c r="K24" s="15">
        <f t="shared" si="11"/>
        <v>27157.052903225809</v>
      </c>
      <c r="L24" s="15">
        <f t="shared" si="11"/>
        <v>27009.058064516124</v>
      </c>
      <c r="M24" s="15">
        <f t="shared" si="11"/>
        <v>26861.063225806443</v>
      </c>
      <c r="N24" s="15">
        <f t="shared" si="11"/>
        <v>26713.06838709677</v>
      </c>
      <c r="O24" s="15">
        <f t="shared" si="11"/>
        <v>26565.073548387092</v>
      </c>
    </row>
    <row r="25" spans="2:17" x14ac:dyDescent="0.45">
      <c r="C25" s="11" t="s">
        <v>70</v>
      </c>
      <c r="E25" s="15">
        <f>365*E26</f>
        <v>28287.5</v>
      </c>
      <c r="F25" s="15">
        <f t="shared" ref="F25:O25" si="12">365*F26</f>
        <v>27484.5</v>
      </c>
      <c r="G25" s="15">
        <f t="shared" si="12"/>
        <v>26681.500000000004</v>
      </c>
      <c r="H25" s="15">
        <f t="shared" si="12"/>
        <v>25878.500000000004</v>
      </c>
      <c r="I25" s="15">
        <f t="shared" si="12"/>
        <v>26182.666666666668</v>
      </c>
      <c r="J25" s="15">
        <f t="shared" si="12"/>
        <v>26486.833333333336</v>
      </c>
      <c r="K25" s="15">
        <f t="shared" si="12"/>
        <v>26791.000000000004</v>
      </c>
      <c r="L25" s="15">
        <f t="shared" si="12"/>
        <v>26645</v>
      </c>
      <c r="M25" s="15">
        <f t="shared" si="12"/>
        <v>26498.999999999996</v>
      </c>
      <c r="N25" s="15">
        <f t="shared" si="12"/>
        <v>26353</v>
      </c>
      <c r="O25" s="15">
        <f t="shared" si="12"/>
        <v>26207</v>
      </c>
    </row>
    <row r="26" spans="2:17" x14ac:dyDescent="0.45">
      <c r="B26" s="9"/>
      <c r="C26" s="9" t="s">
        <v>79</v>
      </c>
      <c r="E26" s="22">
        <v>77.5</v>
      </c>
      <c r="F26" s="22">
        <v>75.3</v>
      </c>
      <c r="G26" s="22">
        <v>73.100000000000009</v>
      </c>
      <c r="H26" s="22">
        <v>70.900000000000006</v>
      </c>
      <c r="I26" s="22">
        <v>71.733333333333334</v>
      </c>
      <c r="J26" s="22">
        <v>72.566666666666677</v>
      </c>
      <c r="K26" s="22">
        <v>73.400000000000006</v>
      </c>
      <c r="L26" s="22">
        <v>73</v>
      </c>
      <c r="M26" s="22">
        <v>72.599999999999994</v>
      </c>
      <c r="N26" s="22">
        <v>72.2</v>
      </c>
      <c r="O26" s="22">
        <v>71.8</v>
      </c>
    </row>
    <row r="27" spans="2:17" x14ac:dyDescent="0.45">
      <c r="B27" s="11" t="s">
        <v>82</v>
      </c>
      <c r="C27" s="9" t="s">
        <v>69</v>
      </c>
      <c r="E27" s="15">
        <f t="shared" ref="E27:O27" si="13">E21-E24</f>
        <v>4146</v>
      </c>
      <c r="F27" s="15">
        <f t="shared" si="13"/>
        <v>2700.8511540122163</v>
      </c>
      <c r="G27" s="15">
        <f t="shared" si="13"/>
        <v>1318.4556541047314</v>
      </c>
      <c r="H27" s="15">
        <f t="shared" si="13"/>
        <v>-314.95323012397421</v>
      </c>
      <c r="I27" s="15">
        <f t="shared" si="13"/>
        <v>-2631.3828853389241</v>
      </c>
      <c r="J27" s="15">
        <f t="shared" si="13"/>
        <v>-3818.252311108361</v>
      </c>
      <c r="K27" s="15">
        <f t="shared" si="13"/>
        <v>-4126.5748917535238</v>
      </c>
      <c r="L27" s="15">
        <f t="shared" si="13"/>
        <v>-3539.3066304817112</v>
      </c>
      <c r="M27" s="15">
        <f t="shared" si="13"/>
        <v>-1571.464755443154</v>
      </c>
      <c r="N27" s="15">
        <f t="shared" si="13"/>
        <v>772.89719607722509</v>
      </c>
      <c r="O27" s="15">
        <f t="shared" si="13"/>
        <v>3117.2591475976114</v>
      </c>
      <c r="P27" s="21"/>
    </row>
    <row r="28" spans="2:17" ht="14.25" x14ac:dyDescent="0.45">
      <c r="B28" s="11" t="s">
        <v>83</v>
      </c>
      <c r="E28" s="15">
        <f>IF(E27&lt;0,0,$P28*E27)</f>
        <v>3190.7277367999823</v>
      </c>
      <c r="F28" s="15">
        <f>IF(F27&lt;0,0,$P28*F27)</f>
        <v>2078.5529884406706</v>
      </c>
      <c r="G28" s="15">
        <f t="shared" ref="G28:O28" si="14">IF(G27&lt;0,0,$P28*G27)</f>
        <v>1014.6727026755258</v>
      </c>
      <c r="H28" s="15">
        <f t="shared" si="14"/>
        <v>0</v>
      </c>
      <c r="I28" s="15">
        <f t="shared" si="14"/>
        <v>0</v>
      </c>
      <c r="J28" s="15">
        <f t="shared" si="14"/>
        <v>0</v>
      </c>
      <c r="K28" s="15">
        <f t="shared" si="14"/>
        <v>0</v>
      </c>
      <c r="L28" s="15">
        <f t="shared" si="14"/>
        <v>0</v>
      </c>
      <c r="M28" s="15">
        <f t="shared" si="14"/>
        <v>0</v>
      </c>
      <c r="N28" s="15">
        <f t="shared" si="14"/>
        <v>594.81536932429731</v>
      </c>
      <c r="O28" s="15">
        <f t="shared" si="14"/>
        <v>2399.0171792168762</v>
      </c>
      <c r="P28" s="19">
        <f>AVERAGE(BEN!D28:M28)/(AVERAGE(BEN!D28:M28)+AVERAGE(BEN!D29:M29))</f>
        <v>0.76959183232030448</v>
      </c>
    </row>
    <row r="29" spans="2:17" ht="14.25" x14ac:dyDescent="0.45">
      <c r="B29" s="11" t="s">
        <v>84</v>
      </c>
      <c r="E29" s="15">
        <f>IF(E27&lt;0,E27,$P29*E27)</f>
        <v>955.27226320001728</v>
      </c>
      <c r="F29" s="15">
        <f>IF(F27&lt;0,F27,$P29*F27)</f>
        <v>622.29816557154561</v>
      </c>
      <c r="G29" s="15">
        <f t="shared" ref="G29:O29" si="15">IF(G27&lt;0,G27,$P29*G27)</f>
        <v>303.78295142920547</v>
      </c>
      <c r="H29" s="15">
        <f t="shared" si="15"/>
        <v>-314.95323012397421</v>
      </c>
      <c r="I29" s="15">
        <f t="shared" si="15"/>
        <v>-2631.3828853389241</v>
      </c>
      <c r="J29" s="15">
        <f t="shared" si="15"/>
        <v>-3818.252311108361</v>
      </c>
      <c r="K29" s="15">
        <f t="shared" si="15"/>
        <v>-4126.5748917535238</v>
      </c>
      <c r="L29" s="15">
        <f t="shared" si="15"/>
        <v>-3539.3066304817112</v>
      </c>
      <c r="M29" s="15">
        <f t="shared" si="15"/>
        <v>-1571.464755443154</v>
      </c>
      <c r="N29" s="15">
        <f t="shared" si="15"/>
        <v>178.08182675292773</v>
      </c>
      <c r="O29" s="15">
        <f t="shared" si="15"/>
        <v>718.24196838073487</v>
      </c>
      <c r="P29" s="19">
        <f>AVERAGE(BEN!D29:M29)/(AVERAGE(BEN!D28:M28)+AVERAGE(BEN!D29:M29))</f>
        <v>0.23040816767969544</v>
      </c>
    </row>
    <row r="30" spans="2:17" x14ac:dyDescent="0.45">
      <c r="B30" s="9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2" spans="2:17" x14ac:dyDescent="0.45">
      <c r="B32" s="11" t="s">
        <v>85</v>
      </c>
      <c r="C32" s="9" t="s">
        <v>69</v>
      </c>
      <c r="E32" s="15">
        <f>(BEN!M31+BEN!M32+BEN!M33)</f>
        <v>59900</v>
      </c>
      <c r="F32" s="15">
        <f>E32*F33/E33</f>
        <v>61135.437500000007</v>
      </c>
      <c r="G32" s="15">
        <f t="shared" ref="G32:O32" si="16">F32*G33/F33</f>
        <v>62370.875000000007</v>
      </c>
      <c r="H32" s="15">
        <f t="shared" si="16"/>
        <v>63606.312500000015</v>
      </c>
      <c r="I32" s="15">
        <f t="shared" si="16"/>
        <v>64841.750000000015</v>
      </c>
      <c r="J32" s="15">
        <f t="shared" si="16"/>
        <v>66077.187500000029</v>
      </c>
      <c r="K32" s="15">
        <f t="shared" si="16"/>
        <v>67312.625000000044</v>
      </c>
      <c r="L32" s="15">
        <f t="shared" si="16"/>
        <v>68548.062500000044</v>
      </c>
      <c r="M32" s="15">
        <f t="shared" si="16"/>
        <v>69783.500000000044</v>
      </c>
      <c r="N32" s="15">
        <f t="shared" si="16"/>
        <v>71018.937500000058</v>
      </c>
      <c r="O32" s="15">
        <f t="shared" si="16"/>
        <v>72254.375000000015</v>
      </c>
    </row>
    <row r="33" spans="1:17" x14ac:dyDescent="0.45">
      <c r="A33" s="15"/>
      <c r="B33" s="9"/>
      <c r="C33" s="11" t="s">
        <v>70</v>
      </c>
      <c r="E33" s="15">
        <f>365*E34</f>
        <v>58400</v>
      </c>
      <c r="F33" s="15">
        <f t="shared" ref="F33:O33" si="17">365*F34</f>
        <v>59604.500000000007</v>
      </c>
      <c r="G33" s="15">
        <f t="shared" si="17"/>
        <v>60809.000000000007</v>
      </c>
      <c r="H33" s="15">
        <f t="shared" si="17"/>
        <v>62013.500000000015</v>
      </c>
      <c r="I33" s="15">
        <f t="shared" si="17"/>
        <v>63218.000000000015</v>
      </c>
      <c r="J33" s="15">
        <f t="shared" si="17"/>
        <v>64422.500000000022</v>
      </c>
      <c r="K33" s="15">
        <f t="shared" si="17"/>
        <v>65627.000000000029</v>
      </c>
      <c r="L33" s="15">
        <f t="shared" si="17"/>
        <v>66831.500000000029</v>
      </c>
      <c r="M33" s="15">
        <f t="shared" si="17"/>
        <v>68036.000000000029</v>
      </c>
      <c r="N33" s="15">
        <f t="shared" si="17"/>
        <v>69240.500000000044</v>
      </c>
      <c r="O33" s="15">
        <f t="shared" si="17"/>
        <v>70445</v>
      </c>
      <c r="Q33" s="9" t="s">
        <v>67</v>
      </c>
    </row>
    <row r="34" spans="1:17" x14ac:dyDescent="0.45">
      <c r="B34" s="11" t="s">
        <v>81</v>
      </c>
      <c r="C34" s="9" t="s">
        <v>79</v>
      </c>
      <c r="E34" s="9">
        <v>160</v>
      </c>
      <c r="F34" s="22">
        <f t="shared" ref="F34:N34" si="18">E34+$P34</f>
        <v>163.30000000000001</v>
      </c>
      <c r="G34" s="22">
        <f t="shared" si="18"/>
        <v>166.60000000000002</v>
      </c>
      <c r="H34" s="22">
        <f t="shared" si="18"/>
        <v>169.90000000000003</v>
      </c>
      <c r="I34" s="22">
        <f t="shared" si="18"/>
        <v>173.20000000000005</v>
      </c>
      <c r="J34" s="22">
        <f t="shared" si="18"/>
        <v>176.50000000000006</v>
      </c>
      <c r="K34" s="22">
        <f t="shared" si="18"/>
        <v>179.80000000000007</v>
      </c>
      <c r="L34" s="22">
        <f t="shared" si="18"/>
        <v>183.10000000000008</v>
      </c>
      <c r="M34" s="22">
        <f t="shared" si="18"/>
        <v>186.40000000000009</v>
      </c>
      <c r="N34" s="22">
        <f t="shared" si="18"/>
        <v>189.7000000000001</v>
      </c>
      <c r="O34" s="9">
        <v>193</v>
      </c>
      <c r="P34" s="21">
        <f>(O34-E34)/(O$5-E$5)</f>
        <v>3.3</v>
      </c>
    </row>
    <row r="35" spans="1:17" x14ac:dyDescent="0.45">
      <c r="B35" s="11" t="s">
        <v>72</v>
      </c>
      <c r="C35" s="9" t="s">
        <v>69</v>
      </c>
      <c r="E35" s="15">
        <f>365*E36</f>
        <v>45625</v>
      </c>
      <c r="F35" s="15">
        <f t="shared" ref="F35:O35" si="19">365*F36</f>
        <v>45369.5</v>
      </c>
      <c r="G35" s="15">
        <f t="shared" si="19"/>
        <v>45114</v>
      </c>
      <c r="H35" s="15">
        <f t="shared" si="19"/>
        <v>44858.5</v>
      </c>
      <c r="I35" s="15">
        <f t="shared" si="19"/>
        <v>46367.166666666672</v>
      </c>
      <c r="J35" s="15">
        <f t="shared" si="19"/>
        <v>47875.833333333343</v>
      </c>
      <c r="K35" s="15">
        <f t="shared" si="19"/>
        <v>49384.500000000007</v>
      </c>
      <c r="L35" s="15">
        <f t="shared" si="19"/>
        <v>49886.375000000007</v>
      </c>
      <c r="M35" s="15">
        <f t="shared" si="19"/>
        <v>50388.250000000007</v>
      </c>
      <c r="N35" s="15">
        <f t="shared" si="19"/>
        <v>50890.125000000007</v>
      </c>
      <c r="O35" s="15">
        <f t="shared" si="19"/>
        <v>51392.000000000007</v>
      </c>
      <c r="P35" s="21"/>
    </row>
    <row r="36" spans="1:17" x14ac:dyDescent="0.45">
      <c r="B36" s="9"/>
      <c r="C36" s="9" t="s">
        <v>79</v>
      </c>
      <c r="E36" s="22">
        <v>125</v>
      </c>
      <c r="F36" s="22">
        <v>124.3</v>
      </c>
      <c r="G36" s="22">
        <v>123.60000000000001</v>
      </c>
      <c r="H36" s="22">
        <v>122.9</v>
      </c>
      <c r="I36" s="22">
        <v>127.03333333333335</v>
      </c>
      <c r="J36" s="22">
        <v>131.16666666666669</v>
      </c>
      <c r="K36" s="22">
        <v>135.30000000000001</v>
      </c>
      <c r="L36" s="22">
        <v>136.67500000000001</v>
      </c>
      <c r="M36" s="22">
        <v>138.05000000000001</v>
      </c>
      <c r="N36" s="22">
        <v>139.42500000000001</v>
      </c>
      <c r="O36" s="22">
        <v>140.80000000000001</v>
      </c>
      <c r="P36" s="21"/>
    </row>
    <row r="37" spans="1:17" x14ac:dyDescent="0.45">
      <c r="B37" s="11" t="s">
        <v>82</v>
      </c>
      <c r="C37" s="9" t="s">
        <v>69</v>
      </c>
      <c r="E37" s="15">
        <f>E32-E35</f>
        <v>14275</v>
      </c>
      <c r="F37" s="15">
        <f t="shared" ref="F37:O37" si="20">F32-F35</f>
        <v>15765.937500000007</v>
      </c>
      <c r="G37" s="15">
        <f t="shared" si="20"/>
        <v>17256.875000000007</v>
      </c>
      <c r="H37" s="15">
        <f t="shared" si="20"/>
        <v>18747.812500000015</v>
      </c>
      <c r="I37" s="15">
        <f t="shared" si="20"/>
        <v>18474.583333333343</v>
      </c>
      <c r="J37" s="15">
        <f t="shared" si="20"/>
        <v>18201.354166666686</v>
      </c>
      <c r="K37" s="15">
        <f t="shared" si="20"/>
        <v>17928.125000000036</v>
      </c>
      <c r="L37" s="15">
        <f t="shared" si="20"/>
        <v>18661.687500000036</v>
      </c>
      <c r="M37" s="15">
        <f t="shared" si="20"/>
        <v>19395.250000000036</v>
      </c>
      <c r="N37" s="15">
        <f t="shared" si="20"/>
        <v>20128.812500000051</v>
      </c>
      <c r="O37" s="15">
        <f t="shared" si="20"/>
        <v>20862.375000000007</v>
      </c>
      <c r="P37" s="21"/>
    </row>
    <row r="38" spans="1:17" ht="14.25" x14ac:dyDescent="0.45">
      <c r="E38" s="15">
        <f>$P38*E37</f>
        <v>13297.155859390801</v>
      </c>
      <c r="F38" s="15">
        <f t="shared" ref="F38:O38" si="21">$P38*F37</f>
        <v>14685.963447069298</v>
      </c>
      <c r="G38" s="15">
        <f t="shared" si="21"/>
        <v>16074.771034747791</v>
      </c>
      <c r="H38" s="15">
        <f t="shared" si="21"/>
        <v>17463.578622426288</v>
      </c>
      <c r="I38" s="15">
        <f t="shared" si="21"/>
        <v>17209.06578078018</v>
      </c>
      <c r="J38" s="15">
        <f t="shared" si="21"/>
        <v>16954.552939134086</v>
      </c>
      <c r="K38" s="15">
        <f t="shared" si="21"/>
        <v>16700.040097487999</v>
      </c>
      <c r="L38" s="15">
        <f t="shared" si="21"/>
        <v>17383.353224990929</v>
      </c>
      <c r="M38" s="15">
        <f t="shared" si="21"/>
        <v>18066.666352493863</v>
      </c>
      <c r="N38" s="15">
        <f t="shared" si="21"/>
        <v>18749.979479996811</v>
      </c>
      <c r="O38" s="15">
        <f t="shared" si="21"/>
        <v>19433.292607499701</v>
      </c>
      <c r="P38" s="19">
        <f>AVERAGE(BEN!D32:M32)/AVERAGE(AVERAGE(BEN!D32:M32)+AVERAGE(BEN!D$33:M$33))</f>
        <v>0.93149953480846237</v>
      </c>
    </row>
    <row r="39" spans="1:17" ht="14.25" x14ac:dyDescent="0.45">
      <c r="E39" s="15">
        <f>$P39*E37</f>
        <v>977.84414060919869</v>
      </c>
      <c r="F39" s="15">
        <f t="shared" ref="F39:O39" si="22">$P39*F37</f>
        <v>1079.9740529307071</v>
      </c>
      <c r="G39" s="15">
        <f t="shared" si="22"/>
        <v>1182.1039652522152</v>
      </c>
      <c r="H39" s="15">
        <f t="shared" si="22"/>
        <v>1284.2338775737237</v>
      </c>
      <c r="I39" s="15">
        <f t="shared" si="22"/>
        <v>1265.5175525531606</v>
      </c>
      <c r="J39" s="15">
        <f t="shared" si="22"/>
        <v>1246.8012275325984</v>
      </c>
      <c r="K39" s="15">
        <f t="shared" si="22"/>
        <v>1228.0849025120367</v>
      </c>
      <c r="L39" s="15">
        <f t="shared" si="22"/>
        <v>1278.334275009104</v>
      </c>
      <c r="M39" s="15">
        <f t="shared" si="22"/>
        <v>1328.5836475061712</v>
      </c>
      <c r="N39" s="15">
        <f t="shared" si="22"/>
        <v>1378.8330200032397</v>
      </c>
      <c r="O39" s="15">
        <f t="shared" si="22"/>
        <v>1429.082392500304</v>
      </c>
      <c r="P39" s="19">
        <f>AVERAGE(BEN!D33:M33)/AVERAGE(AVERAGE(BEN!D32:M32)+AVERAGE(BEN!D$33:M$33))</f>
        <v>6.850046519153756E-2</v>
      </c>
    </row>
    <row r="40" spans="1:17" x14ac:dyDescent="0.45">
      <c r="B40" s="9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1"/>
    </row>
    <row r="41" spans="1:17" x14ac:dyDescent="0.45">
      <c r="B41" s="11" t="s">
        <v>24</v>
      </c>
      <c r="C41" s="9" t="s">
        <v>86</v>
      </c>
      <c r="D41" s="15">
        <f>BEN!L43</f>
        <v>3392</v>
      </c>
      <c r="E41" s="15">
        <f>BEN!M43</f>
        <v>4032</v>
      </c>
      <c r="F41" s="15">
        <f>E41*F42/E42</f>
        <v>4258.7999999999993</v>
      </c>
      <c r="G41" s="15">
        <f t="shared" ref="G41:O41" si="23">F41*G42/F42</f>
        <v>4485.5999999999995</v>
      </c>
      <c r="H41" s="15">
        <f t="shared" si="23"/>
        <v>4712.3999999999996</v>
      </c>
      <c r="I41" s="15">
        <f t="shared" si="23"/>
        <v>4939.1999999999989</v>
      </c>
      <c r="J41" s="15">
        <f t="shared" si="23"/>
        <v>5165.9999999999991</v>
      </c>
      <c r="K41" s="15">
        <f t="shared" si="23"/>
        <v>5392.7999999999984</v>
      </c>
      <c r="L41" s="15">
        <f t="shared" si="23"/>
        <v>5619.5999999999995</v>
      </c>
      <c r="M41" s="15">
        <f t="shared" si="23"/>
        <v>5846.3999999999987</v>
      </c>
      <c r="N41" s="15">
        <f t="shared" si="23"/>
        <v>6073.2</v>
      </c>
      <c r="O41" s="15">
        <f t="shared" si="23"/>
        <v>6299.9999999999991</v>
      </c>
      <c r="P41" s="21"/>
      <c r="Q41" s="9" t="s">
        <v>67</v>
      </c>
    </row>
    <row r="42" spans="1:17" x14ac:dyDescent="0.45">
      <c r="C42" s="11" t="s">
        <v>70</v>
      </c>
      <c r="E42" s="15">
        <f>365*$P$42*E43</f>
        <v>4800.4799999999996</v>
      </c>
      <c r="F42" s="15">
        <f t="shared" ref="F42:O42" si="24">365*$P$42*F43</f>
        <v>5070.5069999999987</v>
      </c>
      <c r="G42" s="15">
        <f t="shared" si="24"/>
        <v>5340.5339999999997</v>
      </c>
      <c r="H42" s="15">
        <f t="shared" si="24"/>
        <v>5610.5609999999997</v>
      </c>
      <c r="I42" s="15">
        <f t="shared" si="24"/>
        <v>5880.5879999999997</v>
      </c>
      <c r="J42" s="15">
        <f t="shared" si="24"/>
        <v>6150.6149999999998</v>
      </c>
      <c r="K42" s="15">
        <f t="shared" si="24"/>
        <v>6420.6419999999989</v>
      </c>
      <c r="L42" s="15">
        <f t="shared" si="24"/>
        <v>6690.6689999999999</v>
      </c>
      <c r="M42" s="15">
        <f t="shared" si="24"/>
        <v>6960.695999999999</v>
      </c>
      <c r="N42" s="15">
        <f t="shared" si="24"/>
        <v>7230.723</v>
      </c>
      <c r="O42" s="15">
        <f t="shared" si="24"/>
        <v>7500.7499999999991</v>
      </c>
      <c r="P42" s="23">
        <v>0.82199999999999995</v>
      </c>
      <c r="Q42" s="9" t="s">
        <v>87</v>
      </c>
    </row>
    <row r="43" spans="1:17" x14ac:dyDescent="0.45">
      <c r="B43" s="11" t="s">
        <v>81</v>
      </c>
      <c r="C43" s="9" t="s">
        <v>79</v>
      </c>
      <c r="E43" s="9">
        <v>16</v>
      </c>
      <c r="F43" s="22">
        <f>$E43+(F5-$E5)*($O43-$E43)/($O5-$E5)</f>
        <v>16.899999999999999</v>
      </c>
      <c r="G43" s="22">
        <f t="shared" ref="G43:N43" si="25">$E43+(G5-$E5)*($O43-$E43)/($O5-$E5)</f>
        <v>17.8</v>
      </c>
      <c r="H43" s="22">
        <f t="shared" si="25"/>
        <v>18.7</v>
      </c>
      <c r="I43" s="22">
        <f t="shared" si="25"/>
        <v>19.600000000000001</v>
      </c>
      <c r="J43" s="22">
        <f t="shared" si="25"/>
        <v>20.5</v>
      </c>
      <c r="K43" s="22">
        <f t="shared" si="25"/>
        <v>21.4</v>
      </c>
      <c r="L43" s="22">
        <f t="shared" si="25"/>
        <v>22.3</v>
      </c>
      <c r="M43" s="22">
        <f t="shared" si="25"/>
        <v>23.2</v>
      </c>
      <c r="N43" s="22">
        <f t="shared" si="25"/>
        <v>24.1</v>
      </c>
      <c r="O43" s="9">
        <v>25</v>
      </c>
      <c r="P43" s="21"/>
    </row>
    <row r="44" spans="1:17" x14ac:dyDescent="0.45">
      <c r="B44" s="11" t="s">
        <v>72</v>
      </c>
      <c r="C44" s="9" t="s">
        <v>86</v>
      </c>
      <c r="D44" s="15">
        <f>BEN!L43</f>
        <v>3392</v>
      </c>
      <c r="E44" s="15">
        <f>BEN!M43</f>
        <v>4032</v>
      </c>
      <c r="F44" s="15">
        <f>E44*F45/E45</f>
        <v>4315.9436619718308</v>
      </c>
      <c r="G44" s="15">
        <f t="shared" ref="G44:O44" si="26">F44*G45/F45</f>
        <v>4599.8873239436616</v>
      </c>
      <c r="H44" s="15">
        <f t="shared" si="26"/>
        <v>4883.8309859154933</v>
      </c>
      <c r="I44" s="15">
        <f t="shared" si="26"/>
        <v>5262.4225352112671</v>
      </c>
      <c r="J44" s="15">
        <f t="shared" si="26"/>
        <v>5451.7183098591549</v>
      </c>
      <c r="K44" s="15">
        <f t="shared" si="26"/>
        <v>5451.7183098591549</v>
      </c>
      <c r="L44" s="15">
        <f t="shared" si="26"/>
        <v>5494.3098591549306</v>
      </c>
      <c r="M44" s="15">
        <f t="shared" si="26"/>
        <v>5536.9014084507044</v>
      </c>
      <c r="N44" s="15">
        <f t="shared" si="26"/>
        <v>5579.4929577464791</v>
      </c>
      <c r="O44" s="15">
        <f t="shared" si="26"/>
        <v>5622.0845070422547</v>
      </c>
      <c r="P44" s="21"/>
    </row>
    <row r="45" spans="1:17" x14ac:dyDescent="0.45">
      <c r="C45" s="11" t="s">
        <v>70</v>
      </c>
      <c r="E45" s="15">
        <f>365*$P$42*E46</f>
        <v>4260.4259999999995</v>
      </c>
      <c r="F45" s="15">
        <f t="shared" ref="F45:O45" si="27">365*$P$42*F46</f>
        <v>4560.4559999999992</v>
      </c>
      <c r="G45" s="15">
        <f t="shared" si="27"/>
        <v>4860.485999999999</v>
      </c>
      <c r="H45" s="15">
        <f t="shared" si="27"/>
        <v>5160.5159999999996</v>
      </c>
      <c r="I45" s="15">
        <f t="shared" si="27"/>
        <v>5560.5559999999987</v>
      </c>
      <c r="J45" s="15">
        <f t="shared" si="27"/>
        <v>5760.5759999999991</v>
      </c>
      <c r="K45" s="15">
        <f t="shared" si="27"/>
        <v>5760.5759999999991</v>
      </c>
      <c r="L45" s="15">
        <f t="shared" si="27"/>
        <v>5805.5805</v>
      </c>
      <c r="M45" s="15">
        <f t="shared" si="27"/>
        <v>5850.5849999999991</v>
      </c>
      <c r="N45" s="15">
        <f t="shared" si="27"/>
        <v>5895.5894999999991</v>
      </c>
      <c r="O45" s="15">
        <f t="shared" si="27"/>
        <v>5940.5940000000001</v>
      </c>
      <c r="P45" s="21"/>
    </row>
    <row r="46" spans="1:17" x14ac:dyDescent="0.45">
      <c r="B46" s="9"/>
      <c r="C46" s="9" t="s">
        <v>79</v>
      </c>
      <c r="E46" s="22">
        <v>14.2</v>
      </c>
      <c r="F46" s="22">
        <f>$E46+(F5-$E5)*($H46-$E46)/($H5-$E5)</f>
        <v>15.2</v>
      </c>
      <c r="G46" s="22">
        <f>$E46+(G5-$E5)*($H46-$E46)/($H5-$E5)</f>
        <v>16.2</v>
      </c>
      <c r="H46" s="22">
        <v>17.2</v>
      </c>
      <c r="I46" s="22">
        <f>$H46+(J5-$H5)*($K46-$H46)/($K5-$H5)</f>
        <v>18.533333333333331</v>
      </c>
      <c r="J46" s="22">
        <f t="shared" ref="J46" si="28">$H46+(K5-$H5)*($K46-$H46)/($K5-$H5)</f>
        <v>19.2</v>
      </c>
      <c r="K46" s="22">
        <v>19.2</v>
      </c>
      <c r="L46" s="22">
        <f>$K46+(L5-$K5)*($O46-$K46)/($O5-$K5)</f>
        <v>19.350000000000001</v>
      </c>
      <c r="M46" s="22">
        <f t="shared" ref="M46:N46" si="29">$K46+(M5-$K5)*($O46-$K46)/($O5-$K5)</f>
        <v>19.5</v>
      </c>
      <c r="N46" s="22">
        <f t="shared" si="29"/>
        <v>19.649999999999999</v>
      </c>
      <c r="O46" s="22">
        <v>19.8</v>
      </c>
    </row>
    <row r="47" spans="1:17" ht="14.25" x14ac:dyDescent="0.45">
      <c r="B47" s="11" t="s">
        <v>83</v>
      </c>
      <c r="D47" s="15">
        <f>BEN!M44</f>
        <v>841</v>
      </c>
      <c r="E47" s="15">
        <f>IF(E44&lt;E41,E41-E44,E44+E48-E41)</f>
        <v>0</v>
      </c>
      <c r="F47" s="15">
        <f t="shared" ref="F47:O47" si="30">IF(F44&lt;F41,F41-F44,F44+F48-F41)</f>
        <v>152.62472401379728</v>
      </c>
      <c r="G47" s="15">
        <f t="shared" si="30"/>
        <v>305.24944802759273</v>
      </c>
      <c r="H47" s="15">
        <f t="shared" si="30"/>
        <v>457.87417204139001</v>
      </c>
      <c r="I47" s="15">
        <f t="shared" si="30"/>
        <v>863.29346999107929</v>
      </c>
      <c r="J47" s="15">
        <f t="shared" si="30"/>
        <v>763.12362006898275</v>
      </c>
      <c r="K47" s="15">
        <f t="shared" si="30"/>
        <v>157.36462227509855</v>
      </c>
      <c r="L47" s="15">
        <f t="shared" si="30"/>
        <v>125.29014084506889</v>
      </c>
      <c r="M47" s="15">
        <f t="shared" si="30"/>
        <v>309.49859154929436</v>
      </c>
      <c r="N47" s="15">
        <f t="shared" si="30"/>
        <v>493.70704225352074</v>
      </c>
      <c r="O47" s="15">
        <f t="shared" si="30"/>
        <v>677.91549295774439</v>
      </c>
      <c r="P47" s="19"/>
    </row>
    <row r="48" spans="1:17" x14ac:dyDescent="0.45">
      <c r="B48" s="11" t="s">
        <v>84</v>
      </c>
      <c r="D48" s="15">
        <f>BEN!M45</f>
        <v>1772</v>
      </c>
      <c r="E48" s="22">
        <f>IF(E44&lt;E41,0,$P$48*(E44-E41))</f>
        <v>0</v>
      </c>
      <c r="F48" s="22">
        <f t="shared" ref="F48:O48" si="31">IF(F44&lt;F41,0,$P$48*(F44-F41))</f>
        <v>95.481062041965913</v>
      </c>
      <c r="G48" s="22">
        <f t="shared" si="31"/>
        <v>190.96212408393029</v>
      </c>
      <c r="H48" s="22">
        <f t="shared" si="31"/>
        <v>286.4431861258962</v>
      </c>
      <c r="I48" s="22">
        <f t="shared" si="31"/>
        <v>540.0709347798113</v>
      </c>
      <c r="J48" s="22">
        <f t="shared" si="31"/>
        <v>477.4053102098265</v>
      </c>
      <c r="K48" s="22">
        <f t="shared" si="31"/>
        <v>98.446312415941819</v>
      </c>
      <c r="L48" s="22">
        <f t="shared" si="31"/>
        <v>0</v>
      </c>
      <c r="M48" s="22">
        <f t="shared" si="31"/>
        <v>0</v>
      </c>
      <c r="N48" s="22">
        <f t="shared" si="31"/>
        <v>0</v>
      </c>
      <c r="O48" s="22">
        <f t="shared" si="31"/>
        <v>0</v>
      </c>
      <c r="P48" s="34">
        <f>SUM(BEN!D45:M45)/(SUM(BEN!D43:M43)-SUM(BEN!D46:M46))</f>
        <v>1.6708950520012606</v>
      </c>
    </row>
    <row r="49" spans="2:17" x14ac:dyDescent="0.45">
      <c r="P49" s="21"/>
    </row>
    <row r="50" spans="2:17" x14ac:dyDescent="0.45">
      <c r="B50" s="11" t="s">
        <v>26</v>
      </c>
      <c r="C50" s="9" t="s">
        <v>69</v>
      </c>
      <c r="E50" s="15">
        <f>365*E51</f>
        <v>6935</v>
      </c>
      <c r="F50" s="15">
        <f t="shared" ref="F50:O50" si="32">365*F51</f>
        <v>7190.5</v>
      </c>
      <c r="G50" s="15">
        <f t="shared" si="32"/>
        <v>7445.9999999999991</v>
      </c>
      <c r="H50" s="15">
        <f t="shared" si="32"/>
        <v>7701.4999999999991</v>
      </c>
      <c r="I50" s="15">
        <f t="shared" si="32"/>
        <v>7956.9999999999991</v>
      </c>
      <c r="J50" s="15">
        <f t="shared" si="32"/>
        <v>8212.4999999999982</v>
      </c>
      <c r="K50" s="15">
        <f t="shared" si="32"/>
        <v>8467.9999999999982</v>
      </c>
      <c r="L50" s="15">
        <f t="shared" si="32"/>
        <v>8723.4999999999982</v>
      </c>
      <c r="M50" s="15">
        <f t="shared" si="32"/>
        <v>8978.9999999999982</v>
      </c>
      <c r="N50" s="15">
        <f t="shared" si="32"/>
        <v>9234.4999999999982</v>
      </c>
      <c r="O50" s="15">
        <f t="shared" si="32"/>
        <v>9490</v>
      </c>
      <c r="P50" s="21"/>
      <c r="Q50" s="9" t="s">
        <v>67</v>
      </c>
    </row>
    <row r="51" spans="2:17" x14ac:dyDescent="0.45">
      <c r="B51" s="11" t="s">
        <v>81</v>
      </c>
      <c r="C51" s="9" t="s">
        <v>79</v>
      </c>
      <c r="E51" s="9">
        <v>19</v>
      </c>
      <c r="F51" s="22">
        <f t="shared" ref="F51:N51" si="33">E51+$P51</f>
        <v>19.7</v>
      </c>
      <c r="G51" s="22">
        <f t="shared" si="33"/>
        <v>20.399999999999999</v>
      </c>
      <c r="H51" s="22">
        <f t="shared" si="33"/>
        <v>21.099999999999998</v>
      </c>
      <c r="I51" s="22">
        <f t="shared" si="33"/>
        <v>21.799999999999997</v>
      </c>
      <c r="J51" s="22">
        <f t="shared" si="33"/>
        <v>22.499999999999996</v>
      </c>
      <c r="K51" s="22">
        <f t="shared" si="33"/>
        <v>23.199999999999996</v>
      </c>
      <c r="L51" s="22">
        <f t="shared" si="33"/>
        <v>23.899999999999995</v>
      </c>
      <c r="M51" s="22">
        <f t="shared" si="33"/>
        <v>24.599999999999994</v>
      </c>
      <c r="N51" s="22">
        <f t="shared" si="33"/>
        <v>25.299999999999994</v>
      </c>
      <c r="O51" s="9">
        <v>26</v>
      </c>
      <c r="P51" s="21">
        <f>(O51-E51)/(O$5-E$5)</f>
        <v>0.7</v>
      </c>
    </row>
    <row r="52" spans="2:17" x14ac:dyDescent="0.45">
      <c r="B52" s="11" t="s">
        <v>72</v>
      </c>
      <c r="C52" s="9" t="s">
        <v>69</v>
      </c>
      <c r="E52" s="15">
        <f>365*E53</f>
        <v>18213.5</v>
      </c>
      <c r="F52" s="15">
        <f t="shared" ref="F52:O52" si="34">365*F53</f>
        <v>18408.166666666664</v>
      </c>
      <c r="G52" s="15">
        <f t="shared" si="34"/>
        <v>18602.833333333336</v>
      </c>
      <c r="H52" s="15">
        <f t="shared" si="34"/>
        <v>18797.5</v>
      </c>
      <c r="I52" s="15">
        <f t="shared" si="34"/>
        <v>18481.166666666668</v>
      </c>
      <c r="J52" s="15">
        <f t="shared" si="34"/>
        <v>18164.833333333332</v>
      </c>
      <c r="K52" s="15">
        <f t="shared" si="34"/>
        <v>17848.5</v>
      </c>
      <c r="L52" s="15">
        <f t="shared" si="34"/>
        <v>17282.75</v>
      </c>
      <c r="M52" s="15">
        <f t="shared" si="34"/>
        <v>16717</v>
      </c>
      <c r="N52" s="15">
        <f t="shared" si="34"/>
        <v>16151.25</v>
      </c>
      <c r="O52" s="15">
        <f t="shared" si="34"/>
        <v>15585.500000000002</v>
      </c>
    </row>
    <row r="53" spans="2:17" x14ac:dyDescent="0.45">
      <c r="B53" s="9"/>
      <c r="C53" s="9" t="s">
        <v>79</v>
      </c>
      <c r="E53" s="22">
        <v>49.9</v>
      </c>
      <c r="F53" s="22">
        <v>50.43333333333333</v>
      </c>
      <c r="G53" s="22">
        <v>50.966666666666669</v>
      </c>
      <c r="H53" s="22">
        <v>51.5</v>
      </c>
      <c r="I53" s="22">
        <v>50.633333333333333</v>
      </c>
      <c r="J53" s="22">
        <v>49.766666666666666</v>
      </c>
      <c r="K53" s="22">
        <v>48.9</v>
      </c>
      <c r="L53" s="22">
        <v>47.35</v>
      </c>
      <c r="M53" s="22">
        <v>45.8</v>
      </c>
      <c r="N53" s="22">
        <v>44.25</v>
      </c>
      <c r="O53" s="22">
        <v>42.7</v>
      </c>
    </row>
    <row r="55" spans="2:17" x14ac:dyDescent="0.45">
      <c r="B55" s="11" t="s">
        <v>88</v>
      </c>
      <c r="C55" s="9" t="s">
        <v>69</v>
      </c>
      <c r="E55" s="15">
        <f>365*E56</f>
        <v>13870</v>
      </c>
      <c r="F55" s="15">
        <f t="shared" ref="F55:O55" si="35">365*F56</f>
        <v>14016</v>
      </c>
      <c r="G55" s="15">
        <f t="shared" si="35"/>
        <v>14161.999999999998</v>
      </c>
      <c r="H55" s="15">
        <f t="shared" si="35"/>
        <v>14307.999999999998</v>
      </c>
      <c r="I55" s="15">
        <f t="shared" si="35"/>
        <v>14453.999999999998</v>
      </c>
      <c r="J55" s="15">
        <f t="shared" si="35"/>
        <v>14599.999999999998</v>
      </c>
      <c r="K55" s="15">
        <f t="shared" si="35"/>
        <v>14745.999999999996</v>
      </c>
      <c r="L55" s="15">
        <f t="shared" si="35"/>
        <v>14891.999999999996</v>
      </c>
      <c r="M55" s="15">
        <f t="shared" si="35"/>
        <v>15037.999999999996</v>
      </c>
      <c r="N55" s="15">
        <f t="shared" si="35"/>
        <v>15183.999999999995</v>
      </c>
      <c r="O55" s="15">
        <f t="shared" si="35"/>
        <v>15330</v>
      </c>
      <c r="Q55" s="9" t="s">
        <v>67</v>
      </c>
    </row>
    <row r="56" spans="2:17" x14ac:dyDescent="0.45">
      <c r="B56" s="11" t="s">
        <v>81</v>
      </c>
      <c r="C56" s="9" t="s">
        <v>79</v>
      </c>
      <c r="E56" s="9">
        <v>38</v>
      </c>
      <c r="F56" s="22">
        <f t="shared" ref="F56:N56" si="36">E56+$P56</f>
        <v>38.4</v>
      </c>
      <c r="G56" s="22">
        <f t="shared" si="36"/>
        <v>38.799999999999997</v>
      </c>
      <c r="H56" s="22">
        <f t="shared" si="36"/>
        <v>39.199999999999996</v>
      </c>
      <c r="I56" s="22">
        <f t="shared" si="36"/>
        <v>39.599999999999994</v>
      </c>
      <c r="J56" s="22">
        <f t="shared" si="36"/>
        <v>39.999999999999993</v>
      </c>
      <c r="K56" s="22">
        <f t="shared" si="36"/>
        <v>40.399999999999991</v>
      </c>
      <c r="L56" s="22">
        <f t="shared" si="36"/>
        <v>40.79999999999999</v>
      </c>
      <c r="M56" s="22">
        <f t="shared" si="36"/>
        <v>41.199999999999989</v>
      </c>
      <c r="N56" s="22">
        <f t="shared" si="36"/>
        <v>41.599999999999987</v>
      </c>
      <c r="O56" s="9">
        <v>42</v>
      </c>
      <c r="P56" s="21">
        <f>(O56-E56)/(O$5-E$5)</f>
        <v>0.4</v>
      </c>
    </row>
    <row r="57" spans="2:17" x14ac:dyDescent="0.45">
      <c r="B57" s="11" t="s">
        <v>72</v>
      </c>
      <c r="C57" s="9" t="s">
        <v>69</v>
      </c>
      <c r="E57" s="15">
        <f>365*E58</f>
        <v>10110.5</v>
      </c>
      <c r="F57" s="15">
        <f t="shared" ref="F57:O57" si="37">365*F58</f>
        <v>11096</v>
      </c>
      <c r="G57" s="15">
        <f t="shared" si="37"/>
        <v>12081.499999999998</v>
      </c>
      <c r="H57" s="15">
        <f t="shared" si="37"/>
        <v>13066.999999999998</v>
      </c>
      <c r="I57" s="15">
        <f t="shared" si="37"/>
        <v>13298.166666666666</v>
      </c>
      <c r="J57" s="15">
        <f t="shared" si="37"/>
        <v>13529.333333333334</v>
      </c>
      <c r="K57" s="15">
        <f t="shared" si="37"/>
        <v>13760.500000000002</v>
      </c>
      <c r="L57" s="15">
        <f t="shared" si="37"/>
        <v>14235</v>
      </c>
      <c r="M57" s="15">
        <f t="shared" si="37"/>
        <v>14709.499999999998</v>
      </c>
      <c r="N57" s="15">
        <f t="shared" si="37"/>
        <v>15184</v>
      </c>
      <c r="O57" s="15">
        <f t="shared" si="37"/>
        <v>15658.5</v>
      </c>
    </row>
    <row r="58" spans="2:17" x14ac:dyDescent="0.45">
      <c r="B58" s="9"/>
      <c r="C58" s="9" t="s">
        <v>79</v>
      </c>
      <c r="E58" s="22">
        <v>27.7</v>
      </c>
      <c r="F58" s="22">
        <v>30.4</v>
      </c>
      <c r="G58" s="22">
        <v>33.099999999999994</v>
      </c>
      <c r="H58" s="22">
        <v>35.799999999999997</v>
      </c>
      <c r="I58" s="22">
        <v>36.43333333333333</v>
      </c>
      <c r="J58" s="22">
        <v>37.06666666666667</v>
      </c>
      <c r="K58" s="22">
        <v>37.700000000000003</v>
      </c>
      <c r="L58" s="22">
        <v>39</v>
      </c>
      <c r="M58" s="22">
        <v>40.299999999999997</v>
      </c>
      <c r="N58" s="22">
        <v>41.6</v>
      </c>
      <c r="O58" s="22">
        <v>42.9</v>
      </c>
    </row>
    <row r="59" spans="2:17" x14ac:dyDescent="0.45">
      <c r="C59" s="11" t="s">
        <v>89</v>
      </c>
      <c r="E59" s="15">
        <f>BEN!M62</f>
        <v>3509</v>
      </c>
      <c r="F59" s="15">
        <f>F55*F60</f>
        <v>4292.7058354114715</v>
      </c>
      <c r="G59" s="15">
        <f t="shared" ref="G59:O59" si="38">G55*G60</f>
        <v>3717.7898753117202</v>
      </c>
      <c r="H59" s="15">
        <f t="shared" si="38"/>
        <v>3130.0980049875307</v>
      </c>
      <c r="I59" s="15">
        <f t="shared" si="38"/>
        <v>2529.6302244389026</v>
      </c>
      <c r="J59" s="15">
        <f t="shared" si="38"/>
        <v>1916.386533665835</v>
      </c>
      <c r="K59" s="15">
        <f t="shared" si="38"/>
        <v>1290.3669326683291</v>
      </c>
      <c r="L59" s="15">
        <f t="shared" si="38"/>
        <v>651.57142144638397</v>
      </c>
      <c r="M59" s="15">
        <f t="shared" si="38"/>
        <v>0</v>
      </c>
      <c r="N59" s="15">
        <f t="shared" si="38"/>
        <v>0</v>
      </c>
      <c r="O59" s="15">
        <f t="shared" si="38"/>
        <v>0</v>
      </c>
    </row>
    <row r="60" spans="2:17" ht="14.25" x14ac:dyDescent="0.45">
      <c r="C60" s="11" t="s">
        <v>90</v>
      </c>
      <c r="E60" s="19">
        <f>BEN!M62/BEN!M61</f>
        <v>0.35002493765586035</v>
      </c>
      <c r="F60" s="19">
        <f t="shared" ref="F60:L60" si="39">$E60+(F5-$E5)*($M60-$E60)/($M5-$E5)</f>
        <v>0.3062718204488778</v>
      </c>
      <c r="G60" s="19">
        <f t="shared" si="39"/>
        <v>0.26251870324189525</v>
      </c>
      <c r="H60" s="19">
        <f t="shared" si="39"/>
        <v>0.21876558603491272</v>
      </c>
      <c r="I60" s="19">
        <f t="shared" si="39"/>
        <v>0.17501246882793017</v>
      </c>
      <c r="J60" s="19">
        <f t="shared" si="39"/>
        <v>0.13125935162094762</v>
      </c>
      <c r="K60" s="19">
        <f t="shared" si="39"/>
        <v>8.75062344139651E-2</v>
      </c>
      <c r="L60" s="19">
        <f t="shared" si="39"/>
        <v>4.375311720698255E-2</v>
      </c>
      <c r="M60" s="19">
        <v>0</v>
      </c>
      <c r="N60" s="19">
        <f>$M60</f>
        <v>0</v>
      </c>
      <c r="O60" s="19">
        <f>$M60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C7EF-3A9D-41C5-A0C5-9F66A63C160E}">
  <dimension ref="B2:P32"/>
  <sheetViews>
    <sheetView workbookViewId="0">
      <selection activeCell="E32" sqref="E32"/>
    </sheetView>
  </sheetViews>
  <sheetFormatPr defaultColWidth="8.86328125" defaultRowHeight="11.65" x14ac:dyDescent="0.45"/>
  <cols>
    <col min="1" max="3" width="8.86328125" style="9"/>
    <col min="4" max="4" width="7.1328125" style="15" customWidth="1"/>
    <col min="5" max="16" width="8.86328125" style="15"/>
    <col min="17" max="16384" width="8.86328125" style="9"/>
  </cols>
  <sheetData>
    <row r="2" spans="2:16" x14ac:dyDescent="0.45">
      <c r="B2" s="9" t="s">
        <v>65</v>
      </c>
    </row>
    <row r="3" spans="2:16" x14ac:dyDescent="0.45">
      <c r="B3" s="9" t="s">
        <v>91</v>
      </c>
    </row>
    <row r="5" spans="2:16" x14ac:dyDescent="0.45">
      <c r="C5" s="9" t="s">
        <v>69</v>
      </c>
      <c r="D5" s="22">
        <v>2021</v>
      </c>
      <c r="E5" s="22">
        <f>1+D5</f>
        <v>2022</v>
      </c>
      <c r="F5" s="22">
        <f t="shared" ref="F5:O5" si="0">1+E5</f>
        <v>2023</v>
      </c>
      <c r="G5" s="22">
        <f t="shared" si="0"/>
        <v>2024</v>
      </c>
      <c r="H5" s="22">
        <f t="shared" si="0"/>
        <v>2025</v>
      </c>
      <c r="I5" s="22">
        <f t="shared" si="0"/>
        <v>2026</v>
      </c>
      <c r="J5" s="22">
        <f t="shared" si="0"/>
        <v>2027</v>
      </c>
      <c r="K5" s="22">
        <f t="shared" si="0"/>
        <v>2028</v>
      </c>
      <c r="L5" s="22">
        <f t="shared" si="0"/>
        <v>2029</v>
      </c>
      <c r="M5" s="22">
        <f t="shared" si="0"/>
        <v>2030</v>
      </c>
      <c r="N5" s="22">
        <f t="shared" si="0"/>
        <v>2031</v>
      </c>
      <c r="O5" s="22">
        <f t="shared" si="0"/>
        <v>2032</v>
      </c>
      <c r="P5" s="22"/>
    </row>
    <row r="6" spans="2:16" x14ac:dyDescent="0.45">
      <c r="B6" s="24" t="s">
        <v>92</v>
      </c>
      <c r="C6" s="11" t="s">
        <v>72</v>
      </c>
      <c r="D6" s="15">
        <f>BEN!L35</f>
        <v>29898</v>
      </c>
      <c r="E6" s="15">
        <f>BEN!M35</f>
        <v>32485</v>
      </c>
      <c r="F6" s="15">
        <f t="shared" ref="F6:O6" si="1">F$9*F10</f>
        <v>33074.140946021398</v>
      </c>
      <c r="G6" s="15">
        <f t="shared" si="1"/>
        <v>34954.927825333871</v>
      </c>
      <c r="H6" s="15">
        <f t="shared" si="1"/>
        <v>35771.332749796755</v>
      </c>
      <c r="I6" s="15">
        <f t="shared" si="1"/>
        <v>37112.682514851156</v>
      </c>
      <c r="J6" s="15">
        <f t="shared" si="1"/>
        <v>39146.632006673201</v>
      </c>
      <c r="K6" s="15">
        <f t="shared" si="1"/>
        <v>40227.565127971444</v>
      </c>
      <c r="L6" s="15">
        <f t="shared" si="1"/>
        <v>42105.155104875208</v>
      </c>
      <c r="M6" s="15">
        <f t="shared" si="1"/>
        <v>43468.681091565755</v>
      </c>
      <c r="N6" s="15">
        <f t="shared" si="1"/>
        <v>45762.784991617686</v>
      </c>
      <c r="O6" s="15">
        <f t="shared" si="1"/>
        <v>47146.999780717277</v>
      </c>
    </row>
    <row r="7" spans="2:16" x14ac:dyDescent="0.45">
      <c r="B7" s="11"/>
      <c r="C7" s="11" t="s">
        <v>74</v>
      </c>
      <c r="D7" s="15">
        <f>BEN!L36</f>
        <v>432</v>
      </c>
      <c r="E7" s="15">
        <f>BEN!M36</f>
        <v>99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</row>
    <row r="8" spans="2:16" x14ac:dyDescent="0.45">
      <c r="B8" s="11"/>
      <c r="C8" s="11" t="s">
        <v>75</v>
      </c>
      <c r="D8" s="15">
        <f>BEN!L37</f>
        <v>1868</v>
      </c>
      <c r="E8" s="15">
        <f>BEN!M37</f>
        <v>2358</v>
      </c>
      <c r="F8" s="15">
        <f>F6-F9</f>
        <v>-742.74405397859664</v>
      </c>
      <c r="G8" s="15">
        <f t="shared" ref="G8:O8" si="2">G6-G9</f>
        <v>-248.44945966612431</v>
      </c>
      <c r="H8" s="15">
        <f t="shared" si="2"/>
        <v>-875.383003888237</v>
      </c>
      <c r="I8" s="15">
        <f t="shared" si="2"/>
        <v>-1036.5485847349191</v>
      </c>
      <c r="J8" s="15">
        <f t="shared" si="2"/>
        <v>-566.71756799590366</v>
      </c>
      <c r="K8" s="15">
        <f t="shared" si="2"/>
        <v>-1114.031779259094</v>
      </c>
      <c r="L8" s="15">
        <f t="shared" si="2"/>
        <v>-931.44727555177815</v>
      </c>
      <c r="M8" s="15">
        <f t="shared" si="2"/>
        <v>-1332.4219864587358</v>
      </c>
      <c r="N8" s="15">
        <f t="shared" si="2"/>
        <v>-875.16331260580773</v>
      </c>
      <c r="O8" s="15">
        <f t="shared" si="2"/>
        <v>-1403.1044039793778</v>
      </c>
    </row>
    <row r="9" spans="2:16" x14ac:dyDescent="0.45">
      <c r="C9" s="11" t="s">
        <v>93</v>
      </c>
      <c r="D9" s="15">
        <f>BEN!L35</f>
        <v>29898</v>
      </c>
      <c r="E9" s="15">
        <f>BEN!M35</f>
        <v>32485</v>
      </c>
      <c r="F9" s="15">
        <f>E9*(1+$D$10)</f>
        <v>33816.884999999995</v>
      </c>
      <c r="G9" s="15">
        <f t="shared" ref="G9:O9" si="3">F9*(1+$D$10)</f>
        <v>35203.377284999995</v>
      </c>
      <c r="H9" s="15">
        <f t="shared" si="3"/>
        <v>36646.715753684992</v>
      </c>
      <c r="I9" s="15">
        <f t="shared" si="3"/>
        <v>38149.231099586075</v>
      </c>
      <c r="J9" s="15">
        <f t="shared" si="3"/>
        <v>39713.349574669104</v>
      </c>
      <c r="K9" s="15">
        <f t="shared" si="3"/>
        <v>41341.596907230538</v>
      </c>
      <c r="L9" s="15">
        <f t="shared" si="3"/>
        <v>43036.602380426986</v>
      </c>
      <c r="M9" s="15">
        <f t="shared" si="3"/>
        <v>44801.103078024491</v>
      </c>
      <c r="N9" s="15">
        <f t="shared" si="3"/>
        <v>46637.948304223493</v>
      </c>
      <c r="O9" s="15">
        <f t="shared" si="3"/>
        <v>48550.104184696655</v>
      </c>
    </row>
    <row r="10" spans="2:16" ht="14.25" x14ac:dyDescent="0.45">
      <c r="C10" s="11"/>
      <c r="D10" s="25">
        <f>4.1%</f>
        <v>4.0999999999999995E-2</v>
      </c>
      <c r="E10" s="25">
        <f>E6/E$9</f>
        <v>1</v>
      </c>
      <c r="F10" s="25">
        <f t="shared" ref="F10:O10" si="4">$E10*(F11/$E11)</f>
        <v>0.97803629595160535</v>
      </c>
      <c r="G10" s="25">
        <f t="shared" si="4"/>
        <v>0.99294245385450586</v>
      </c>
      <c r="H10" s="25">
        <f t="shared" si="4"/>
        <v>0.976112920738328</v>
      </c>
      <c r="I10" s="25">
        <f t="shared" si="4"/>
        <v>0.9728291093985858</v>
      </c>
      <c r="J10" s="25">
        <f t="shared" si="4"/>
        <v>0.98572979680471529</v>
      </c>
      <c r="K10" s="25">
        <f t="shared" si="4"/>
        <v>0.9730530056262956</v>
      </c>
      <c r="L10" s="25">
        <f t="shared" si="4"/>
        <v>0.97835685848715148</v>
      </c>
      <c r="M10" s="25">
        <f t="shared" si="4"/>
        <v>0.97025917008922258</v>
      </c>
      <c r="N10" s="25">
        <f t="shared" si="4"/>
        <v>0.98123495255629511</v>
      </c>
      <c r="O10" s="25">
        <f t="shared" si="4"/>
        <v>0.97109986832074302</v>
      </c>
    </row>
    <row r="11" spans="2:16" ht="14.25" x14ac:dyDescent="0.45">
      <c r="C11" s="11"/>
      <c r="D11" s="26"/>
      <c r="E11" s="25">
        <f t="shared" ref="E11:O11" si="5">(E13+E14)/E$12</f>
        <v>0.99032258064516132</v>
      </c>
      <c r="F11" s="25">
        <f t="shared" si="5"/>
        <v>0.96857142857142853</v>
      </c>
      <c r="G11" s="25">
        <f t="shared" si="5"/>
        <v>0.98333333333333328</v>
      </c>
      <c r="H11" s="25">
        <f t="shared" si="5"/>
        <v>0.96666666666666679</v>
      </c>
      <c r="I11" s="25">
        <f t="shared" si="5"/>
        <v>0.96341463414634143</v>
      </c>
      <c r="J11" s="25">
        <f t="shared" si="5"/>
        <v>0.97619047619047616</v>
      </c>
      <c r="K11" s="25">
        <f t="shared" si="5"/>
        <v>0.96363636363636374</v>
      </c>
      <c r="L11" s="25">
        <f t="shared" si="5"/>
        <v>0.9688888888888888</v>
      </c>
      <c r="M11" s="25">
        <f t="shared" si="5"/>
        <v>0.96086956521739142</v>
      </c>
      <c r="N11" s="25">
        <f t="shared" si="5"/>
        <v>0.97173913043478266</v>
      </c>
      <c r="O11" s="25">
        <f t="shared" si="5"/>
        <v>0.96170212765957452</v>
      </c>
    </row>
    <row r="12" spans="2:16" ht="14.25" x14ac:dyDescent="0.45">
      <c r="D12" s="19" t="s">
        <v>94</v>
      </c>
      <c r="E12" s="12">
        <v>31</v>
      </c>
      <c r="F12" s="12">
        <v>35</v>
      </c>
      <c r="G12" s="12">
        <v>36</v>
      </c>
      <c r="H12" s="12">
        <v>39</v>
      </c>
      <c r="I12" s="12">
        <v>41</v>
      </c>
      <c r="J12" s="12">
        <v>42</v>
      </c>
      <c r="K12" s="12">
        <v>44</v>
      </c>
      <c r="L12" s="12">
        <v>45</v>
      </c>
      <c r="M12" s="12">
        <v>46</v>
      </c>
      <c r="N12" s="12">
        <v>46</v>
      </c>
      <c r="O12" s="12">
        <v>47</v>
      </c>
    </row>
    <row r="13" spans="2:16" x14ac:dyDescent="0.45">
      <c r="D13" s="15" t="s">
        <v>95</v>
      </c>
      <c r="E13" s="12">
        <v>26.4</v>
      </c>
      <c r="F13" s="12">
        <v>29</v>
      </c>
      <c r="G13" s="12">
        <v>30</v>
      </c>
      <c r="H13" s="12">
        <v>31.2</v>
      </c>
      <c r="I13" s="12">
        <v>32.200000000000003</v>
      </c>
      <c r="J13" s="12">
        <v>33.1</v>
      </c>
      <c r="K13" s="12">
        <v>34.1</v>
      </c>
      <c r="L13" s="12">
        <v>34.9</v>
      </c>
      <c r="M13" s="12">
        <v>35.200000000000003</v>
      </c>
      <c r="N13" s="12">
        <v>35.6</v>
      </c>
      <c r="O13" s="12">
        <v>36.1</v>
      </c>
    </row>
    <row r="14" spans="2:16" x14ac:dyDescent="0.45">
      <c r="D14" s="15" t="s">
        <v>96</v>
      </c>
      <c r="E14" s="9">
        <v>4.3</v>
      </c>
      <c r="F14" s="9">
        <v>4.9000000000000004</v>
      </c>
      <c r="G14" s="9">
        <v>5.4</v>
      </c>
      <c r="H14" s="9">
        <v>6.5</v>
      </c>
      <c r="I14" s="12">
        <v>7.3</v>
      </c>
      <c r="J14" s="12">
        <v>7.9</v>
      </c>
      <c r="K14" s="12">
        <v>8.3000000000000007</v>
      </c>
      <c r="L14" s="12">
        <v>8.6999999999999993</v>
      </c>
      <c r="M14" s="12">
        <v>9</v>
      </c>
      <c r="N14" s="12">
        <v>9.1</v>
      </c>
      <c r="O14" s="12">
        <v>9.1</v>
      </c>
    </row>
    <row r="15" spans="2:16" x14ac:dyDescent="0.45">
      <c r="D15" s="15" t="s">
        <v>83</v>
      </c>
      <c r="E15" s="12">
        <f>E12-(E13+E14)</f>
        <v>0.30000000000000071</v>
      </c>
      <c r="F15" s="12">
        <f t="shared" ref="F15:O15" si="6">F12-(F13+F14)</f>
        <v>1.1000000000000014</v>
      </c>
      <c r="G15" s="12">
        <f t="shared" si="6"/>
        <v>0.60000000000000142</v>
      </c>
      <c r="H15" s="12">
        <f t="shared" si="6"/>
        <v>1.2999999999999972</v>
      </c>
      <c r="I15" s="12">
        <f t="shared" si="6"/>
        <v>1.5</v>
      </c>
      <c r="J15" s="12">
        <f t="shared" si="6"/>
        <v>1</v>
      </c>
      <c r="K15" s="12">
        <f t="shared" si="6"/>
        <v>1.5999999999999943</v>
      </c>
      <c r="L15" s="12">
        <f t="shared" si="6"/>
        <v>1.4000000000000057</v>
      </c>
      <c r="M15" s="12">
        <f t="shared" si="6"/>
        <v>1.7999999999999972</v>
      </c>
      <c r="N15" s="12">
        <f t="shared" si="6"/>
        <v>1.2999999999999972</v>
      </c>
      <c r="O15" s="12">
        <f t="shared" si="6"/>
        <v>1.7999999999999972</v>
      </c>
    </row>
    <row r="16" spans="2:16" x14ac:dyDescent="0.45">
      <c r="D16" s="2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6" x14ac:dyDescent="0.45">
      <c r="C17" s="9" t="s">
        <v>97</v>
      </c>
      <c r="D17" s="22">
        <v>2021</v>
      </c>
      <c r="E17" s="22">
        <f>1+D17</f>
        <v>2022</v>
      </c>
      <c r="F17" s="22">
        <f t="shared" ref="F17:O17" si="7">1+E17</f>
        <v>2023</v>
      </c>
      <c r="G17" s="22">
        <f t="shared" si="7"/>
        <v>2024</v>
      </c>
      <c r="H17" s="22">
        <f t="shared" si="7"/>
        <v>2025</v>
      </c>
      <c r="I17" s="22">
        <f t="shared" si="7"/>
        <v>2026</v>
      </c>
      <c r="J17" s="22">
        <f t="shared" si="7"/>
        <v>2027</v>
      </c>
      <c r="K17" s="22">
        <f t="shared" si="7"/>
        <v>2028</v>
      </c>
      <c r="L17" s="22">
        <f t="shared" si="7"/>
        <v>2029</v>
      </c>
      <c r="M17" s="22">
        <f t="shared" si="7"/>
        <v>2030</v>
      </c>
      <c r="N17" s="22">
        <f t="shared" si="7"/>
        <v>2031</v>
      </c>
      <c r="O17" s="22">
        <f t="shared" si="7"/>
        <v>2032</v>
      </c>
    </row>
    <row r="18" spans="2:16" x14ac:dyDescent="0.45">
      <c r="B18" s="28" t="s">
        <v>15</v>
      </c>
      <c r="D18" s="15">
        <f>BEN!D19</f>
        <v>249890</v>
      </c>
      <c r="E18" s="15">
        <f>BEN!E19</f>
        <v>249326</v>
      </c>
      <c r="F18" s="15">
        <f>F19/$P$19</f>
        <v>258651.18819250978</v>
      </c>
      <c r="G18" s="15">
        <f t="shared" ref="G18:O18" si="8">G19/$P$19</f>
        <v>274209.15439957794</v>
      </c>
      <c r="H18" s="15">
        <f t="shared" si="8"/>
        <v>289767.12060664623</v>
      </c>
      <c r="I18" s="15">
        <f t="shared" si="8"/>
        <v>305325.08681371441</v>
      </c>
      <c r="J18" s="15">
        <f t="shared" si="8"/>
        <v>320883.05302078271</v>
      </c>
      <c r="K18" s="15">
        <f t="shared" si="8"/>
        <v>336441.01922785095</v>
      </c>
      <c r="L18" s="15">
        <f t="shared" si="8"/>
        <v>351998.98543491919</v>
      </c>
      <c r="M18" s="15">
        <f t="shared" si="8"/>
        <v>367556.95164198737</v>
      </c>
      <c r="N18" s="15">
        <f t="shared" si="8"/>
        <v>383114.91784905561</v>
      </c>
      <c r="O18" s="15">
        <f t="shared" si="8"/>
        <v>398672.88405612396</v>
      </c>
    </row>
    <row r="19" spans="2:16" ht="14.25" x14ac:dyDescent="0.45">
      <c r="B19" s="28" t="s">
        <v>17</v>
      </c>
      <c r="D19" s="15">
        <f>BEN!L23</f>
        <v>159922</v>
      </c>
      <c r="E19" s="15">
        <f>BEN!M23</f>
        <v>157053</v>
      </c>
      <c r="F19" s="15">
        <f>E19*F21/E21</f>
        <v>167104.39200000005</v>
      </c>
      <c r="G19" s="15">
        <f t="shared" ref="G19:O19" si="9">F19*G21/F21</f>
        <v>177155.78399999999</v>
      </c>
      <c r="H19" s="15">
        <f t="shared" si="9"/>
        <v>187207.17600000001</v>
      </c>
      <c r="I19" s="15">
        <f t="shared" si="9"/>
        <v>197258.56799999997</v>
      </c>
      <c r="J19" s="15">
        <f t="shared" si="9"/>
        <v>207309.96</v>
      </c>
      <c r="K19" s="15">
        <f t="shared" si="9"/>
        <v>217361.35199999998</v>
      </c>
      <c r="L19" s="15">
        <f t="shared" si="9"/>
        <v>227412.74399999998</v>
      </c>
      <c r="M19" s="15">
        <f t="shared" si="9"/>
        <v>237464.13599999994</v>
      </c>
      <c r="N19" s="15">
        <f t="shared" si="9"/>
        <v>247515.52799999993</v>
      </c>
      <c r="O19" s="15">
        <f t="shared" si="9"/>
        <v>257566.91999999998</v>
      </c>
      <c r="P19" s="19">
        <f>BEN!C25</f>
        <v>0.64606079395091365</v>
      </c>
    </row>
    <row r="20" spans="2:16" ht="14.25" x14ac:dyDescent="0.45">
      <c r="D20" s="19"/>
      <c r="E20" s="19"/>
    </row>
    <row r="21" spans="2:16" x14ac:dyDescent="0.45">
      <c r="C21" s="9" t="s">
        <v>97</v>
      </c>
      <c r="E21" s="15">
        <f>8760*E22/$B$23</f>
        <v>153274.42016324084</v>
      </c>
      <c r="F21" s="15">
        <f t="shared" ref="F21:O21" si="10">8760*F22/$B$23</f>
        <v>163083.98305368828</v>
      </c>
      <c r="G21" s="15">
        <f t="shared" si="10"/>
        <v>172893.54594413564</v>
      </c>
      <c r="H21" s="15">
        <f t="shared" si="10"/>
        <v>182703.10883458308</v>
      </c>
      <c r="I21" s="15">
        <f t="shared" si="10"/>
        <v>192512.67172503046</v>
      </c>
      <c r="J21" s="15">
        <f t="shared" si="10"/>
        <v>202322.23461547791</v>
      </c>
      <c r="K21" s="15">
        <f t="shared" si="10"/>
        <v>212131.79750592532</v>
      </c>
      <c r="L21" s="15">
        <f t="shared" si="10"/>
        <v>221941.36039637274</v>
      </c>
      <c r="M21" s="15">
        <f t="shared" si="10"/>
        <v>231750.92328682012</v>
      </c>
      <c r="N21" s="15">
        <f t="shared" si="10"/>
        <v>241560.48617726751</v>
      </c>
      <c r="O21" s="15">
        <f t="shared" si="10"/>
        <v>251370.04906771498</v>
      </c>
    </row>
    <row r="22" spans="2:16" ht="14.25" x14ac:dyDescent="0.45">
      <c r="C22" s="9" t="s">
        <v>98</v>
      </c>
      <c r="E22" s="29">
        <v>2.5</v>
      </c>
      <c r="F22" s="29">
        <f t="shared" ref="F22:N22" si="11">$E22+(F$17-$E$17)*$P$22</f>
        <v>2.66</v>
      </c>
      <c r="G22" s="29">
        <f t="shared" si="11"/>
        <v>2.82</v>
      </c>
      <c r="H22" s="29">
        <f t="shared" si="11"/>
        <v>2.98</v>
      </c>
      <c r="I22" s="29">
        <f t="shared" si="11"/>
        <v>3.1399999999999997</v>
      </c>
      <c r="J22" s="29">
        <f t="shared" si="11"/>
        <v>3.3</v>
      </c>
      <c r="K22" s="29">
        <f t="shared" si="11"/>
        <v>3.46</v>
      </c>
      <c r="L22" s="29">
        <f t="shared" si="11"/>
        <v>3.62</v>
      </c>
      <c r="M22" s="29">
        <f t="shared" si="11"/>
        <v>3.78</v>
      </c>
      <c r="N22" s="29">
        <f t="shared" si="11"/>
        <v>3.9399999999999995</v>
      </c>
      <c r="O22" s="29">
        <v>4.0999999999999996</v>
      </c>
      <c r="P22" s="27">
        <f>(O22-E22)/(O17-E17)</f>
        <v>0.15999999999999998</v>
      </c>
    </row>
    <row r="23" spans="2:16" x14ac:dyDescent="0.45">
      <c r="B23" s="23">
        <f>B24/B25/1000</f>
        <v>0.14288098416341088</v>
      </c>
      <c r="C23" s="9" t="s">
        <v>99</v>
      </c>
      <c r="E23" s="9" t="s">
        <v>100</v>
      </c>
    </row>
    <row r="24" spans="2:16" x14ac:dyDescent="0.45">
      <c r="B24" s="9">
        <v>40</v>
      </c>
      <c r="C24" s="9" t="s">
        <v>101</v>
      </c>
      <c r="E24" s="15" t="s">
        <v>102</v>
      </c>
    </row>
    <row r="25" spans="2:16" x14ac:dyDescent="0.45">
      <c r="B25" s="30">
        <v>0.27995327883696958</v>
      </c>
      <c r="C25" s="31" t="s">
        <v>103</v>
      </c>
      <c r="E25" s="32" t="s">
        <v>104</v>
      </c>
    </row>
    <row r="26" spans="2:16" x14ac:dyDescent="0.45">
      <c r="B26" s="30"/>
      <c r="C26" s="31"/>
      <c r="E26" s="32"/>
    </row>
    <row r="27" spans="2:16" x14ac:dyDescent="0.45">
      <c r="B27" s="30"/>
      <c r="C27" s="31"/>
      <c r="E27" s="32"/>
    </row>
    <row r="28" spans="2:16" x14ac:dyDescent="0.45">
      <c r="C28" s="9" t="s">
        <v>69</v>
      </c>
      <c r="D28" s="22">
        <v>2021</v>
      </c>
      <c r="E28" s="22">
        <f>1+D28</f>
        <v>2022</v>
      </c>
      <c r="F28" s="22">
        <f t="shared" ref="F28:O28" si="12">1+E28</f>
        <v>2023</v>
      </c>
      <c r="G28" s="22">
        <f t="shared" si="12"/>
        <v>2024</v>
      </c>
      <c r="H28" s="22">
        <f t="shared" si="12"/>
        <v>2025</v>
      </c>
      <c r="I28" s="22">
        <f t="shared" si="12"/>
        <v>2026</v>
      </c>
      <c r="J28" s="22">
        <f t="shared" si="12"/>
        <v>2027</v>
      </c>
      <c r="K28" s="22">
        <f t="shared" si="12"/>
        <v>2028</v>
      </c>
      <c r="L28" s="22">
        <f t="shared" si="12"/>
        <v>2029</v>
      </c>
      <c r="M28" s="22">
        <f t="shared" si="12"/>
        <v>2030</v>
      </c>
      <c r="N28" s="22">
        <f t="shared" si="12"/>
        <v>2031</v>
      </c>
      <c r="O28" s="22">
        <f t="shared" si="12"/>
        <v>2032</v>
      </c>
    </row>
    <row r="29" spans="2:16" x14ac:dyDescent="0.45">
      <c r="B29" s="28" t="s">
        <v>105</v>
      </c>
      <c r="D29" s="15">
        <f>BEN!L39</f>
        <v>6766</v>
      </c>
      <c r="E29" s="15">
        <f>BEN!M39</f>
        <v>6766</v>
      </c>
      <c r="F29" s="15">
        <f t="shared" ref="F29:O29" si="13">F30*F31</f>
        <v>7336.2525000000005</v>
      </c>
      <c r="G29" s="15">
        <f t="shared" si="13"/>
        <v>8731.9225000000024</v>
      </c>
      <c r="H29" s="15">
        <f t="shared" si="13"/>
        <v>9540.9468750000015</v>
      </c>
      <c r="I29" s="15">
        <f t="shared" si="13"/>
        <v>10374.680000000002</v>
      </c>
      <c r="J29" s="15">
        <f t="shared" si="13"/>
        <v>11233.121875000006</v>
      </c>
      <c r="K29" s="15">
        <f t="shared" si="13"/>
        <v>12116.272500000008</v>
      </c>
      <c r="L29" s="15">
        <f t="shared" si="13"/>
        <v>13024.131875000008</v>
      </c>
      <c r="M29" s="15">
        <f t="shared" si="13"/>
        <v>13956.70000000001</v>
      </c>
      <c r="N29" s="15">
        <f t="shared" si="13"/>
        <v>14203.787500000013</v>
      </c>
      <c r="O29" s="15">
        <f t="shared" si="13"/>
        <v>14450.875000000004</v>
      </c>
    </row>
    <row r="30" spans="2:16" x14ac:dyDescent="0.45">
      <c r="C30" s="9" t="s">
        <v>85</v>
      </c>
      <c r="D30" s="15">
        <f>BEN!L31+BEN!L32+BEN!L33</f>
        <v>57880</v>
      </c>
      <c r="E30" s="15">
        <f>BEN!M31+BEN!M32+BEN!M33</f>
        <v>59900</v>
      </c>
      <c r="F30" s="15">
        <f>'PDE-O&amp;G'!F32</f>
        <v>61135.437500000007</v>
      </c>
      <c r="G30" s="15">
        <f>'PDE-O&amp;G'!G32</f>
        <v>62370.875000000007</v>
      </c>
      <c r="H30" s="15">
        <f>'PDE-O&amp;G'!H32</f>
        <v>63606.312500000015</v>
      </c>
      <c r="I30" s="15">
        <f>'PDE-O&amp;G'!I32</f>
        <v>64841.750000000015</v>
      </c>
      <c r="J30" s="15">
        <f>'PDE-O&amp;G'!J32</f>
        <v>66077.187500000029</v>
      </c>
      <c r="K30" s="15">
        <f>'PDE-O&amp;G'!K32</f>
        <v>67312.625000000044</v>
      </c>
      <c r="L30" s="15">
        <f>'PDE-O&amp;G'!L32</f>
        <v>68548.062500000044</v>
      </c>
      <c r="M30" s="15">
        <f>'PDE-O&amp;G'!M32</f>
        <v>69783.500000000044</v>
      </c>
      <c r="N30" s="15">
        <f>'PDE-O&amp;G'!N32</f>
        <v>71018.937500000058</v>
      </c>
      <c r="O30" s="15">
        <f>'PDE-O&amp;G'!O32</f>
        <v>72254.375000000015</v>
      </c>
    </row>
    <row r="31" spans="2:16" ht="14.25" x14ac:dyDescent="0.45">
      <c r="C31" s="9" t="s">
        <v>106</v>
      </c>
      <c r="D31" s="19">
        <f>D29/D30</f>
        <v>0.11689702833448515</v>
      </c>
      <c r="E31" s="19">
        <f>E29/E30</f>
        <v>0.11295492487479132</v>
      </c>
      <c r="F31" s="19">
        <v>0.12</v>
      </c>
      <c r="G31" s="19">
        <v>0.14000000000000001</v>
      </c>
      <c r="H31" s="19">
        <v>0.15</v>
      </c>
      <c r="I31" s="19">
        <f>$H31+(I28-$H28)*($M$31-$H$31)/($M$28-$H$28)</f>
        <v>0.16</v>
      </c>
      <c r="J31" s="19">
        <f>$H31+(J28-$H28)*($M$31-$H$31)/($M$28-$H$28)</f>
        <v>0.17</v>
      </c>
      <c r="K31" s="19">
        <f>$H31+(K28-$H28)*($M$31-$H$31)/($M$28-$H$28)</f>
        <v>0.18</v>
      </c>
      <c r="L31" s="19">
        <f>$H31+(L28-$H28)*($M$31-$H$31)/($M$28-$H$28)</f>
        <v>0.19</v>
      </c>
      <c r="M31" s="19">
        <v>0.2</v>
      </c>
      <c r="N31" s="19">
        <f>$M31</f>
        <v>0.2</v>
      </c>
      <c r="O31" s="19">
        <f>$M31</f>
        <v>0.2</v>
      </c>
    </row>
    <row r="32" spans="2:16" x14ac:dyDescent="0.45">
      <c r="E32" s="15" t="s">
        <v>107</v>
      </c>
    </row>
  </sheetData>
  <hyperlinks>
    <hyperlink ref="E25" r:id="rId1" xr:uid="{321605A3-34A3-477E-9542-936F710FE965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FAA1-B348-4587-B120-01D5BFC1F0ED}">
  <dimension ref="A1:BI66"/>
  <sheetViews>
    <sheetView topLeftCell="AB1" workbookViewId="0">
      <selection activeCell="AS15" sqref="AS15"/>
    </sheetView>
  </sheetViews>
  <sheetFormatPr defaultColWidth="8.86328125" defaultRowHeight="11.65" x14ac:dyDescent="0.45"/>
  <cols>
    <col min="1" max="1" width="19.59765625" style="15" customWidth="1"/>
    <col min="2" max="2" width="9.265625" style="10" customWidth="1"/>
    <col min="3" max="3" width="8.86328125" style="11"/>
    <col min="4" max="9" width="8.86328125" style="12" customWidth="1"/>
    <col min="10" max="13" width="8.86328125" style="12"/>
    <col min="14" max="16384" width="8.86328125" style="9"/>
  </cols>
  <sheetData>
    <row r="1" spans="1:61" x14ac:dyDescent="0.45">
      <c r="A1" s="15" t="s">
        <v>108</v>
      </c>
    </row>
    <row r="3" spans="1:61" x14ac:dyDescent="0.45">
      <c r="D3" s="13">
        <v>2013</v>
      </c>
      <c r="E3" s="13">
        <v>2014</v>
      </c>
      <c r="F3" s="13">
        <v>2015</v>
      </c>
      <c r="G3" s="13">
        <v>2016</v>
      </c>
      <c r="H3" s="13">
        <v>2017</v>
      </c>
      <c r="I3" s="13">
        <v>2018</v>
      </c>
      <c r="J3" s="13">
        <v>2019</v>
      </c>
      <c r="K3" s="13">
        <v>2020</v>
      </c>
      <c r="L3" s="13">
        <v>2021</v>
      </c>
      <c r="M3" s="13">
        <v>2022</v>
      </c>
      <c r="N3" s="14">
        <f t="shared" ref="N3:W3" si="0">1+M3</f>
        <v>2023</v>
      </c>
      <c r="O3" s="14">
        <f t="shared" si="0"/>
        <v>2024</v>
      </c>
      <c r="P3" s="14">
        <f t="shared" si="0"/>
        <v>2025</v>
      </c>
      <c r="Q3" s="14">
        <f t="shared" si="0"/>
        <v>2026</v>
      </c>
      <c r="R3" s="14">
        <f t="shared" si="0"/>
        <v>2027</v>
      </c>
      <c r="S3" s="14">
        <f t="shared" si="0"/>
        <v>2028</v>
      </c>
      <c r="T3" s="14">
        <f t="shared" si="0"/>
        <v>2029</v>
      </c>
      <c r="U3" s="14">
        <f t="shared" si="0"/>
        <v>2030</v>
      </c>
      <c r="V3" s="14">
        <f t="shared" si="0"/>
        <v>2031</v>
      </c>
      <c r="W3" s="14">
        <f t="shared" si="0"/>
        <v>2032</v>
      </c>
      <c r="X3" s="14">
        <f t="shared" ref="X3" si="1">1+W3</f>
        <v>2033</v>
      </c>
      <c r="Y3" s="14">
        <f t="shared" ref="Y3" si="2">1+X3</f>
        <v>2034</v>
      </c>
      <c r="Z3" s="14">
        <f t="shared" ref="Z3" si="3">1+Y3</f>
        <v>2035</v>
      </c>
      <c r="AA3" s="14">
        <f t="shared" ref="AA3" si="4">1+Z3</f>
        <v>2036</v>
      </c>
      <c r="AB3" s="14">
        <f t="shared" ref="AB3" si="5">1+AA3</f>
        <v>2037</v>
      </c>
      <c r="AC3" s="14">
        <f t="shared" ref="AC3" si="6">1+AB3</f>
        <v>2038</v>
      </c>
      <c r="AD3" s="14">
        <f t="shared" ref="AD3" si="7">1+AC3</f>
        <v>2039</v>
      </c>
      <c r="AE3" s="14">
        <f t="shared" ref="AE3" si="8">1+AD3</f>
        <v>2040</v>
      </c>
      <c r="AF3" s="14">
        <f t="shared" ref="AF3" si="9">1+AE3</f>
        <v>2041</v>
      </c>
      <c r="AG3" s="14">
        <f t="shared" ref="AG3" si="10">1+AF3</f>
        <v>2042</v>
      </c>
      <c r="AH3" s="14">
        <f t="shared" ref="AH3" si="11">1+AG3</f>
        <v>2043</v>
      </c>
      <c r="AI3" s="14">
        <f t="shared" ref="AI3" si="12">1+AH3</f>
        <v>2044</v>
      </c>
      <c r="AJ3" s="14">
        <f t="shared" ref="AJ3" si="13">1+AI3</f>
        <v>2045</v>
      </c>
      <c r="AK3" s="14">
        <f t="shared" ref="AK3" si="14">1+AJ3</f>
        <v>2046</v>
      </c>
      <c r="AL3" s="14">
        <f t="shared" ref="AL3" si="15">1+AK3</f>
        <v>2047</v>
      </c>
      <c r="AM3" s="14">
        <f t="shared" ref="AM3" si="16">1+AL3</f>
        <v>2048</v>
      </c>
      <c r="AN3" s="14">
        <f t="shared" ref="AN3" si="17">1+AM3</f>
        <v>2049</v>
      </c>
      <c r="AO3" s="14">
        <f t="shared" ref="AO3" si="18">1+AN3</f>
        <v>2050</v>
      </c>
      <c r="AP3" s="14">
        <f t="shared" ref="AP3" si="19">1+AO3</f>
        <v>2051</v>
      </c>
      <c r="AQ3" s="14">
        <f t="shared" ref="AQ3" si="20">1+AP3</f>
        <v>2052</v>
      </c>
      <c r="AR3" s="14">
        <f t="shared" ref="AR3" si="21">1+AQ3</f>
        <v>2053</v>
      </c>
      <c r="AS3" s="14">
        <f t="shared" ref="AS3" si="22">1+AR3</f>
        <v>2054</v>
      </c>
      <c r="AT3" s="14">
        <f t="shared" ref="AT3" si="23">1+AS3</f>
        <v>2055</v>
      </c>
      <c r="AU3" s="14">
        <f t="shared" ref="AU3" si="24">1+AT3</f>
        <v>2056</v>
      </c>
      <c r="AV3" s="14">
        <f t="shared" ref="AV3" si="25">1+AU3</f>
        <v>2057</v>
      </c>
      <c r="AW3" s="14">
        <f t="shared" ref="AW3" si="26">1+AV3</f>
        <v>2058</v>
      </c>
      <c r="AX3" s="14">
        <f t="shared" ref="AX3" si="27">1+AW3</f>
        <v>2059</v>
      </c>
      <c r="AY3" s="14">
        <f t="shared" ref="AY3" si="28">1+AX3</f>
        <v>2060</v>
      </c>
      <c r="AZ3" s="14">
        <f t="shared" ref="AZ3" si="29">1+AY3</f>
        <v>2061</v>
      </c>
      <c r="BA3" s="14">
        <f t="shared" ref="BA3" si="30">1+AZ3</f>
        <v>2062</v>
      </c>
      <c r="BB3" s="14">
        <f t="shared" ref="BB3" si="31">1+BA3</f>
        <v>2063</v>
      </c>
      <c r="BC3" s="14">
        <f t="shared" ref="BC3" si="32">1+BB3</f>
        <v>2064</v>
      </c>
      <c r="BD3" s="14">
        <f t="shared" ref="BD3" si="33">1+BC3</f>
        <v>2065</v>
      </c>
      <c r="BE3" s="14">
        <f t="shared" ref="BE3" si="34">1+BD3</f>
        <v>2066</v>
      </c>
      <c r="BF3" s="14">
        <f t="shared" ref="BF3" si="35">1+BE3</f>
        <v>2067</v>
      </c>
      <c r="BG3" s="14">
        <f t="shared" ref="BG3" si="36">1+BF3</f>
        <v>2068</v>
      </c>
      <c r="BH3" s="14">
        <f t="shared" ref="BH3" si="37">1+BG3</f>
        <v>2069</v>
      </c>
      <c r="BI3" s="14">
        <f t="shared" ref="BI3" si="38">1+BH3</f>
        <v>2070</v>
      </c>
    </row>
    <row r="4" spans="1:61" x14ac:dyDescent="0.45">
      <c r="A4" s="15" t="s">
        <v>109</v>
      </c>
      <c r="B4" s="10" t="s">
        <v>97</v>
      </c>
      <c r="C4" s="11" t="s">
        <v>110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</row>
    <row r="5" spans="1:61" x14ac:dyDescent="0.45">
      <c r="A5" s="17">
        <f>29.37*1000000/1000</f>
        <v>29370</v>
      </c>
      <c r="C5" s="11" t="s">
        <v>111</v>
      </c>
      <c r="D5" s="15">
        <v>10592</v>
      </c>
      <c r="E5" s="15">
        <v>10960</v>
      </c>
      <c r="F5" s="15">
        <v>10304</v>
      </c>
      <c r="G5" s="15">
        <v>10698</v>
      </c>
      <c r="H5" s="15">
        <v>11595</v>
      </c>
      <c r="I5" s="15">
        <v>11088</v>
      </c>
      <c r="J5" s="15">
        <v>10184</v>
      </c>
      <c r="K5" s="15">
        <v>9209</v>
      </c>
      <c r="L5" s="15">
        <v>10667</v>
      </c>
      <c r="M5" s="15">
        <v>10007</v>
      </c>
      <c r="N5" s="15">
        <f>AVERAGE(D5:M5)</f>
        <v>10530.4</v>
      </c>
      <c r="O5" s="15">
        <f>$N5</f>
        <v>10530.4</v>
      </c>
      <c r="P5" s="15">
        <f t="shared" ref="P5:W5" si="39">$N5</f>
        <v>10530.4</v>
      </c>
      <c r="Q5" s="15">
        <f t="shared" si="39"/>
        <v>10530.4</v>
      </c>
      <c r="R5" s="15">
        <f t="shared" si="39"/>
        <v>10530.4</v>
      </c>
      <c r="S5" s="15">
        <f t="shared" si="39"/>
        <v>10530.4</v>
      </c>
      <c r="T5" s="15">
        <f t="shared" si="39"/>
        <v>10530.4</v>
      </c>
      <c r="U5" s="15">
        <f t="shared" si="39"/>
        <v>10530.4</v>
      </c>
      <c r="V5" s="15">
        <f t="shared" si="39"/>
        <v>10530.4</v>
      </c>
      <c r="W5" s="15">
        <f t="shared" si="39"/>
        <v>10530.4</v>
      </c>
      <c r="BI5" s="9" t="s">
        <v>157</v>
      </c>
    </row>
    <row r="6" spans="1:61" x14ac:dyDescent="0.45">
      <c r="A6" s="33" t="s">
        <v>112</v>
      </c>
      <c r="C6" s="11" t="s">
        <v>113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</row>
    <row r="8" spans="1:61" x14ac:dyDescent="0.45">
      <c r="A8" s="15" t="s">
        <v>114</v>
      </c>
      <c r="B8" s="10" t="s">
        <v>78</v>
      </c>
      <c r="C8" s="11" t="s">
        <v>110</v>
      </c>
      <c r="D8" s="15">
        <f t="shared" ref="D8:M8" si="40">D12+D11</f>
        <v>22523</v>
      </c>
      <c r="E8" s="15">
        <f t="shared" si="40"/>
        <v>23911</v>
      </c>
      <c r="F8" s="15">
        <f t="shared" si="40"/>
        <v>24103</v>
      </c>
      <c r="G8" s="15">
        <f t="shared" si="40"/>
        <v>25307</v>
      </c>
      <c r="H8" s="15">
        <f t="shared" si="40"/>
        <v>28128</v>
      </c>
      <c r="I8" s="15">
        <f t="shared" si="40"/>
        <v>26454</v>
      </c>
      <c r="J8" s="15">
        <f t="shared" si="40"/>
        <v>26935</v>
      </c>
      <c r="K8" s="15">
        <f t="shared" si="40"/>
        <v>24936</v>
      </c>
      <c r="L8" s="15">
        <f t="shared" si="40"/>
        <v>25379</v>
      </c>
      <c r="M8" s="15">
        <f t="shared" si="40"/>
        <v>24314</v>
      </c>
      <c r="N8" s="15">
        <f>'PDE-O&amp;G'!F16</f>
        <v>26280</v>
      </c>
      <c r="O8" s="15">
        <f>'PDE-O&amp;G'!G16</f>
        <v>27375</v>
      </c>
      <c r="P8" s="15">
        <f>'PDE-O&amp;G'!H16</f>
        <v>27740</v>
      </c>
      <c r="Q8" s="15">
        <f>'PDE-O&amp;G'!I16</f>
        <v>28470</v>
      </c>
      <c r="R8" s="15">
        <f>'PDE-O&amp;G'!J16</f>
        <v>34675</v>
      </c>
      <c r="S8" s="15">
        <f>'PDE-O&amp;G'!K16</f>
        <v>40150</v>
      </c>
      <c r="T8" s="15">
        <f>'PDE-O&amp;G'!L16</f>
        <v>42340</v>
      </c>
      <c r="U8" s="15">
        <f>'PDE-O&amp;G'!M16</f>
        <v>44165</v>
      </c>
      <c r="V8" s="15">
        <f>'PDE-O&amp;G'!N16</f>
        <v>47085</v>
      </c>
      <c r="W8" s="15">
        <f>'PDE-O&amp;G'!O16</f>
        <v>48910</v>
      </c>
      <c r="BI8" s="9" t="s">
        <v>157</v>
      </c>
    </row>
    <row r="9" spans="1:61" x14ac:dyDescent="0.45">
      <c r="A9" s="17">
        <f>39.4*1000000/1000000</f>
        <v>39.4</v>
      </c>
      <c r="C9" s="11" t="s">
        <v>111</v>
      </c>
      <c r="D9" s="15">
        <v>16962</v>
      </c>
      <c r="E9" s="15">
        <v>19319</v>
      </c>
      <c r="F9" s="15">
        <v>18407</v>
      </c>
      <c r="G9" s="15">
        <v>11727</v>
      </c>
      <c r="H9" s="15">
        <v>10720</v>
      </c>
      <c r="I9" s="15">
        <v>10596</v>
      </c>
      <c r="J9" s="15">
        <v>9805</v>
      </c>
      <c r="K9" s="15">
        <v>9611</v>
      </c>
      <c r="L9" s="15">
        <v>16856</v>
      </c>
      <c r="M9" s="15">
        <v>8775</v>
      </c>
      <c r="N9" s="15">
        <f>'PDE-O&amp;G'!F18</f>
        <v>22630</v>
      </c>
      <c r="O9" s="15">
        <f>'PDE-O&amp;G'!G18</f>
        <v>27375</v>
      </c>
      <c r="P9" s="15">
        <f>'PDE-O&amp;G'!H18</f>
        <v>26645</v>
      </c>
      <c r="Q9" s="15">
        <f>'PDE-O&amp;G'!I18</f>
        <v>26280</v>
      </c>
      <c r="R9" s="15">
        <f>'PDE-O&amp;G'!J18</f>
        <v>23725</v>
      </c>
      <c r="S9" s="15">
        <f>'PDE-O&amp;G'!K18</f>
        <v>21900</v>
      </c>
      <c r="T9" s="15">
        <f>'PDE-O&amp;G'!L18</f>
        <v>19710</v>
      </c>
      <c r="U9" s="15">
        <f>'PDE-O&amp;G'!M18</f>
        <v>18980</v>
      </c>
      <c r="V9" s="15">
        <f>'PDE-O&amp;G'!N18</f>
        <v>17885</v>
      </c>
      <c r="W9" s="15">
        <f>'PDE-O&amp;G'!O18</f>
        <v>17520</v>
      </c>
      <c r="BI9" s="9" t="s">
        <v>157</v>
      </c>
    </row>
    <row r="10" spans="1:61" x14ac:dyDescent="0.45">
      <c r="A10" s="33" t="s">
        <v>115</v>
      </c>
      <c r="C10" s="11" t="s">
        <v>113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</row>
    <row r="11" spans="1:61" x14ac:dyDescent="0.45">
      <c r="C11" s="11" t="s">
        <v>116</v>
      </c>
      <c r="D11" s="15">
        <v>28174</v>
      </c>
      <c r="E11" s="15">
        <v>31894</v>
      </c>
      <c r="F11" s="15">
        <v>35128</v>
      </c>
      <c r="G11" s="15">
        <v>37887</v>
      </c>
      <c r="H11" s="15">
        <v>40103</v>
      </c>
      <c r="I11" s="15">
        <v>40858</v>
      </c>
      <c r="J11" s="15">
        <v>44724</v>
      </c>
      <c r="K11" s="15">
        <v>46639</v>
      </c>
      <c r="L11" s="15">
        <v>48819</v>
      </c>
      <c r="M11" s="15">
        <v>50338</v>
      </c>
    </row>
    <row r="12" spans="1:61" x14ac:dyDescent="0.45">
      <c r="C12" s="11" t="s">
        <v>117</v>
      </c>
      <c r="D12" s="15">
        <v>-5651</v>
      </c>
      <c r="E12" s="15">
        <v>-7983</v>
      </c>
      <c r="F12" s="15">
        <v>-11025</v>
      </c>
      <c r="G12" s="15">
        <v>-12580</v>
      </c>
      <c r="H12" s="15">
        <v>-11975</v>
      </c>
      <c r="I12" s="15">
        <v>-14404</v>
      </c>
      <c r="J12" s="15">
        <v>-17789</v>
      </c>
      <c r="K12" s="15">
        <v>-21703</v>
      </c>
      <c r="L12" s="15">
        <v>-23440</v>
      </c>
      <c r="M12" s="15">
        <v>-26024</v>
      </c>
    </row>
    <row r="14" spans="1:61" x14ac:dyDescent="0.45">
      <c r="A14" s="15" t="s">
        <v>118</v>
      </c>
      <c r="B14" s="10" t="s">
        <v>119</v>
      </c>
      <c r="C14" s="11" t="s">
        <v>110</v>
      </c>
      <c r="D14" s="12">
        <v>234.2</v>
      </c>
      <c r="E14" s="12">
        <v>67.2</v>
      </c>
      <c r="F14" s="12">
        <v>50.5</v>
      </c>
      <c r="G14" s="12">
        <v>0</v>
      </c>
      <c r="H14" s="12">
        <v>0</v>
      </c>
      <c r="I14" s="12">
        <v>0</v>
      </c>
      <c r="J14" s="12">
        <v>0</v>
      </c>
      <c r="K14" s="12">
        <v>20.3</v>
      </c>
      <c r="L14" s="12">
        <v>33.799999999999997</v>
      </c>
      <c r="M14" s="12">
        <v>50.9</v>
      </c>
      <c r="N14" s="15">
        <f>M14</f>
        <v>50.9</v>
      </c>
      <c r="O14" s="15">
        <f>$N14</f>
        <v>50.9</v>
      </c>
      <c r="P14" s="15">
        <f t="shared" ref="P14:AE15" si="41">$N14</f>
        <v>50.9</v>
      </c>
      <c r="Q14" s="15">
        <f t="shared" si="41"/>
        <v>50.9</v>
      </c>
      <c r="R14" s="15">
        <f t="shared" si="41"/>
        <v>50.9</v>
      </c>
      <c r="S14" s="15">
        <f t="shared" si="41"/>
        <v>50.9</v>
      </c>
      <c r="T14" s="15">
        <f t="shared" si="41"/>
        <v>50.9</v>
      </c>
      <c r="U14" s="15">
        <f t="shared" si="41"/>
        <v>50.9</v>
      </c>
      <c r="V14" s="15">
        <f t="shared" si="41"/>
        <v>50.9</v>
      </c>
      <c r="W14" s="15">
        <f t="shared" si="41"/>
        <v>50.9</v>
      </c>
      <c r="X14" s="15">
        <f t="shared" si="41"/>
        <v>50.9</v>
      </c>
      <c r="Y14" s="15">
        <f t="shared" si="41"/>
        <v>50.9</v>
      </c>
      <c r="Z14" s="15">
        <f t="shared" si="41"/>
        <v>50.9</v>
      </c>
      <c r="AA14" s="15">
        <f t="shared" si="41"/>
        <v>50.9</v>
      </c>
      <c r="AB14" s="15">
        <f t="shared" si="41"/>
        <v>50.9</v>
      </c>
      <c r="AC14" s="15">
        <f t="shared" si="41"/>
        <v>50.9</v>
      </c>
      <c r="AD14" s="15">
        <f t="shared" si="41"/>
        <v>50.9</v>
      </c>
      <c r="AE14" s="15">
        <f t="shared" si="41"/>
        <v>50.9</v>
      </c>
      <c r="AF14" s="15">
        <f t="shared" ref="AF14:BI15" si="42">$N14</f>
        <v>50.9</v>
      </c>
      <c r="AG14" s="15">
        <f t="shared" si="42"/>
        <v>50.9</v>
      </c>
      <c r="AH14" s="15">
        <f t="shared" si="42"/>
        <v>50.9</v>
      </c>
      <c r="AI14" s="15">
        <f t="shared" si="42"/>
        <v>50.9</v>
      </c>
      <c r="AJ14" s="15">
        <f t="shared" si="42"/>
        <v>50.9</v>
      </c>
      <c r="AK14" s="15">
        <f t="shared" si="42"/>
        <v>50.9</v>
      </c>
      <c r="AL14" s="15">
        <f t="shared" si="42"/>
        <v>50.9</v>
      </c>
      <c r="AM14" s="15">
        <f t="shared" si="42"/>
        <v>50.9</v>
      </c>
      <c r="AN14" s="15">
        <f t="shared" si="42"/>
        <v>50.9</v>
      </c>
      <c r="AO14" s="15">
        <f t="shared" si="42"/>
        <v>50.9</v>
      </c>
      <c r="AP14" s="15">
        <f t="shared" si="42"/>
        <v>50.9</v>
      </c>
      <c r="AQ14" s="15">
        <f t="shared" si="42"/>
        <v>50.9</v>
      </c>
      <c r="AR14" s="15">
        <f t="shared" si="42"/>
        <v>50.9</v>
      </c>
      <c r="AS14" s="15">
        <f t="shared" si="42"/>
        <v>50.9</v>
      </c>
      <c r="AT14" s="15">
        <f t="shared" si="42"/>
        <v>50.9</v>
      </c>
      <c r="AU14" s="15">
        <f t="shared" si="42"/>
        <v>50.9</v>
      </c>
      <c r="AV14" s="15">
        <f t="shared" si="42"/>
        <v>50.9</v>
      </c>
      <c r="AW14" s="15">
        <f t="shared" si="42"/>
        <v>50.9</v>
      </c>
      <c r="AX14" s="15">
        <f t="shared" si="42"/>
        <v>50.9</v>
      </c>
      <c r="AY14" s="15">
        <f t="shared" si="42"/>
        <v>50.9</v>
      </c>
      <c r="AZ14" s="15">
        <f t="shared" si="42"/>
        <v>50.9</v>
      </c>
      <c r="BA14" s="15">
        <f t="shared" si="42"/>
        <v>50.9</v>
      </c>
      <c r="BB14" s="15">
        <f t="shared" si="42"/>
        <v>50.9</v>
      </c>
      <c r="BC14" s="15">
        <f t="shared" si="42"/>
        <v>50.9</v>
      </c>
      <c r="BD14" s="15">
        <f t="shared" si="42"/>
        <v>50.9</v>
      </c>
      <c r="BE14" s="15">
        <f t="shared" si="42"/>
        <v>50.9</v>
      </c>
      <c r="BF14" s="15">
        <f t="shared" si="42"/>
        <v>50.9</v>
      </c>
      <c r="BG14" s="15">
        <f t="shared" si="42"/>
        <v>50.9</v>
      </c>
      <c r="BH14" s="15">
        <f t="shared" si="42"/>
        <v>50.9</v>
      </c>
      <c r="BI14" s="15">
        <f t="shared" si="42"/>
        <v>50.9</v>
      </c>
    </row>
    <row r="15" spans="1:61" x14ac:dyDescent="0.45">
      <c r="A15" s="17">
        <f>137985.406215726</f>
        <v>137985.40621572599</v>
      </c>
      <c r="B15" s="11" t="s">
        <v>120</v>
      </c>
      <c r="C15" s="11" t="s">
        <v>111</v>
      </c>
      <c r="D15" s="12">
        <v>59.3</v>
      </c>
      <c r="E15" s="12">
        <v>284.39999999999998</v>
      </c>
      <c r="F15" s="12">
        <v>213</v>
      </c>
      <c r="G15" s="12">
        <v>411.6</v>
      </c>
      <c r="H15" s="12">
        <v>513.5</v>
      </c>
      <c r="I15" s="12">
        <v>504.6</v>
      </c>
      <c r="J15" s="12">
        <v>303.10000000000002</v>
      </c>
      <c r="K15" s="12">
        <v>463.4</v>
      </c>
      <c r="L15" s="12">
        <v>465.8</v>
      </c>
      <c r="M15" s="12">
        <v>311.60000000000002</v>
      </c>
      <c r="N15" s="15">
        <f>M15</f>
        <v>311.60000000000002</v>
      </c>
      <c r="O15" s="15">
        <f t="shared" ref="O15" si="43">$N15</f>
        <v>311.60000000000002</v>
      </c>
      <c r="P15" s="15">
        <f t="shared" si="41"/>
        <v>311.60000000000002</v>
      </c>
      <c r="Q15" s="15">
        <f t="shared" si="41"/>
        <v>311.60000000000002</v>
      </c>
      <c r="R15" s="15">
        <f t="shared" si="41"/>
        <v>311.60000000000002</v>
      </c>
      <c r="S15" s="15">
        <f t="shared" si="41"/>
        <v>311.60000000000002</v>
      </c>
      <c r="T15" s="15">
        <f t="shared" si="41"/>
        <v>311.60000000000002</v>
      </c>
      <c r="U15" s="15">
        <f t="shared" si="41"/>
        <v>311.60000000000002</v>
      </c>
      <c r="V15" s="15">
        <f t="shared" si="41"/>
        <v>311.60000000000002</v>
      </c>
      <c r="W15" s="15">
        <f t="shared" si="41"/>
        <v>311.60000000000002</v>
      </c>
      <c r="X15" s="15">
        <f t="shared" si="41"/>
        <v>311.60000000000002</v>
      </c>
      <c r="Y15" s="15">
        <f t="shared" si="41"/>
        <v>311.60000000000002</v>
      </c>
      <c r="Z15" s="15">
        <f t="shared" si="41"/>
        <v>311.60000000000002</v>
      </c>
      <c r="AA15" s="15">
        <f t="shared" si="41"/>
        <v>311.60000000000002</v>
      </c>
      <c r="AB15" s="15">
        <f t="shared" si="41"/>
        <v>311.60000000000002</v>
      </c>
      <c r="AC15" s="15">
        <f t="shared" si="41"/>
        <v>311.60000000000002</v>
      </c>
      <c r="AD15" s="15">
        <f t="shared" si="41"/>
        <v>311.60000000000002</v>
      </c>
      <c r="AE15" s="15">
        <f t="shared" si="41"/>
        <v>311.60000000000002</v>
      </c>
      <c r="AF15" s="15">
        <f t="shared" si="42"/>
        <v>311.60000000000002</v>
      </c>
      <c r="AG15" s="15">
        <f t="shared" si="42"/>
        <v>311.60000000000002</v>
      </c>
      <c r="AH15" s="15">
        <f t="shared" si="42"/>
        <v>311.60000000000002</v>
      </c>
      <c r="AI15" s="15">
        <f t="shared" si="42"/>
        <v>311.60000000000002</v>
      </c>
      <c r="AJ15" s="15">
        <f t="shared" si="42"/>
        <v>311.60000000000002</v>
      </c>
      <c r="AK15" s="15">
        <f t="shared" si="42"/>
        <v>311.60000000000002</v>
      </c>
      <c r="AL15" s="15">
        <f t="shared" si="42"/>
        <v>311.60000000000002</v>
      </c>
      <c r="AM15" s="15">
        <f t="shared" si="42"/>
        <v>311.60000000000002</v>
      </c>
      <c r="AN15" s="15">
        <f t="shared" si="42"/>
        <v>311.60000000000002</v>
      </c>
      <c r="AO15" s="15">
        <f t="shared" si="42"/>
        <v>311.60000000000002</v>
      </c>
      <c r="AP15" s="15">
        <f t="shared" si="42"/>
        <v>311.60000000000002</v>
      </c>
      <c r="AQ15" s="15">
        <f t="shared" si="42"/>
        <v>311.60000000000002</v>
      </c>
      <c r="AR15" s="15">
        <f t="shared" si="42"/>
        <v>311.60000000000002</v>
      </c>
      <c r="AS15" s="15">
        <f t="shared" si="42"/>
        <v>311.60000000000002</v>
      </c>
      <c r="AT15" s="15">
        <f t="shared" si="42"/>
        <v>311.60000000000002</v>
      </c>
      <c r="AU15" s="15">
        <f t="shared" si="42"/>
        <v>311.60000000000002</v>
      </c>
      <c r="AV15" s="15">
        <f t="shared" si="42"/>
        <v>311.60000000000002</v>
      </c>
      <c r="AW15" s="15">
        <f t="shared" si="42"/>
        <v>311.60000000000002</v>
      </c>
      <c r="AX15" s="15">
        <f t="shared" si="42"/>
        <v>311.60000000000002</v>
      </c>
      <c r="AY15" s="15">
        <f t="shared" si="42"/>
        <v>311.60000000000002</v>
      </c>
      <c r="AZ15" s="15">
        <f t="shared" si="42"/>
        <v>311.60000000000002</v>
      </c>
      <c r="BA15" s="15">
        <f t="shared" si="42"/>
        <v>311.60000000000002</v>
      </c>
      <c r="BB15" s="15">
        <f t="shared" si="42"/>
        <v>311.60000000000002</v>
      </c>
      <c r="BC15" s="15">
        <f t="shared" si="42"/>
        <v>311.60000000000002</v>
      </c>
      <c r="BD15" s="15">
        <f t="shared" si="42"/>
        <v>311.60000000000002</v>
      </c>
      <c r="BE15" s="15">
        <f t="shared" si="42"/>
        <v>311.60000000000002</v>
      </c>
      <c r="BF15" s="15">
        <f t="shared" si="42"/>
        <v>311.60000000000002</v>
      </c>
      <c r="BG15" s="15">
        <f t="shared" si="42"/>
        <v>311.60000000000002</v>
      </c>
      <c r="BH15" s="15">
        <f t="shared" si="42"/>
        <v>311.60000000000002</v>
      </c>
      <c r="BI15" s="15">
        <f t="shared" si="42"/>
        <v>311.60000000000002</v>
      </c>
    </row>
    <row r="16" spans="1:61" x14ac:dyDescent="0.45">
      <c r="A16" s="33" t="s">
        <v>121</v>
      </c>
      <c r="C16" s="11" t="s">
        <v>113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</row>
    <row r="17" spans="1:23" x14ac:dyDescent="0.45">
      <c r="A17" s="33"/>
      <c r="C17" s="11" t="s">
        <v>122</v>
      </c>
      <c r="D17" s="15">
        <v>15450</v>
      </c>
      <c r="E17" s="15">
        <v>15378</v>
      </c>
      <c r="F17" s="15">
        <v>14734</v>
      </c>
      <c r="G17" s="15">
        <v>15864</v>
      </c>
      <c r="H17" s="15">
        <v>15739</v>
      </c>
      <c r="I17" s="15">
        <v>15674</v>
      </c>
      <c r="J17" s="15">
        <v>16129</v>
      </c>
      <c r="K17" s="15">
        <v>14053</v>
      </c>
      <c r="L17" s="15">
        <v>14705</v>
      </c>
      <c r="M17" s="15">
        <v>14559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9" spans="1:23" x14ac:dyDescent="0.45">
      <c r="A19" s="15" t="s">
        <v>123</v>
      </c>
      <c r="B19" s="10" t="s">
        <v>97</v>
      </c>
      <c r="C19" s="11" t="s">
        <v>110</v>
      </c>
      <c r="D19" s="15">
        <f t="shared" ref="D19:I19" si="44">SUM(D22:D24)</f>
        <v>249890</v>
      </c>
      <c r="E19" s="15">
        <f t="shared" si="44"/>
        <v>249326</v>
      </c>
      <c r="F19" s="15">
        <f t="shared" si="44"/>
        <v>250149</v>
      </c>
      <c r="G19" s="15">
        <f t="shared" si="44"/>
        <v>251168</v>
      </c>
      <c r="H19" s="15">
        <f t="shared" si="44"/>
        <v>252605</v>
      </c>
      <c r="I19" s="15">
        <f t="shared" si="44"/>
        <v>249228</v>
      </c>
      <c r="J19" s="15">
        <f>SUM(J22:J24)</f>
        <v>254208</v>
      </c>
      <c r="K19" s="15">
        <f t="shared" ref="K19:W19" si="45">SUM(K22:K24)</f>
        <v>273754</v>
      </c>
      <c r="L19" s="15">
        <f t="shared" si="45"/>
        <v>255119</v>
      </c>
      <c r="M19" s="15">
        <f t="shared" si="45"/>
        <v>251852</v>
      </c>
      <c r="N19" s="15">
        <f t="shared" si="45"/>
        <v>167104.39200000005</v>
      </c>
      <c r="O19" s="15">
        <f t="shared" si="45"/>
        <v>177155.78399999999</v>
      </c>
      <c r="P19" s="15">
        <f t="shared" si="45"/>
        <v>187207.17600000001</v>
      </c>
      <c r="Q19" s="15">
        <f t="shared" si="45"/>
        <v>197258.56799999997</v>
      </c>
      <c r="R19" s="15">
        <f t="shared" si="45"/>
        <v>207309.96</v>
      </c>
      <c r="S19" s="15">
        <f t="shared" si="45"/>
        <v>217361.35199999998</v>
      </c>
      <c r="T19" s="15">
        <f t="shared" si="45"/>
        <v>227412.74399999998</v>
      </c>
      <c r="U19" s="15">
        <f t="shared" si="45"/>
        <v>237464.13599999994</v>
      </c>
      <c r="V19" s="15">
        <f t="shared" si="45"/>
        <v>247515.52799999993</v>
      </c>
      <c r="W19" s="15">
        <f t="shared" si="45"/>
        <v>257566.91999999998</v>
      </c>
    </row>
    <row r="20" spans="1:23" x14ac:dyDescent="0.45">
      <c r="A20" s="17">
        <f>8.45*1000000/1000</f>
        <v>8450</v>
      </c>
      <c r="C20" s="11" t="s">
        <v>111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</row>
    <row r="21" spans="1:23" x14ac:dyDescent="0.45">
      <c r="A21" s="33" t="s">
        <v>112</v>
      </c>
      <c r="C21" s="11" t="s">
        <v>113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</row>
    <row r="22" spans="1:23" x14ac:dyDescent="0.45">
      <c r="A22" s="15" t="s">
        <v>124</v>
      </c>
      <c r="C22" s="11" t="s">
        <v>110</v>
      </c>
      <c r="D22" s="15">
        <v>79960</v>
      </c>
      <c r="E22" s="15">
        <v>81364</v>
      </c>
      <c r="F22" s="15">
        <v>80887</v>
      </c>
      <c r="G22" s="15">
        <v>75813</v>
      </c>
      <c r="H22" s="15">
        <v>80205</v>
      </c>
      <c r="I22" s="15">
        <v>84676</v>
      </c>
      <c r="J22" s="15">
        <v>85197</v>
      </c>
      <c r="K22" s="15">
        <v>85344</v>
      </c>
      <c r="L22" s="15">
        <v>88409</v>
      </c>
      <c r="M22" s="15">
        <v>88011</v>
      </c>
    </row>
    <row r="23" spans="1:23" x14ac:dyDescent="0.45">
      <c r="A23" s="15" t="s">
        <v>17</v>
      </c>
      <c r="C23" s="11" t="s">
        <v>110</v>
      </c>
      <c r="D23" s="15">
        <v>163142</v>
      </c>
      <c r="E23" s="15">
        <v>161174</v>
      </c>
      <c r="F23" s="15">
        <v>162474</v>
      </c>
      <c r="G23" s="15">
        <v>168567</v>
      </c>
      <c r="H23" s="15">
        <v>165612</v>
      </c>
      <c r="I23" s="15">
        <v>157764</v>
      </c>
      <c r="J23" s="15">
        <v>162223</v>
      </c>
      <c r="K23" s="15">
        <v>181622</v>
      </c>
      <c r="L23" s="15">
        <v>159922</v>
      </c>
      <c r="M23" s="15">
        <v>157053</v>
      </c>
      <c r="N23" s="15">
        <f>'PDE Bio'!F19</f>
        <v>167104.39200000005</v>
      </c>
      <c r="O23" s="15">
        <f>'PDE Bio'!G19</f>
        <v>177155.78399999999</v>
      </c>
      <c r="P23" s="15">
        <f>'PDE Bio'!H19</f>
        <v>187207.17600000001</v>
      </c>
      <c r="Q23" s="15">
        <f>'PDE Bio'!I19</f>
        <v>197258.56799999997</v>
      </c>
      <c r="R23" s="15">
        <f>'PDE Bio'!J19</f>
        <v>207309.96</v>
      </c>
      <c r="S23" s="15">
        <f>'PDE Bio'!K19</f>
        <v>217361.35199999998</v>
      </c>
      <c r="T23" s="15">
        <f>'PDE Bio'!L19</f>
        <v>227412.74399999998</v>
      </c>
      <c r="U23" s="15">
        <f>'PDE Bio'!M19</f>
        <v>237464.13599999994</v>
      </c>
      <c r="V23" s="15">
        <f>'PDE Bio'!N19</f>
        <v>247515.52799999993</v>
      </c>
      <c r="W23" s="15">
        <f>'PDE Bio'!O19</f>
        <v>257566.91999999998</v>
      </c>
    </row>
    <row r="24" spans="1:23" x14ac:dyDescent="0.45">
      <c r="A24" s="15" t="s">
        <v>125</v>
      </c>
      <c r="C24" s="11" t="s">
        <v>110</v>
      </c>
      <c r="D24" s="15">
        <v>6788</v>
      </c>
      <c r="E24" s="15">
        <v>6788</v>
      </c>
      <c r="F24" s="15">
        <v>6788</v>
      </c>
      <c r="G24" s="15">
        <v>6788</v>
      </c>
      <c r="H24" s="15">
        <v>6788</v>
      </c>
      <c r="I24" s="15">
        <v>6788</v>
      </c>
      <c r="J24" s="15">
        <v>6788</v>
      </c>
      <c r="K24" s="15">
        <v>6788</v>
      </c>
      <c r="L24" s="15">
        <v>6788</v>
      </c>
      <c r="M24" s="15">
        <v>6788</v>
      </c>
    </row>
    <row r="25" spans="1:23" ht="14.25" x14ac:dyDescent="0.45">
      <c r="A25" s="15" t="s">
        <v>126</v>
      </c>
      <c r="C25" s="18">
        <f>AVERAGE(D23/D19,E23/E19,F23/F19,G23/G19,H23/H19,I23/I19,J23/J19,K23/K19,L23/L19,M23/M19)</f>
        <v>0.64606079395091365</v>
      </c>
      <c r="D25" s="12" t="s">
        <v>127</v>
      </c>
    </row>
    <row r="27" spans="1:23" x14ac:dyDescent="0.45">
      <c r="A27" s="15" t="s">
        <v>128</v>
      </c>
      <c r="B27" s="10" t="s">
        <v>69</v>
      </c>
      <c r="C27" s="11" t="s">
        <v>110</v>
      </c>
      <c r="D27" s="15">
        <v>28514</v>
      </c>
      <c r="E27" s="15">
        <v>30972</v>
      </c>
      <c r="F27" s="15">
        <v>27946</v>
      </c>
      <c r="G27" s="15">
        <v>28187</v>
      </c>
      <c r="H27" s="15">
        <v>28338</v>
      </c>
      <c r="I27" s="15">
        <v>26011</v>
      </c>
      <c r="J27" s="15">
        <v>25395</v>
      </c>
      <c r="K27" s="15">
        <v>23547</v>
      </c>
      <c r="L27" s="15">
        <v>28100</v>
      </c>
      <c r="M27" s="15">
        <v>28674</v>
      </c>
      <c r="N27" s="15">
        <f>'PDE-O&amp;G'!F24</f>
        <v>27860.028387096776</v>
      </c>
      <c r="O27" s="15">
        <f>'PDE-O&amp;G'!G24</f>
        <v>27046.056774193556</v>
      </c>
      <c r="P27" s="15">
        <f>'PDE-O&amp;G'!H24</f>
        <v>26232.085161290328</v>
      </c>
      <c r="Q27" s="15">
        <f>'PDE-O&amp;G'!I24</f>
        <v>26540.407741935484</v>
      </c>
      <c r="R27" s="15">
        <f>'PDE-O&amp;G'!J24</f>
        <v>26848.730322580646</v>
      </c>
      <c r="S27" s="15">
        <f>'PDE-O&amp;G'!K24</f>
        <v>27157.052903225809</v>
      </c>
      <c r="T27" s="15">
        <f>'PDE-O&amp;G'!L24</f>
        <v>27009.058064516124</v>
      </c>
      <c r="U27" s="15">
        <f>'PDE-O&amp;G'!M24</f>
        <v>26861.063225806443</v>
      </c>
      <c r="V27" s="15">
        <f>'PDE-O&amp;G'!N24</f>
        <v>26713.06838709677</v>
      </c>
      <c r="W27" s="15">
        <f>'PDE-O&amp;G'!O24</f>
        <v>26565.073548387092</v>
      </c>
    </row>
    <row r="28" spans="1:23" x14ac:dyDescent="0.45">
      <c r="A28" s="17">
        <f>30.556*1000000/1000</f>
        <v>30556</v>
      </c>
      <c r="C28" s="11" t="s">
        <v>111</v>
      </c>
      <c r="D28" s="15">
        <v>2265</v>
      </c>
      <c r="E28" s="15">
        <v>2111</v>
      </c>
      <c r="F28" s="15">
        <v>2935</v>
      </c>
      <c r="G28" s="15">
        <v>3810</v>
      </c>
      <c r="H28" s="15">
        <v>4489</v>
      </c>
      <c r="I28" s="15">
        <v>3238</v>
      </c>
      <c r="J28" s="15">
        <v>4888</v>
      </c>
      <c r="K28" s="15">
        <v>4942</v>
      </c>
      <c r="L28" s="15">
        <v>2755</v>
      </c>
      <c r="M28" s="15">
        <v>4146</v>
      </c>
      <c r="N28" s="15">
        <f>'PDE-O&amp;G'!F28</f>
        <v>2078.5529884406706</v>
      </c>
      <c r="O28" s="15">
        <f>'PDE-O&amp;G'!G28</f>
        <v>1014.6727026755258</v>
      </c>
      <c r="P28" s="15">
        <f>'PDE-O&amp;G'!H28</f>
        <v>0</v>
      </c>
      <c r="Q28" s="15">
        <f>'PDE-O&amp;G'!I28</f>
        <v>0</v>
      </c>
      <c r="R28" s="15">
        <f>'PDE-O&amp;G'!J28</f>
        <v>0</v>
      </c>
      <c r="S28" s="15">
        <f>'PDE-O&amp;G'!K28</f>
        <v>0</v>
      </c>
      <c r="T28" s="15">
        <f>'PDE-O&amp;G'!L28</f>
        <v>0</v>
      </c>
      <c r="U28" s="15">
        <f>'PDE-O&amp;G'!M28</f>
        <v>0</v>
      </c>
      <c r="V28" s="15">
        <f>'PDE-O&amp;G'!N28</f>
        <v>594.81536932429731</v>
      </c>
      <c r="W28" s="15">
        <f>'PDE-O&amp;G'!O28</f>
        <v>2399.0171792168762</v>
      </c>
    </row>
    <row r="29" spans="1:23" x14ac:dyDescent="0.45">
      <c r="A29" s="33" t="s">
        <v>129</v>
      </c>
      <c r="C29" s="11" t="s">
        <v>113</v>
      </c>
      <c r="D29" s="15">
        <v>347</v>
      </c>
      <c r="E29" s="15">
        <v>365</v>
      </c>
      <c r="F29" s="15">
        <v>616</v>
      </c>
      <c r="G29" s="15">
        <v>728</v>
      </c>
      <c r="H29" s="15">
        <v>478</v>
      </c>
      <c r="I29" s="15">
        <v>1394</v>
      </c>
      <c r="J29" s="15">
        <v>2014</v>
      </c>
      <c r="K29" s="15">
        <v>2369</v>
      </c>
      <c r="L29" s="15">
        <v>1795</v>
      </c>
      <c r="M29" s="15">
        <v>546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</row>
    <row r="30" spans="1:23" x14ac:dyDescent="0.45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x14ac:dyDescent="0.45">
      <c r="A31" s="15" t="s">
        <v>130</v>
      </c>
      <c r="B31" s="10" t="s">
        <v>69</v>
      </c>
      <c r="C31" s="11" t="s">
        <v>110</v>
      </c>
      <c r="D31" s="15">
        <v>49201</v>
      </c>
      <c r="E31" s="15">
        <v>49350</v>
      </c>
      <c r="F31" s="15">
        <v>49154</v>
      </c>
      <c r="G31" s="15">
        <v>44805</v>
      </c>
      <c r="H31" s="15">
        <v>39993</v>
      </c>
      <c r="I31" s="15">
        <v>41278</v>
      </c>
      <c r="J31" s="15">
        <v>40679</v>
      </c>
      <c r="K31" s="15">
        <v>41549</v>
      </c>
      <c r="L31" s="15">
        <v>42853</v>
      </c>
      <c r="M31" s="15">
        <v>44870</v>
      </c>
      <c r="N31" s="15">
        <f>'PDE-O&amp;G'!F35</f>
        <v>45369.5</v>
      </c>
      <c r="O31" s="15">
        <f>'PDE-O&amp;G'!G35</f>
        <v>45114</v>
      </c>
      <c r="P31" s="15">
        <f>'PDE-O&amp;G'!H35</f>
        <v>44858.5</v>
      </c>
      <c r="Q31" s="15">
        <f>'PDE-O&amp;G'!I35</f>
        <v>46367.166666666672</v>
      </c>
      <c r="R31" s="15">
        <f>'PDE-O&amp;G'!J35</f>
        <v>47875.833333333343</v>
      </c>
      <c r="S31" s="15">
        <f>'PDE-O&amp;G'!K35</f>
        <v>49384.500000000007</v>
      </c>
      <c r="T31" s="15">
        <f>'PDE-O&amp;G'!L35</f>
        <v>49886.375000000007</v>
      </c>
      <c r="U31" s="15">
        <f>'PDE-O&amp;G'!M35</f>
        <v>50388.250000000007</v>
      </c>
      <c r="V31" s="15">
        <f>'PDE-O&amp;G'!N35</f>
        <v>50890.125000000007</v>
      </c>
      <c r="W31" s="15">
        <f>'PDE-O&amp;G'!O35</f>
        <v>51392.000000000007</v>
      </c>
    </row>
    <row r="32" spans="1:23" x14ac:dyDescent="0.45">
      <c r="A32" s="17">
        <f>33651100/1000</f>
        <v>33651.1</v>
      </c>
      <c r="C32" s="11" t="s">
        <v>111</v>
      </c>
      <c r="D32" s="15">
        <v>10024</v>
      </c>
      <c r="E32" s="15">
        <v>11275</v>
      </c>
      <c r="F32" s="15">
        <v>6940</v>
      </c>
      <c r="G32" s="15">
        <v>8469</v>
      </c>
      <c r="H32" s="15">
        <v>12955</v>
      </c>
      <c r="I32" s="15">
        <v>11650</v>
      </c>
      <c r="J32" s="15">
        <v>13008</v>
      </c>
      <c r="K32" s="15">
        <v>11995</v>
      </c>
      <c r="L32" s="15">
        <v>14437</v>
      </c>
      <c r="M32" s="15">
        <v>14385</v>
      </c>
      <c r="N32" s="15">
        <f>'PDE-O&amp;G'!F38</f>
        <v>14685.963447069298</v>
      </c>
      <c r="O32" s="15">
        <f>'PDE-O&amp;G'!G38</f>
        <v>16074.771034747791</v>
      </c>
      <c r="P32" s="15">
        <f>'PDE-O&amp;G'!H38</f>
        <v>17463.578622426288</v>
      </c>
      <c r="Q32" s="15">
        <f>'PDE-O&amp;G'!I38</f>
        <v>17209.06578078018</v>
      </c>
      <c r="R32" s="15">
        <f>'PDE-O&amp;G'!J38</f>
        <v>16954.552939134086</v>
      </c>
      <c r="S32" s="15">
        <f>'PDE-O&amp;G'!K38</f>
        <v>16700.040097487999</v>
      </c>
      <c r="T32" s="15">
        <f>'PDE-O&amp;G'!L38</f>
        <v>17383.353224990929</v>
      </c>
      <c r="U32" s="15">
        <f>'PDE-O&amp;G'!M38</f>
        <v>18066.666352493863</v>
      </c>
      <c r="V32" s="15">
        <f>'PDE-O&amp;G'!N38</f>
        <v>18749.979479996811</v>
      </c>
      <c r="W32" s="15">
        <f>'PDE-O&amp;G'!O38</f>
        <v>19433.292607499701</v>
      </c>
    </row>
    <row r="33" spans="1:61" x14ac:dyDescent="0.45">
      <c r="A33" s="33" t="s">
        <v>129</v>
      </c>
      <c r="C33" s="11" t="s">
        <v>113</v>
      </c>
      <c r="D33" s="15">
        <v>1030</v>
      </c>
      <c r="E33" s="15">
        <v>936</v>
      </c>
      <c r="F33" s="15">
        <v>768</v>
      </c>
      <c r="G33" s="15">
        <v>832</v>
      </c>
      <c r="H33" s="15">
        <v>687</v>
      </c>
      <c r="I33" s="15">
        <v>1429</v>
      </c>
      <c r="J33" s="15">
        <v>600</v>
      </c>
      <c r="K33" s="15">
        <v>950</v>
      </c>
      <c r="L33" s="15">
        <v>590</v>
      </c>
      <c r="M33" s="15">
        <v>645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</row>
    <row r="34" spans="1:61" x14ac:dyDescent="0.45"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61" x14ac:dyDescent="0.45">
      <c r="A35" s="15" t="s">
        <v>131</v>
      </c>
      <c r="B35" s="10" t="s">
        <v>69</v>
      </c>
      <c r="C35" s="11" t="s">
        <v>110</v>
      </c>
      <c r="D35" s="15">
        <v>27608</v>
      </c>
      <c r="E35" s="15">
        <v>28526</v>
      </c>
      <c r="F35" s="15">
        <v>30249</v>
      </c>
      <c r="G35" s="15">
        <v>28276</v>
      </c>
      <c r="H35" s="15">
        <v>27694</v>
      </c>
      <c r="I35" s="15">
        <v>33198</v>
      </c>
      <c r="J35" s="15">
        <v>35156</v>
      </c>
      <c r="K35" s="15">
        <v>32599</v>
      </c>
      <c r="L35" s="15">
        <v>29898</v>
      </c>
      <c r="M35" s="15">
        <v>32485</v>
      </c>
      <c r="N35" s="15">
        <f>'PDE Bio'!F6</f>
        <v>33074.140946021398</v>
      </c>
      <c r="O35" s="15">
        <f>'PDE Bio'!G6</f>
        <v>34954.927825333871</v>
      </c>
      <c r="P35" s="15">
        <f>'PDE Bio'!H6</f>
        <v>35771.332749796755</v>
      </c>
      <c r="Q35" s="15">
        <f>'PDE Bio'!I6</f>
        <v>37112.682514851156</v>
      </c>
      <c r="R35" s="15">
        <f>'PDE Bio'!J6</f>
        <v>39146.632006673201</v>
      </c>
      <c r="S35" s="15">
        <f>'PDE Bio'!K6</f>
        <v>40227.565127971444</v>
      </c>
      <c r="T35" s="15">
        <f>'PDE Bio'!L6</f>
        <v>42105.155104875208</v>
      </c>
      <c r="U35" s="15">
        <f>'PDE Bio'!M6</f>
        <v>43468.681091565755</v>
      </c>
      <c r="V35" s="15">
        <f>'PDE Bio'!N6</f>
        <v>45762.784991617686</v>
      </c>
      <c r="W35" s="15">
        <f>'PDE Bio'!O6</f>
        <v>47146.999780717277</v>
      </c>
    </row>
    <row r="36" spans="1:61" x14ac:dyDescent="0.45">
      <c r="A36" s="17">
        <f>21552100/1000</f>
        <v>21552.1</v>
      </c>
      <c r="C36" s="11" t="s">
        <v>111</v>
      </c>
      <c r="D36" s="15">
        <v>132</v>
      </c>
      <c r="E36" s="15">
        <v>984</v>
      </c>
      <c r="F36" s="15">
        <v>828</v>
      </c>
      <c r="G36" s="15">
        <v>835</v>
      </c>
      <c r="H36" s="15">
        <v>1826</v>
      </c>
      <c r="I36" s="15">
        <v>1775</v>
      </c>
      <c r="J36" s="15">
        <v>1437</v>
      </c>
      <c r="K36" s="15">
        <v>958</v>
      </c>
      <c r="L36" s="15">
        <v>432</v>
      </c>
      <c r="M36" s="15">
        <v>99</v>
      </c>
      <c r="N36" s="15">
        <f>'PDE Bio'!F7</f>
        <v>0</v>
      </c>
      <c r="O36" s="15">
        <f>'PDE Bio'!G7</f>
        <v>0</v>
      </c>
      <c r="P36" s="15">
        <f>'PDE Bio'!H7</f>
        <v>0</v>
      </c>
      <c r="Q36" s="15">
        <f>'PDE Bio'!I7</f>
        <v>0</v>
      </c>
      <c r="R36" s="15">
        <f>'PDE Bio'!J7</f>
        <v>0</v>
      </c>
      <c r="S36" s="15">
        <f>'PDE Bio'!K7</f>
        <v>0</v>
      </c>
      <c r="T36" s="15">
        <f>'PDE Bio'!L7</f>
        <v>0</v>
      </c>
      <c r="U36" s="15">
        <f>'PDE Bio'!M7</f>
        <v>0</v>
      </c>
      <c r="V36" s="15">
        <f>'PDE Bio'!N7</f>
        <v>0</v>
      </c>
      <c r="W36" s="15">
        <f>'PDE Bio'!O7</f>
        <v>0</v>
      </c>
    </row>
    <row r="37" spans="1:61" x14ac:dyDescent="0.45">
      <c r="A37" s="33" t="s">
        <v>129</v>
      </c>
      <c r="C37" s="11" t="s">
        <v>113</v>
      </c>
      <c r="D37" s="15">
        <v>2940</v>
      </c>
      <c r="E37" s="15">
        <v>1469</v>
      </c>
      <c r="F37" s="15">
        <v>2121</v>
      </c>
      <c r="G37" s="15">
        <v>1789</v>
      </c>
      <c r="H37" s="15">
        <v>1380</v>
      </c>
      <c r="I37" s="15">
        <v>1682</v>
      </c>
      <c r="J37" s="15">
        <v>1933</v>
      </c>
      <c r="K37" s="15">
        <v>2026</v>
      </c>
      <c r="L37" s="15">
        <v>1868</v>
      </c>
      <c r="M37" s="15">
        <v>2358</v>
      </c>
      <c r="N37" s="15">
        <v>-33816.884999999995</v>
      </c>
      <c r="O37" s="15">
        <v>-35203.377284999995</v>
      </c>
      <c r="P37" s="15">
        <v>-36646.715753684992</v>
      </c>
      <c r="Q37" s="15">
        <v>-38149.231099586075</v>
      </c>
      <c r="R37" s="15">
        <v>-39713.349574669104</v>
      </c>
      <c r="S37" s="15">
        <v>-41341.596907230538</v>
      </c>
      <c r="T37" s="15">
        <v>-43036.602380426986</v>
      </c>
      <c r="U37" s="15">
        <v>-44801.103078024491</v>
      </c>
      <c r="V37" s="15">
        <v>-46637.948304223493</v>
      </c>
      <c r="W37" s="15">
        <v>-48550.104184696655</v>
      </c>
    </row>
    <row r="38" spans="1:61" x14ac:dyDescent="0.45"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61" x14ac:dyDescent="0.45">
      <c r="A39" s="15" t="s">
        <v>132</v>
      </c>
      <c r="B39" s="10" t="s">
        <v>69</v>
      </c>
      <c r="C39" s="11" t="s">
        <v>110</v>
      </c>
      <c r="D39" s="15">
        <v>2917</v>
      </c>
      <c r="E39" s="15">
        <v>3420</v>
      </c>
      <c r="F39" s="15">
        <v>3937</v>
      </c>
      <c r="G39" s="15">
        <v>3801</v>
      </c>
      <c r="H39" s="15">
        <v>4291</v>
      </c>
      <c r="I39" s="15">
        <v>5350</v>
      </c>
      <c r="J39" s="15">
        <v>5924</v>
      </c>
      <c r="K39" s="15">
        <v>6432</v>
      </c>
      <c r="L39" s="15">
        <v>6766</v>
      </c>
      <c r="M39" s="15">
        <v>6766</v>
      </c>
      <c r="N39" s="15">
        <f>'PDE Bio'!F29</f>
        <v>7336.2525000000005</v>
      </c>
      <c r="O39" s="15">
        <f>'PDE Bio'!G29</f>
        <v>8731.9225000000024</v>
      </c>
      <c r="P39" s="15">
        <f>'PDE Bio'!H29</f>
        <v>9540.9468750000015</v>
      </c>
      <c r="Q39" s="15">
        <f>'PDE Bio'!I29</f>
        <v>10374.680000000002</v>
      </c>
      <c r="R39" s="15">
        <f>'PDE Bio'!J29</f>
        <v>11233.121875000006</v>
      </c>
      <c r="S39" s="15">
        <f>'PDE Bio'!K29</f>
        <v>12116.272500000008</v>
      </c>
      <c r="T39" s="15">
        <f>'PDE Bio'!L29</f>
        <v>13024.131875000008</v>
      </c>
      <c r="U39" s="15">
        <f>'PDE Bio'!M29</f>
        <v>13956.70000000001</v>
      </c>
      <c r="V39" s="15">
        <f>'PDE Bio'!N29</f>
        <v>14203.787500000013</v>
      </c>
      <c r="W39" s="15">
        <f>'PDE Bio'!O29</f>
        <v>14450.875000000004</v>
      </c>
    </row>
    <row r="40" spans="1:61" x14ac:dyDescent="0.45">
      <c r="A40" s="33">
        <f>29252892.5581395/1000</f>
        <v>29252.892558139498</v>
      </c>
      <c r="C40" s="11" t="s">
        <v>111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</row>
    <row r="41" spans="1:61" x14ac:dyDescent="0.45">
      <c r="A41" s="33" t="s">
        <v>129</v>
      </c>
      <c r="C41" s="11" t="s">
        <v>113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</row>
    <row r="43" spans="1:61" x14ac:dyDescent="0.45">
      <c r="A43" s="15" t="s">
        <v>133</v>
      </c>
      <c r="B43" s="10" t="s">
        <v>134</v>
      </c>
      <c r="C43" s="11" t="s">
        <v>110</v>
      </c>
      <c r="D43" s="15">
        <f>4566+71</f>
        <v>4637</v>
      </c>
      <c r="E43" s="15">
        <f>4997+72</f>
        <v>5069</v>
      </c>
      <c r="F43" s="15">
        <f>4650+55</f>
        <v>4705</v>
      </c>
      <c r="G43" s="15">
        <f>4759+41</f>
        <v>4800</v>
      </c>
      <c r="H43" s="15">
        <f>5071+46</f>
        <v>5117</v>
      </c>
      <c r="I43" s="15">
        <f>5241+35</f>
        <v>5276</v>
      </c>
      <c r="J43" s="15">
        <f>4987+0</f>
        <v>4987</v>
      </c>
      <c r="K43" s="15">
        <f>2740+2</f>
        <v>2742</v>
      </c>
      <c r="L43" s="15">
        <f>3349+43</f>
        <v>3392</v>
      </c>
      <c r="M43" s="15">
        <f>3990+42</f>
        <v>4032</v>
      </c>
      <c r="N43" s="15">
        <f>'PDE-O&amp;G'!F44</f>
        <v>4315.9436619718308</v>
      </c>
      <c r="O43" s="15">
        <f>'PDE-O&amp;G'!G44</f>
        <v>4599.8873239436616</v>
      </c>
      <c r="P43" s="15">
        <f>'PDE-O&amp;G'!H44</f>
        <v>4883.8309859154933</v>
      </c>
      <c r="Q43" s="15">
        <f>'PDE-O&amp;G'!I44</f>
        <v>5262.4225352112671</v>
      </c>
      <c r="R43" s="15">
        <f>'PDE-O&amp;G'!J44</f>
        <v>5451.7183098591549</v>
      </c>
      <c r="S43" s="15">
        <f>'PDE-O&amp;G'!K44</f>
        <v>5451.7183098591549</v>
      </c>
      <c r="T43" s="15">
        <f>'PDE-O&amp;G'!L44</f>
        <v>5494.3098591549306</v>
      </c>
      <c r="U43" s="15">
        <f>'PDE-O&amp;G'!M44</f>
        <v>5536.9014084507044</v>
      </c>
      <c r="V43" s="15">
        <f>'PDE-O&amp;G'!N44</f>
        <v>5579.4929577464791</v>
      </c>
      <c r="W43" s="15">
        <f>'PDE-O&amp;G'!O44</f>
        <v>5622.0845070422547</v>
      </c>
    </row>
    <row r="44" spans="1:61" ht="14.25" x14ac:dyDescent="0.45">
      <c r="A44" s="15" t="s">
        <v>135</v>
      </c>
      <c r="B44" s="17">
        <f>32.619/'PDE-O&amp;G'!P42*1000000/1000</f>
        <v>39682.481751824816</v>
      </c>
      <c r="C44" s="11" t="s">
        <v>111</v>
      </c>
      <c r="D44" s="15">
        <f>D46+D45-D43</f>
        <v>1424</v>
      </c>
      <c r="E44" s="15">
        <f t="shared" ref="E44:M44" si="46">E46+E45-E43</f>
        <v>1159</v>
      </c>
      <c r="F44" s="15">
        <f t="shared" si="46"/>
        <v>1398</v>
      </c>
      <c r="G44" s="15">
        <f t="shared" si="46"/>
        <v>833</v>
      </c>
      <c r="H44" s="15">
        <f t="shared" si="46"/>
        <v>557</v>
      </c>
      <c r="I44" s="15">
        <f t="shared" si="46"/>
        <v>947</v>
      </c>
      <c r="J44" s="15">
        <f t="shared" si="46"/>
        <v>790</v>
      </c>
      <c r="K44" s="15">
        <f t="shared" si="46"/>
        <v>317</v>
      </c>
      <c r="L44" s="15">
        <f t="shared" si="46"/>
        <v>249</v>
      </c>
      <c r="M44" s="15">
        <f t="shared" si="46"/>
        <v>841</v>
      </c>
      <c r="N44" s="15">
        <f>'PDE-O&amp;G'!F47</f>
        <v>152.62472401379728</v>
      </c>
      <c r="O44" s="15">
        <f>'PDE-O&amp;G'!G47</f>
        <v>305.24944802759273</v>
      </c>
      <c r="P44" s="15">
        <f>'PDE-O&amp;G'!H47</f>
        <v>457.87417204139001</v>
      </c>
      <c r="Q44" s="15">
        <f>'PDE-O&amp;G'!I47</f>
        <v>863.29346999107929</v>
      </c>
      <c r="R44" s="15">
        <f>'PDE-O&amp;G'!J47</f>
        <v>763.12362006898275</v>
      </c>
      <c r="S44" s="15">
        <f>'PDE-O&amp;G'!K47</f>
        <v>157.36462227509855</v>
      </c>
      <c r="T44" s="15">
        <f>'PDE-O&amp;G'!L47</f>
        <v>125.29014084506889</v>
      </c>
      <c r="U44" s="15">
        <f>'PDE-O&amp;G'!M47</f>
        <v>309.49859154929436</v>
      </c>
      <c r="V44" s="15">
        <f>'PDE-O&amp;G'!N47</f>
        <v>493.70704225352074</v>
      </c>
      <c r="W44" s="15">
        <f>'PDE-O&amp;G'!O47</f>
        <v>677.91549295774439</v>
      </c>
      <c r="X44" s="19"/>
    </row>
    <row r="45" spans="1:61" x14ac:dyDescent="0.45">
      <c r="A45" s="15" t="s">
        <v>136</v>
      </c>
      <c r="B45" s="16" t="s">
        <v>137</v>
      </c>
      <c r="C45" s="11" t="s">
        <v>113</v>
      </c>
      <c r="D45" s="15">
        <f>2383+11</f>
        <v>2394</v>
      </c>
      <c r="E45" s="15">
        <f>2506+13</f>
        <v>2519</v>
      </c>
      <c r="F45" s="15">
        <f>2440+5</f>
        <v>2445</v>
      </c>
      <c r="G45" s="15">
        <f>2281+5</f>
        <v>2286</v>
      </c>
      <c r="H45" s="15">
        <f>2334+5</f>
        <v>2339</v>
      </c>
      <c r="I45" s="15">
        <f>2796+3</f>
        <v>2799</v>
      </c>
      <c r="J45" s="15">
        <f>2429+0</f>
        <v>2429</v>
      </c>
      <c r="K45" s="15">
        <f>1135+0</f>
        <v>1135</v>
      </c>
      <c r="L45" s="15">
        <f>1089+0</f>
        <v>1089</v>
      </c>
      <c r="M45" s="15">
        <f>1772+0</f>
        <v>1772</v>
      </c>
      <c r="N45" s="15">
        <f>'PDE-O&amp;G'!F48</f>
        <v>95.481062041965913</v>
      </c>
      <c r="O45" s="15">
        <f>'PDE-O&amp;G'!G48</f>
        <v>190.96212408393029</v>
      </c>
      <c r="P45" s="15">
        <f>'PDE-O&amp;G'!H48</f>
        <v>286.4431861258962</v>
      </c>
      <c r="Q45" s="15">
        <f>'PDE-O&amp;G'!I48</f>
        <v>540.0709347798113</v>
      </c>
      <c r="R45" s="15">
        <f>'PDE-O&amp;G'!J48</f>
        <v>477.4053102098265</v>
      </c>
      <c r="S45" s="15">
        <f>'PDE-O&amp;G'!K48</f>
        <v>98.446312415941819</v>
      </c>
      <c r="T45" s="15">
        <f>'PDE-O&amp;G'!L48</f>
        <v>0</v>
      </c>
      <c r="U45" s="15">
        <f>'PDE-O&amp;G'!M48</f>
        <v>0</v>
      </c>
      <c r="V45" s="15">
        <f>'PDE-O&amp;G'!N48</f>
        <v>0</v>
      </c>
      <c r="W45" s="15">
        <f>'PDE-O&amp;G'!O48</f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</row>
    <row r="46" spans="1:61" x14ac:dyDescent="0.45">
      <c r="A46" s="15" t="s">
        <v>138</v>
      </c>
      <c r="C46" s="11" t="s">
        <v>139</v>
      </c>
      <c r="D46" s="15">
        <v>3667</v>
      </c>
      <c r="E46" s="15">
        <v>3709</v>
      </c>
      <c r="F46" s="15">
        <v>3658</v>
      </c>
      <c r="G46" s="15">
        <v>3347</v>
      </c>
      <c r="H46" s="15">
        <v>3335</v>
      </c>
      <c r="I46" s="15">
        <v>3424</v>
      </c>
      <c r="J46" s="15">
        <v>3348</v>
      </c>
      <c r="K46" s="15">
        <v>1924</v>
      </c>
      <c r="L46" s="15">
        <v>2552</v>
      </c>
      <c r="M46" s="15">
        <v>3101</v>
      </c>
      <c r="N46" s="15">
        <f>'PDE-O&amp;G'!F42</f>
        <v>5070.5069999999987</v>
      </c>
      <c r="O46" s="15">
        <f>'PDE-O&amp;G'!G42</f>
        <v>5340.5339999999997</v>
      </c>
      <c r="P46" s="15">
        <f>'PDE-O&amp;G'!H42</f>
        <v>5610.5609999999997</v>
      </c>
      <c r="Q46" s="15">
        <f>'PDE-O&amp;G'!I42</f>
        <v>5880.5879999999997</v>
      </c>
      <c r="R46" s="15">
        <f>'PDE-O&amp;G'!J42</f>
        <v>6150.6149999999998</v>
      </c>
      <c r="S46" s="15">
        <f>'PDE-O&amp;G'!K42</f>
        <v>6420.6419999999989</v>
      </c>
      <c r="T46" s="15">
        <f>'PDE-O&amp;G'!L42</f>
        <v>6690.6689999999999</v>
      </c>
      <c r="U46" s="15">
        <f>'PDE-O&amp;G'!M42</f>
        <v>6960.695999999999</v>
      </c>
      <c r="V46" s="15">
        <f>'PDE-O&amp;G'!N42</f>
        <v>7230.723</v>
      </c>
      <c r="W46" s="15">
        <f>'PDE-O&amp;G'!O42</f>
        <v>7500.7499999999991</v>
      </c>
    </row>
    <row r="47" spans="1:61" x14ac:dyDescent="0.45"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61" x14ac:dyDescent="0.45">
      <c r="A48" s="17"/>
      <c r="B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23" x14ac:dyDescent="0.45">
      <c r="A49" s="15" t="s">
        <v>140</v>
      </c>
      <c r="B49" s="10" t="s">
        <v>97</v>
      </c>
      <c r="C49" s="11" t="s">
        <v>110</v>
      </c>
      <c r="D49" s="15">
        <v>8594</v>
      </c>
      <c r="E49" s="15">
        <v>7936</v>
      </c>
      <c r="F49" s="15">
        <v>6354</v>
      </c>
      <c r="G49" s="15">
        <v>7006</v>
      </c>
      <c r="H49" s="15">
        <v>4819</v>
      </c>
      <c r="I49" s="15">
        <v>4838</v>
      </c>
      <c r="J49" s="15">
        <v>5410</v>
      </c>
      <c r="K49" s="15">
        <v>5481</v>
      </c>
      <c r="L49" s="15">
        <v>6665</v>
      </c>
      <c r="M49" s="15">
        <v>6122</v>
      </c>
      <c r="N49" s="15">
        <f>AVERAGE(H49:M49)</f>
        <v>5555.833333333333</v>
      </c>
      <c r="O49" s="15">
        <f>$N49</f>
        <v>5555.833333333333</v>
      </c>
      <c r="P49" s="15">
        <f t="shared" ref="P49:W49" si="47">$N49</f>
        <v>5555.833333333333</v>
      </c>
      <c r="Q49" s="15">
        <f t="shared" si="47"/>
        <v>5555.833333333333</v>
      </c>
      <c r="R49" s="15">
        <f t="shared" si="47"/>
        <v>5555.833333333333</v>
      </c>
      <c r="S49" s="15">
        <f t="shared" si="47"/>
        <v>5555.833333333333</v>
      </c>
      <c r="T49" s="15">
        <f t="shared" si="47"/>
        <v>5555.833333333333</v>
      </c>
      <c r="U49" s="15">
        <f t="shared" si="47"/>
        <v>5555.833333333333</v>
      </c>
      <c r="V49" s="15">
        <f t="shared" si="47"/>
        <v>5555.833333333333</v>
      </c>
      <c r="W49" s="15">
        <f t="shared" si="47"/>
        <v>5555.833333333333</v>
      </c>
    </row>
    <row r="50" spans="1:23" x14ac:dyDescent="0.45">
      <c r="A50" s="17">
        <f>23.86*1000000/1000</f>
        <v>23860</v>
      </c>
      <c r="C50" s="11" t="s">
        <v>111</v>
      </c>
      <c r="D50" s="15">
        <v>7449</v>
      </c>
      <c r="E50" s="15">
        <v>9391</v>
      </c>
      <c r="F50" s="15">
        <v>9968</v>
      </c>
      <c r="G50" s="15">
        <v>8805</v>
      </c>
      <c r="H50" s="15">
        <v>9611</v>
      </c>
      <c r="I50" s="15">
        <v>9898</v>
      </c>
      <c r="J50" s="15">
        <v>8675</v>
      </c>
      <c r="K50" s="15">
        <v>6857</v>
      </c>
      <c r="L50" s="15">
        <v>9445</v>
      </c>
      <c r="M50" s="15">
        <v>5735</v>
      </c>
      <c r="N50" s="15">
        <f>AVERAGE(H50:M50)</f>
        <v>8370.1666666666661</v>
      </c>
      <c r="O50" s="15">
        <f>$N50</f>
        <v>8370.1666666666661</v>
      </c>
      <c r="P50" s="15">
        <f t="shared" ref="P50:W50" si="48">$N50</f>
        <v>8370.1666666666661</v>
      </c>
      <c r="Q50" s="15">
        <f t="shared" si="48"/>
        <v>8370.1666666666661</v>
      </c>
      <c r="R50" s="15">
        <f t="shared" si="48"/>
        <v>8370.1666666666661</v>
      </c>
      <c r="S50" s="15">
        <f t="shared" si="48"/>
        <v>8370.1666666666661</v>
      </c>
      <c r="T50" s="15">
        <f t="shared" si="48"/>
        <v>8370.1666666666661</v>
      </c>
      <c r="U50" s="15">
        <f t="shared" si="48"/>
        <v>8370.1666666666661</v>
      </c>
      <c r="V50" s="15">
        <f t="shared" si="48"/>
        <v>8370.1666666666661</v>
      </c>
      <c r="W50" s="15">
        <f t="shared" si="48"/>
        <v>8370.1666666666661</v>
      </c>
    </row>
    <row r="51" spans="1:23" x14ac:dyDescent="0.45">
      <c r="A51" s="33" t="s">
        <v>112</v>
      </c>
      <c r="B51" s="20" t="s">
        <v>141</v>
      </c>
      <c r="C51" s="11" t="s">
        <v>113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</row>
    <row r="53" spans="1:23" x14ac:dyDescent="0.45">
      <c r="A53" s="15" t="s">
        <v>142</v>
      </c>
      <c r="B53" s="10" t="s">
        <v>69</v>
      </c>
      <c r="C53" s="11" t="s">
        <v>143</v>
      </c>
      <c r="D53" s="15">
        <v>117711</v>
      </c>
      <c r="E53" s="15">
        <v>131129</v>
      </c>
      <c r="F53" s="15">
        <v>141716</v>
      </c>
      <c r="G53" s="15">
        <v>146322</v>
      </c>
      <c r="H53" s="15">
        <v>152533</v>
      </c>
      <c r="I53" s="15">
        <v>150468</v>
      </c>
      <c r="J53" s="15">
        <v>161956</v>
      </c>
      <c r="K53" s="15">
        <v>171307</v>
      </c>
      <c r="L53" s="15">
        <v>168784</v>
      </c>
      <c r="M53" s="15">
        <v>175531</v>
      </c>
      <c r="N53" s="15">
        <f>'PDE-O&amp;G'!F6</f>
        <v>193084.1</v>
      </c>
      <c r="O53" s="15">
        <f>'PDE-O&amp;G'!G6</f>
        <v>222339.26666666663</v>
      </c>
      <c r="P53" s="15">
        <f>'PDE-O&amp;G'!H6</f>
        <v>239892.36666666661</v>
      </c>
      <c r="Q53" s="15">
        <f>'PDE-O&amp;G'!I6</f>
        <v>263296.49999999994</v>
      </c>
      <c r="R53" s="15">
        <f>'PDE-O&amp;G'!J6</f>
        <v>274998.56666666665</v>
      </c>
      <c r="S53" s="15">
        <f>'PDE-O&amp;G'!K6</f>
        <v>298402.69999999995</v>
      </c>
      <c r="T53" s="15">
        <f>'PDE-O&amp;G'!L6</f>
        <v>315955.8</v>
      </c>
      <c r="U53" s="15">
        <f>'PDE-O&amp;G'!M6</f>
        <v>310104.7666666666</v>
      </c>
      <c r="V53" s="15">
        <f>'PDE-O&amp;G'!N6</f>
        <v>304253.73333333328</v>
      </c>
      <c r="W53" s="15">
        <f>'PDE-O&amp;G'!O6</f>
        <v>286700.6333333333</v>
      </c>
    </row>
    <row r="54" spans="1:23" x14ac:dyDescent="0.45">
      <c r="A54" s="17">
        <f>35.318*1000000/1000</f>
        <v>35318</v>
      </c>
      <c r="C54" s="11" t="s">
        <v>144</v>
      </c>
      <c r="D54" s="15">
        <v>22891</v>
      </c>
      <c r="E54" s="15">
        <v>20317</v>
      </c>
      <c r="F54" s="15">
        <v>17277</v>
      </c>
      <c r="G54" s="15">
        <v>8988</v>
      </c>
      <c r="H54" s="15">
        <v>8407</v>
      </c>
      <c r="I54" s="15">
        <v>10805</v>
      </c>
      <c r="J54" s="15">
        <v>9972</v>
      </c>
      <c r="K54" s="15">
        <v>9747</v>
      </c>
      <c r="L54" s="15">
        <v>8134</v>
      </c>
      <c r="M54" s="15">
        <v>14280</v>
      </c>
      <c r="N54" s="15">
        <f>'PDE-O&amp;G'!F10</f>
        <v>13016.28318584071</v>
      </c>
      <c r="O54" s="15">
        <f>'PDE-O&amp;G'!G10</f>
        <v>11752.566371681418</v>
      </c>
      <c r="P54" s="15">
        <f>'PDE-O&amp;G'!H10</f>
        <v>10488.849557522128</v>
      </c>
      <c r="Q54" s="15">
        <f>'PDE-O&amp;G'!I10</f>
        <v>10320.353982300889</v>
      </c>
      <c r="R54" s="15">
        <f>'PDE-O&amp;G'!J10</f>
        <v>10151.858407079648</v>
      </c>
      <c r="S54" s="15">
        <f>'PDE-O&amp;G'!K10</f>
        <v>9983.3628318584088</v>
      </c>
      <c r="T54" s="15">
        <f>'PDE-O&amp;G'!L10</f>
        <v>10109.734513274339</v>
      </c>
      <c r="U54" s="15">
        <f>'PDE-O&amp;G'!M10</f>
        <v>10236.106194690268</v>
      </c>
      <c r="V54" s="15">
        <f>'PDE-O&amp;G'!N10</f>
        <v>10362.477876106197</v>
      </c>
      <c r="W54" s="15">
        <f>'PDE-O&amp;G'!O10</f>
        <v>10488.849557522126</v>
      </c>
    </row>
    <row r="55" spans="1:23" x14ac:dyDescent="0.45">
      <c r="A55" s="33" t="s">
        <v>129</v>
      </c>
      <c r="C55" s="11" t="s">
        <v>113</v>
      </c>
      <c r="D55" s="15">
        <v>23046</v>
      </c>
      <c r="E55" s="15">
        <v>30112</v>
      </c>
      <c r="F55" s="15">
        <v>42753</v>
      </c>
      <c r="G55" s="15">
        <v>49172</v>
      </c>
      <c r="H55" s="15">
        <v>60473</v>
      </c>
      <c r="I55" s="15">
        <v>62544</v>
      </c>
      <c r="J55" s="15">
        <v>71277</v>
      </c>
      <c r="K55" s="15">
        <v>79557</v>
      </c>
      <c r="L55" s="15">
        <v>72640</v>
      </c>
      <c r="M55" s="15">
        <v>78092</v>
      </c>
      <c r="N55" s="15">
        <v>0.41</v>
      </c>
      <c r="O55" s="15">
        <v>0.46333333333333332</v>
      </c>
      <c r="P55" s="15">
        <v>0.51666666666666661</v>
      </c>
      <c r="Q55" s="15">
        <v>0.56999999999999995</v>
      </c>
      <c r="R55" s="15">
        <v>0.58666666666666667</v>
      </c>
      <c r="S55" s="15">
        <v>0.60333333333333328</v>
      </c>
      <c r="T55" s="15">
        <v>0.62</v>
      </c>
      <c r="U55" s="15">
        <v>0.61749999999999994</v>
      </c>
      <c r="V55" s="15">
        <v>0.61499999999999999</v>
      </c>
      <c r="W55" s="15">
        <v>0.61250000000000004</v>
      </c>
    </row>
    <row r="56" spans="1:23" x14ac:dyDescent="0.45"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x14ac:dyDescent="0.45">
      <c r="A57" s="15" t="s">
        <v>145</v>
      </c>
      <c r="B57" s="10" t="s">
        <v>69</v>
      </c>
      <c r="C57" s="11" t="s">
        <v>110</v>
      </c>
      <c r="D57" s="15">
        <v>15385</v>
      </c>
      <c r="E57" s="15">
        <v>16226</v>
      </c>
      <c r="F57" s="15">
        <v>14826</v>
      </c>
      <c r="G57" s="15">
        <v>11989</v>
      </c>
      <c r="H57" s="15">
        <v>12240</v>
      </c>
      <c r="I57" s="15">
        <v>11154</v>
      </c>
      <c r="J57" s="15">
        <v>12236</v>
      </c>
      <c r="K57" s="15">
        <v>17517</v>
      </c>
      <c r="L57" s="15">
        <v>17219</v>
      </c>
      <c r="M57" s="15">
        <v>18444</v>
      </c>
      <c r="N57" s="15">
        <f>'PDE-O&amp;G'!E52</f>
        <v>18213.5</v>
      </c>
      <c r="O57" s="15">
        <f>'PDE-O&amp;G'!F52</f>
        <v>18408.166666666664</v>
      </c>
      <c r="P57" s="15">
        <f>'PDE-O&amp;G'!G52</f>
        <v>18602.833333333336</v>
      </c>
      <c r="Q57" s="15">
        <f>'PDE-O&amp;G'!H52</f>
        <v>18797.5</v>
      </c>
      <c r="R57" s="15">
        <f>'PDE-O&amp;G'!I52</f>
        <v>18481.166666666668</v>
      </c>
      <c r="S57" s="15">
        <f>'PDE-O&amp;G'!J52</f>
        <v>18164.833333333332</v>
      </c>
      <c r="T57" s="15">
        <f>'PDE-O&amp;G'!K52</f>
        <v>17848.5</v>
      </c>
      <c r="U57" s="15">
        <f>'PDE-O&amp;G'!L52</f>
        <v>17282.75</v>
      </c>
      <c r="V57" s="15">
        <f>'PDE-O&amp;G'!M52</f>
        <v>16717</v>
      </c>
      <c r="W57" s="15">
        <f>'PDE-O&amp;G'!N52</f>
        <v>16151.25</v>
      </c>
    </row>
    <row r="58" spans="1:23" x14ac:dyDescent="0.45">
      <c r="A58" s="17">
        <f>37.977*1000000/1000</f>
        <v>37977</v>
      </c>
      <c r="C58" s="11" t="s">
        <v>111</v>
      </c>
      <c r="D58" s="15">
        <v>96</v>
      </c>
      <c r="E58" s="15">
        <v>399</v>
      </c>
      <c r="F58" s="15">
        <v>355</v>
      </c>
      <c r="G58" s="15">
        <v>65</v>
      </c>
      <c r="H58" s="15">
        <v>75</v>
      </c>
      <c r="I58" s="15">
        <v>319</v>
      </c>
      <c r="J58" s="15">
        <v>56</v>
      </c>
      <c r="K58" s="15">
        <v>39</v>
      </c>
      <c r="L58" s="15">
        <v>622</v>
      </c>
      <c r="M58" s="15">
        <v>211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</row>
    <row r="59" spans="1:23" x14ac:dyDescent="0.45">
      <c r="A59" s="33" t="s">
        <v>129</v>
      </c>
      <c r="C59" s="11" t="s">
        <v>113</v>
      </c>
      <c r="D59" s="15">
        <v>8864</v>
      </c>
      <c r="E59" s="15">
        <v>8474</v>
      </c>
      <c r="F59" s="15">
        <v>8069</v>
      </c>
      <c r="G59" s="15">
        <v>7000</v>
      </c>
      <c r="H59" s="15">
        <v>7297</v>
      </c>
      <c r="I59" s="15">
        <v>8106</v>
      </c>
      <c r="J59" s="15">
        <v>9233</v>
      </c>
      <c r="K59" s="15">
        <v>14508</v>
      </c>
      <c r="L59" s="15">
        <v>12787</v>
      </c>
      <c r="M59" s="15">
        <v>15248</v>
      </c>
      <c r="N59" s="15">
        <v>-19.7</v>
      </c>
      <c r="O59" s="15">
        <v>-20.399999999999999</v>
      </c>
      <c r="P59" s="15">
        <v>-21.099999999999998</v>
      </c>
      <c r="Q59" s="15">
        <v>-21.799999999999997</v>
      </c>
      <c r="R59" s="15">
        <v>-22.499999999999996</v>
      </c>
      <c r="S59" s="15">
        <v>-23.199999999999996</v>
      </c>
      <c r="T59" s="15">
        <v>-23.899999999999995</v>
      </c>
      <c r="U59" s="15">
        <v>-24.599999999999994</v>
      </c>
      <c r="V59" s="15">
        <v>-25.299999999999994</v>
      </c>
      <c r="W59" s="15">
        <v>-26</v>
      </c>
    </row>
    <row r="60" spans="1:23" x14ac:dyDescent="0.45"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x14ac:dyDescent="0.45">
      <c r="A61" s="15" t="s">
        <v>146</v>
      </c>
      <c r="B61" s="10" t="s">
        <v>69</v>
      </c>
      <c r="C61" s="11" t="s">
        <v>110</v>
      </c>
      <c r="D61" s="15">
        <v>10351</v>
      </c>
      <c r="E61" s="15">
        <v>10085</v>
      </c>
      <c r="F61" s="15">
        <v>10420</v>
      </c>
      <c r="G61" s="15">
        <v>10211</v>
      </c>
      <c r="H61" s="15">
        <v>10371</v>
      </c>
      <c r="I61" s="15">
        <v>10092</v>
      </c>
      <c r="J61" s="15">
        <v>9749</v>
      </c>
      <c r="K61" s="15">
        <v>9913</v>
      </c>
      <c r="L61" s="15">
        <v>9610</v>
      </c>
      <c r="M61" s="15">
        <v>10025</v>
      </c>
      <c r="N61" s="15">
        <f>'PDE-O&amp;G'!F57</f>
        <v>11096</v>
      </c>
      <c r="O61" s="15">
        <f>'PDE-O&amp;G'!G57</f>
        <v>12081.499999999998</v>
      </c>
      <c r="P61" s="15">
        <f>'PDE-O&amp;G'!H57</f>
        <v>13066.999999999998</v>
      </c>
      <c r="Q61" s="15">
        <f>'PDE-O&amp;G'!I57</f>
        <v>13298.166666666666</v>
      </c>
      <c r="R61" s="15">
        <f>'PDE-O&amp;G'!J57</f>
        <v>13529.333333333334</v>
      </c>
      <c r="S61" s="15">
        <f>'PDE-O&amp;G'!K57</f>
        <v>13760.500000000002</v>
      </c>
      <c r="T61" s="15">
        <f>'PDE-O&amp;G'!L57</f>
        <v>14235</v>
      </c>
      <c r="U61" s="15">
        <f>'PDE-O&amp;G'!M57</f>
        <v>14709.499999999998</v>
      </c>
      <c r="V61" s="15">
        <f>'PDE-O&amp;G'!N57</f>
        <v>15184</v>
      </c>
      <c r="W61" s="15">
        <f>'PDE-O&amp;G'!O57</f>
        <v>15658.5</v>
      </c>
    </row>
    <row r="62" spans="1:23" x14ac:dyDescent="0.45">
      <c r="A62" s="17">
        <f>25.58*1000000/1000</f>
        <v>25580</v>
      </c>
      <c r="C62" s="11" t="s">
        <v>111</v>
      </c>
      <c r="D62" s="15">
        <v>3372</v>
      </c>
      <c r="E62" s="15">
        <v>3726</v>
      </c>
      <c r="F62" s="15">
        <v>3191</v>
      </c>
      <c r="G62" s="15">
        <v>3455</v>
      </c>
      <c r="H62" s="15">
        <v>3293</v>
      </c>
      <c r="I62" s="15">
        <v>3487</v>
      </c>
      <c r="J62" s="15">
        <v>3555</v>
      </c>
      <c r="K62" s="15">
        <v>3657</v>
      </c>
      <c r="L62" s="15">
        <v>4017</v>
      </c>
      <c r="M62" s="15">
        <v>3509</v>
      </c>
      <c r="N62" s="15">
        <f>'PDE-O&amp;G'!F59</f>
        <v>4292.7058354114715</v>
      </c>
      <c r="O62" s="15">
        <f>'PDE-O&amp;G'!G59</f>
        <v>3717.7898753117202</v>
      </c>
      <c r="P62" s="15">
        <f>'PDE-O&amp;G'!H59</f>
        <v>3130.0980049875307</v>
      </c>
      <c r="Q62" s="15">
        <f>'PDE-O&amp;G'!I59</f>
        <v>2529.6302244389026</v>
      </c>
      <c r="R62" s="15">
        <f>'PDE-O&amp;G'!J59</f>
        <v>1916.386533665835</v>
      </c>
      <c r="S62" s="15">
        <f>'PDE-O&amp;G'!K59</f>
        <v>1290.3669326683291</v>
      </c>
      <c r="T62" s="15">
        <f>'PDE-O&amp;G'!L59</f>
        <v>651.57142144638397</v>
      </c>
      <c r="U62" s="15">
        <f>'PDE-O&amp;G'!M59</f>
        <v>0</v>
      </c>
      <c r="V62" s="15">
        <f>'PDE-O&amp;G'!N59</f>
        <v>0</v>
      </c>
      <c r="W62" s="15">
        <f>'PDE-O&amp;G'!O59</f>
        <v>0</v>
      </c>
    </row>
    <row r="63" spans="1:23" x14ac:dyDescent="0.45">
      <c r="A63" s="33" t="s">
        <v>129</v>
      </c>
      <c r="C63" s="11" t="s">
        <v>113</v>
      </c>
      <c r="D63" s="15">
        <v>90</v>
      </c>
      <c r="E63" s="15">
        <v>18</v>
      </c>
      <c r="F63" s="15">
        <v>27</v>
      </c>
      <c r="G63" s="15">
        <v>0</v>
      </c>
      <c r="H63" s="15">
        <v>2</v>
      </c>
      <c r="I63" s="15">
        <v>1</v>
      </c>
      <c r="J63" s="15">
        <v>1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</row>
    <row r="64" spans="1:23" x14ac:dyDescent="0.45"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x14ac:dyDescent="0.45">
      <c r="A65" s="15" t="s">
        <v>61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</row>
    <row r="66" spans="1:23" x14ac:dyDescent="0.45">
      <c r="A66" s="15" t="s">
        <v>147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A22"/>
  <sheetViews>
    <sheetView tabSelected="1" topLeftCell="AI1" workbookViewId="0">
      <selection activeCell="AW24" sqref="AW24"/>
    </sheetView>
  </sheetViews>
  <sheetFormatPr defaultRowHeight="14.25" x14ac:dyDescent="0.45"/>
  <cols>
    <col min="1" max="1" width="36.265625" customWidth="1"/>
    <col min="2" max="35" width="13" customWidth="1"/>
  </cols>
  <sheetData>
    <row r="1" spans="1:53" x14ac:dyDescent="0.45">
      <c r="A1" s="6" t="s">
        <v>148</v>
      </c>
      <c r="B1" s="5">
        <v>2019</v>
      </c>
      <c r="C1">
        <v>2020</v>
      </c>
      <c r="D1" s="5">
        <v>2021</v>
      </c>
      <c r="E1">
        <v>2022</v>
      </c>
      <c r="F1" s="5">
        <v>2023</v>
      </c>
      <c r="G1">
        <v>2024</v>
      </c>
      <c r="H1" s="5">
        <v>2025</v>
      </c>
      <c r="I1">
        <v>2026</v>
      </c>
      <c r="J1" s="5">
        <v>2027</v>
      </c>
      <c r="K1">
        <v>2028</v>
      </c>
      <c r="L1" s="5">
        <v>2029</v>
      </c>
      <c r="M1">
        <v>2030</v>
      </c>
      <c r="N1" s="5">
        <v>2031</v>
      </c>
      <c r="O1">
        <v>2032</v>
      </c>
      <c r="P1" s="5">
        <v>2033</v>
      </c>
      <c r="Q1">
        <v>2034</v>
      </c>
      <c r="R1" s="5">
        <v>2035</v>
      </c>
      <c r="S1">
        <v>2036</v>
      </c>
      <c r="T1" s="5">
        <v>2037</v>
      </c>
      <c r="U1">
        <v>2038</v>
      </c>
      <c r="V1" s="5">
        <v>2039</v>
      </c>
      <c r="W1">
        <v>2040</v>
      </c>
      <c r="X1" s="5">
        <v>2041</v>
      </c>
      <c r="Y1">
        <v>2042</v>
      </c>
      <c r="Z1" s="5">
        <v>2043</v>
      </c>
      <c r="AA1">
        <v>2044</v>
      </c>
      <c r="AB1" s="5">
        <v>2045</v>
      </c>
      <c r="AC1">
        <v>2046</v>
      </c>
      <c r="AD1" s="5">
        <v>2047</v>
      </c>
      <c r="AE1">
        <v>2048</v>
      </c>
      <c r="AF1" s="5">
        <v>2049</v>
      </c>
      <c r="AG1">
        <v>2050</v>
      </c>
      <c r="AH1" s="5">
        <v>2051</v>
      </c>
      <c r="AI1">
        <v>2052</v>
      </c>
      <c r="AJ1" s="5">
        <v>2053</v>
      </c>
      <c r="AK1">
        <v>2054</v>
      </c>
      <c r="AL1" s="5">
        <v>2055</v>
      </c>
      <c r="AM1">
        <v>2056</v>
      </c>
      <c r="AN1" s="5">
        <v>2057</v>
      </c>
      <c r="AO1">
        <v>2058</v>
      </c>
      <c r="AP1" s="5">
        <v>2059</v>
      </c>
      <c r="AQ1">
        <v>2060</v>
      </c>
      <c r="AR1" s="5">
        <v>2061</v>
      </c>
      <c r="AS1">
        <v>2062</v>
      </c>
      <c r="AT1" s="5">
        <v>2063</v>
      </c>
      <c r="AU1">
        <v>2064</v>
      </c>
      <c r="AV1" s="5">
        <v>2065</v>
      </c>
      <c r="AW1">
        <v>2066</v>
      </c>
      <c r="AX1" s="5">
        <v>2067</v>
      </c>
      <c r="AY1">
        <v>2068</v>
      </c>
      <c r="AZ1" s="5">
        <v>2069</v>
      </c>
      <c r="BA1">
        <v>2070</v>
      </c>
    </row>
    <row r="2" spans="1:53" x14ac:dyDescent="0.45">
      <c r="A2" s="6" t="s">
        <v>149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</row>
    <row r="3" spans="1:53" x14ac:dyDescent="0.45">
      <c r="A3" s="1" t="s">
        <v>55</v>
      </c>
      <c r="B3" s="7">
        <f>BEN!$A$5*BEN!J4</f>
        <v>0</v>
      </c>
      <c r="C3" s="7">
        <f>BEN!$A$5*BEN!K4</f>
        <v>0</v>
      </c>
      <c r="D3" s="7">
        <f>BEN!$A$5*BEN!L4</f>
        <v>0</v>
      </c>
      <c r="E3" s="7">
        <f>BEN!$A$5*BEN!M4</f>
        <v>0</v>
      </c>
      <c r="F3" s="7">
        <f>BEN!$A$5*BEN!N4</f>
        <v>0</v>
      </c>
      <c r="G3" s="7">
        <f>BEN!$A$5*BEN!O4</f>
        <v>0</v>
      </c>
      <c r="H3" s="7">
        <f>BEN!$A$5*BEN!P4</f>
        <v>0</v>
      </c>
      <c r="I3" s="7">
        <f>BEN!$A$5*BEN!Q4</f>
        <v>0</v>
      </c>
      <c r="J3" s="7">
        <f>BEN!$A$5*BEN!R4</f>
        <v>0</v>
      </c>
      <c r="K3" s="7">
        <f>BEN!$A$5*BEN!S4</f>
        <v>0</v>
      </c>
      <c r="L3" s="7">
        <f>BEN!$A$5*BEN!T4</f>
        <v>0</v>
      </c>
      <c r="M3" s="7">
        <f>BEN!$A$5*BEN!U4</f>
        <v>0</v>
      </c>
      <c r="N3" s="7">
        <f>BEN!$A$5*BEN!V4</f>
        <v>0</v>
      </c>
      <c r="O3" s="7">
        <f>BEN!$A$5*BEN!W4</f>
        <v>0</v>
      </c>
      <c r="P3" s="7">
        <f>BEN!$A$5*BEN!X4</f>
        <v>0</v>
      </c>
      <c r="Q3" s="7">
        <f>BEN!$A$5*BEN!Y4</f>
        <v>0</v>
      </c>
      <c r="R3" s="7">
        <f>BEN!$A$5*BEN!Z4</f>
        <v>0</v>
      </c>
      <c r="S3" s="7">
        <f>BEN!$A$5*BEN!AA4</f>
        <v>0</v>
      </c>
      <c r="T3" s="7">
        <f>BEN!$A$5*BEN!AB4</f>
        <v>0</v>
      </c>
      <c r="U3" s="7">
        <f>BEN!$A$5*BEN!AC4</f>
        <v>0</v>
      </c>
      <c r="V3" s="7">
        <f>BEN!$A$5*BEN!AD4</f>
        <v>0</v>
      </c>
      <c r="W3" s="7">
        <f>BEN!$A$5*BEN!AE4</f>
        <v>0</v>
      </c>
      <c r="X3" s="7">
        <f>BEN!$A$5*BEN!AF4</f>
        <v>0</v>
      </c>
      <c r="Y3" s="7">
        <f>BEN!$A$5*BEN!AG4</f>
        <v>0</v>
      </c>
      <c r="Z3" s="7">
        <f>BEN!$A$5*BEN!AH4</f>
        <v>0</v>
      </c>
      <c r="AA3" s="7">
        <f>BEN!$A$5*BEN!AI4</f>
        <v>0</v>
      </c>
      <c r="AB3" s="7">
        <f>BEN!$A$5*BEN!AJ4</f>
        <v>0</v>
      </c>
      <c r="AC3" s="7">
        <f>BEN!$A$5*BEN!AK4</f>
        <v>0</v>
      </c>
      <c r="AD3" s="7">
        <f>BEN!$A$5*BEN!AL4</f>
        <v>0</v>
      </c>
      <c r="AE3" s="7">
        <f>BEN!$A$5*BEN!AM4</f>
        <v>0</v>
      </c>
      <c r="AF3" s="7">
        <f>BEN!$A$5*BEN!AN4</f>
        <v>0</v>
      </c>
      <c r="AG3" s="7">
        <f>BEN!$A$5*BEN!AO4</f>
        <v>0</v>
      </c>
      <c r="AH3" s="7">
        <f>BEN!$A$5*BEN!AP4</f>
        <v>0</v>
      </c>
      <c r="AI3" s="7">
        <f>BEN!$A$5*BEN!AQ4</f>
        <v>0</v>
      </c>
      <c r="AJ3" s="7">
        <f>BEN!$A$5*BEN!AR4</f>
        <v>0</v>
      </c>
      <c r="AK3" s="7">
        <f>BEN!$A$5*BEN!AS4</f>
        <v>0</v>
      </c>
      <c r="AL3" s="7">
        <f>BEN!$A$5*BEN!AT4</f>
        <v>0</v>
      </c>
      <c r="AM3" s="7">
        <f>BEN!$A$5*BEN!AU4</f>
        <v>0</v>
      </c>
      <c r="AN3" s="7">
        <f>BEN!$A$5*BEN!AV4</f>
        <v>0</v>
      </c>
      <c r="AO3" s="7">
        <f>BEN!$A$5*BEN!AW4</f>
        <v>0</v>
      </c>
      <c r="AP3" s="7">
        <f>BEN!$A$5*BEN!AX4</f>
        <v>0</v>
      </c>
      <c r="AQ3" s="7">
        <f>BEN!$A$5*BEN!AY4</f>
        <v>0</v>
      </c>
      <c r="AR3" s="7">
        <f>BEN!$A$5*BEN!AZ4</f>
        <v>0</v>
      </c>
      <c r="AS3" s="7">
        <f>BEN!$A$5*BEN!BA4</f>
        <v>0</v>
      </c>
      <c r="AT3" s="7">
        <f>BEN!$A$5*BEN!BB4</f>
        <v>0</v>
      </c>
      <c r="AU3" s="7">
        <f>BEN!$A$5*BEN!BC4</f>
        <v>0</v>
      </c>
      <c r="AV3" s="7">
        <f>BEN!$A$5*BEN!BD4</f>
        <v>0</v>
      </c>
      <c r="AW3" s="7">
        <f>BEN!$A$5*BEN!BE4</f>
        <v>0</v>
      </c>
      <c r="AX3" s="7">
        <f>BEN!$A$5*BEN!BF4</f>
        <v>0</v>
      </c>
      <c r="AY3" s="7">
        <f>BEN!$A$5*BEN!BG4</f>
        <v>0</v>
      </c>
      <c r="AZ3" s="7">
        <f>BEN!$A$5*BEN!BH4</f>
        <v>0</v>
      </c>
      <c r="BA3" s="7">
        <f>BEN!$A$5*BEN!BI4</f>
        <v>0</v>
      </c>
    </row>
    <row r="4" spans="1:53" x14ac:dyDescent="0.45">
      <c r="A4" s="1" t="s">
        <v>13</v>
      </c>
      <c r="B4" s="8">
        <f>BEN!$A$9*BEN!J8</f>
        <v>1061239</v>
      </c>
      <c r="C4" s="8">
        <f>BEN!$A$9*BEN!K8</f>
        <v>982478.39999999991</v>
      </c>
      <c r="D4" s="8">
        <f>BEN!$A$9*BEN!L8</f>
        <v>999932.6</v>
      </c>
      <c r="E4" s="8">
        <f>BEN!$A$9*BEN!M8</f>
        <v>957971.6</v>
      </c>
      <c r="F4" s="8">
        <f>BEN!$A$9*BEN!N8</f>
        <v>1035432</v>
      </c>
      <c r="G4" s="8">
        <f>BEN!$A$9*BEN!O8</f>
        <v>1078575</v>
      </c>
      <c r="H4" s="8">
        <f>BEN!$A$9*BEN!P8</f>
        <v>1092956</v>
      </c>
      <c r="I4" s="8">
        <f>BEN!$A$9*BEN!Q8</f>
        <v>1121718</v>
      </c>
      <c r="J4" s="8">
        <f>BEN!$A$9*BEN!R8</f>
        <v>1366195</v>
      </c>
      <c r="K4" s="8">
        <f>BEN!$A$9*BEN!S8</f>
        <v>1581910</v>
      </c>
      <c r="L4" s="8">
        <f>BEN!$A$9*BEN!T8</f>
        <v>1668196</v>
      </c>
      <c r="M4" s="8">
        <f>BEN!$A$9*BEN!U8</f>
        <v>1740101</v>
      </c>
      <c r="N4" s="8">
        <f>BEN!$A$9*BEN!V8</f>
        <v>1855149</v>
      </c>
      <c r="O4" s="8">
        <f>BEN!$A$9*BEN!W8</f>
        <v>1927054</v>
      </c>
      <c r="P4" s="8">
        <f>BEN!$A$9*BEN!X8</f>
        <v>0</v>
      </c>
      <c r="Q4" s="8">
        <f>BEN!$A$9*BEN!Y8</f>
        <v>0</v>
      </c>
      <c r="R4" s="8">
        <f>BEN!$A$9*BEN!Z8</f>
        <v>0</v>
      </c>
      <c r="S4" s="8">
        <f>BEN!$A$9*BEN!AA8</f>
        <v>0</v>
      </c>
      <c r="T4" s="8">
        <f>BEN!$A$9*BEN!AB8</f>
        <v>0</v>
      </c>
      <c r="U4" s="8">
        <f>BEN!$A$9*BEN!AC8</f>
        <v>0</v>
      </c>
      <c r="V4" s="8">
        <f>BEN!$A$9*BEN!AD8</f>
        <v>0</v>
      </c>
      <c r="W4" s="8">
        <f>BEN!$A$9*BEN!AE8</f>
        <v>0</v>
      </c>
      <c r="X4" s="8">
        <f>BEN!$A$9*BEN!AF8</f>
        <v>0</v>
      </c>
      <c r="Y4" s="8">
        <f>BEN!$A$9*BEN!AG8</f>
        <v>0</v>
      </c>
      <c r="Z4" s="8">
        <f>BEN!$A$9*BEN!AH8</f>
        <v>0</v>
      </c>
      <c r="AA4" s="8">
        <f>BEN!$A$9*BEN!AI8</f>
        <v>0</v>
      </c>
      <c r="AB4" s="8">
        <f>BEN!$A$9*BEN!AJ8</f>
        <v>0</v>
      </c>
      <c r="AC4" s="8">
        <f>BEN!$A$9*BEN!AK8</f>
        <v>0</v>
      </c>
      <c r="AD4" s="8">
        <f>BEN!$A$9*BEN!AL8</f>
        <v>0</v>
      </c>
      <c r="AE4" s="8">
        <f>BEN!$A$9*BEN!AM8</f>
        <v>0</v>
      </c>
      <c r="AF4" s="8">
        <f>BEN!$A$9*BEN!AN8</f>
        <v>0</v>
      </c>
      <c r="AG4" s="8">
        <f>BEN!$A$9*BEN!AO8</f>
        <v>0</v>
      </c>
    </row>
    <row r="5" spans="1:53" x14ac:dyDescent="0.45">
      <c r="A5" s="1" t="s">
        <v>57</v>
      </c>
      <c r="B5" s="7">
        <f>BEN!$A$15*BEN!J14</f>
        <v>0</v>
      </c>
      <c r="C5" s="7">
        <f>BEN!$A$15*BEN!K14</f>
        <v>2801103.7461792375</v>
      </c>
      <c r="D5" s="7">
        <f>BEN!$A$15*BEN!L14</f>
        <v>4663906.7300915383</v>
      </c>
      <c r="E5" s="7">
        <f>BEN!$A$15*BEN!M14</f>
        <v>7023457.1763804527</v>
      </c>
      <c r="F5" s="7">
        <f>BEN!$A$15*BEN!N14</f>
        <v>7023457.1763804527</v>
      </c>
      <c r="G5" s="7">
        <f>BEN!$A$15*BEN!O14</f>
        <v>7023457.1763804527</v>
      </c>
      <c r="H5" s="7">
        <f>BEN!$A$15*BEN!P14</f>
        <v>7023457.1763804527</v>
      </c>
      <c r="I5" s="7">
        <f>BEN!$A$15*BEN!Q14</f>
        <v>7023457.1763804527</v>
      </c>
      <c r="J5" s="7">
        <f>BEN!$A$15*BEN!R14</f>
        <v>7023457.1763804527</v>
      </c>
      <c r="K5" s="7">
        <f>BEN!$A$15*BEN!S14</f>
        <v>7023457.1763804527</v>
      </c>
      <c r="L5" s="7">
        <f>BEN!$A$15*BEN!T14</f>
        <v>7023457.1763804527</v>
      </c>
      <c r="M5" s="7">
        <f>BEN!$A$15*BEN!U14</f>
        <v>7023457.1763804527</v>
      </c>
      <c r="N5" s="7">
        <f>BEN!$A$15*BEN!V14</f>
        <v>7023457.1763804527</v>
      </c>
      <c r="O5" s="7">
        <f>BEN!$A$15*BEN!W14</f>
        <v>7023457.1763804527</v>
      </c>
      <c r="P5" s="7">
        <f>BEN!$A$15*BEN!X14</f>
        <v>7023457.1763804527</v>
      </c>
      <c r="Q5" s="7">
        <f>BEN!$A$15*BEN!Y14</f>
        <v>7023457.1763804527</v>
      </c>
      <c r="R5" s="7">
        <f>BEN!$A$15*BEN!Z14</f>
        <v>7023457.1763804527</v>
      </c>
      <c r="S5" s="7">
        <f>BEN!$A$15*BEN!AA14</f>
        <v>7023457.1763804527</v>
      </c>
      <c r="T5" s="7">
        <f>BEN!$A$15*BEN!AB14</f>
        <v>7023457.1763804527</v>
      </c>
      <c r="U5" s="7">
        <f>BEN!$A$15*BEN!AC14</f>
        <v>7023457.1763804527</v>
      </c>
      <c r="V5" s="7">
        <f>BEN!$A$15*BEN!AD14</f>
        <v>7023457.1763804527</v>
      </c>
      <c r="W5" s="7">
        <f>BEN!$A$15*BEN!AE14</f>
        <v>7023457.1763804527</v>
      </c>
      <c r="X5" s="7">
        <f>BEN!$A$15*BEN!AF14</f>
        <v>7023457.1763804527</v>
      </c>
      <c r="Y5" s="7">
        <f>BEN!$A$15*BEN!AG14</f>
        <v>7023457.1763804527</v>
      </c>
      <c r="Z5" s="7">
        <f>BEN!$A$15*BEN!AH14</f>
        <v>7023457.1763804527</v>
      </c>
      <c r="AA5" s="7">
        <f>BEN!$A$15*BEN!AI14</f>
        <v>7023457.1763804527</v>
      </c>
      <c r="AB5" s="7">
        <f>BEN!$A$15*BEN!AJ14</f>
        <v>7023457.1763804527</v>
      </c>
      <c r="AC5" s="7">
        <f>BEN!$A$15*BEN!AK14</f>
        <v>7023457.1763804527</v>
      </c>
      <c r="AD5" s="7">
        <f>BEN!$A$15*BEN!AL14</f>
        <v>7023457.1763804527</v>
      </c>
      <c r="AE5" s="7">
        <f>BEN!$A$15*BEN!AM14</f>
        <v>7023457.1763804527</v>
      </c>
      <c r="AF5" s="7">
        <f>BEN!$A$15*BEN!AN14</f>
        <v>7023457.1763804527</v>
      </c>
      <c r="AG5" s="7">
        <f>BEN!$A$15*BEN!AO14</f>
        <v>7023457.1763804527</v>
      </c>
      <c r="AH5" s="7">
        <f>BEN!$A$15*BEN!AP14</f>
        <v>7023457.1763804527</v>
      </c>
      <c r="AI5" s="7">
        <f>BEN!$A$15*BEN!AQ14</f>
        <v>7023457.1763804527</v>
      </c>
      <c r="AJ5" s="7">
        <f>BEN!$A$15*BEN!AR14</f>
        <v>7023457.1763804527</v>
      </c>
      <c r="AK5" s="7">
        <f>BEN!$A$15*BEN!AS14</f>
        <v>7023457.1763804527</v>
      </c>
      <c r="AL5" s="7">
        <f>BEN!$A$15*BEN!AT14</f>
        <v>7023457.1763804527</v>
      </c>
      <c r="AM5" s="7">
        <f>BEN!$A$15*BEN!AU14</f>
        <v>7023457.1763804527</v>
      </c>
      <c r="AN5" s="7">
        <f>BEN!$A$15*BEN!AV14</f>
        <v>7023457.1763804527</v>
      </c>
      <c r="AO5" s="7">
        <f>BEN!$A$15*BEN!AW14</f>
        <v>7023457.1763804527</v>
      </c>
      <c r="AP5" s="7">
        <f>BEN!$A$15*BEN!AX14</f>
        <v>7023457.1763804527</v>
      </c>
      <c r="AQ5" s="7">
        <f>BEN!$A$15*BEN!AY14</f>
        <v>7023457.1763804527</v>
      </c>
      <c r="AR5" s="7">
        <f>BEN!$A$15*BEN!AZ14</f>
        <v>7023457.1763804527</v>
      </c>
      <c r="AS5" s="7">
        <f>BEN!$A$15*BEN!BA14</f>
        <v>7023457.1763804527</v>
      </c>
      <c r="AT5" s="7">
        <f>BEN!$A$15*BEN!BB14</f>
        <v>7023457.1763804527</v>
      </c>
      <c r="AU5" s="7">
        <f>BEN!$A$15*BEN!BC14</f>
        <v>7023457.1763804527</v>
      </c>
      <c r="AV5" s="7">
        <f>BEN!$A$15*BEN!BD14</f>
        <v>7023457.1763804527</v>
      </c>
      <c r="AW5" s="7">
        <f>BEN!$A$15*BEN!BE14</f>
        <v>7023457.1763804527</v>
      </c>
      <c r="AX5" s="7">
        <f>BEN!$A$15*BEN!BF14</f>
        <v>7023457.1763804527</v>
      </c>
      <c r="AY5" s="7">
        <f>BEN!$A$15*BEN!BG14</f>
        <v>7023457.1763804527</v>
      </c>
      <c r="AZ5" s="7">
        <f>BEN!$A$15*BEN!BH14</f>
        <v>7023457.1763804527</v>
      </c>
      <c r="BA5" s="7">
        <f>BEN!$A$15*BEN!BI14</f>
        <v>7023457.1763804527</v>
      </c>
    </row>
    <row r="6" spans="1:53" x14ac:dyDescent="0.45">
      <c r="A6" s="1" t="s">
        <v>150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</row>
    <row r="7" spans="1:53" x14ac:dyDescent="0.45">
      <c r="A7" s="1" t="s">
        <v>151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</row>
    <row r="8" spans="1:53" x14ac:dyDescent="0.45">
      <c r="A8" s="1" t="s">
        <v>152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</row>
    <row r="9" spans="1:53" x14ac:dyDescent="0.45">
      <c r="A9" s="1" t="s">
        <v>15</v>
      </c>
      <c r="B9" s="7">
        <f>BEN!$A$20*BEN!J19</f>
        <v>2148057600</v>
      </c>
      <c r="C9" s="7">
        <f>BEN!$A$20*BEN!K19</f>
        <v>2313221300</v>
      </c>
      <c r="D9" s="7">
        <f>BEN!$A$20*BEN!L19</f>
        <v>2155755550</v>
      </c>
      <c r="E9" s="7">
        <f>BEN!$A$20*BEN!M19</f>
        <v>2128149400</v>
      </c>
      <c r="F9" s="7">
        <f>BEN!$A$20*BEN!N19</f>
        <v>1412032112.4000003</v>
      </c>
      <c r="G9" s="7">
        <f>BEN!$A$20*BEN!O19</f>
        <v>1496966374.8</v>
      </c>
      <c r="H9" s="7">
        <f>BEN!$A$20*BEN!P19</f>
        <v>1581900637.2</v>
      </c>
      <c r="I9" s="7">
        <f>BEN!$A$20*BEN!Q19</f>
        <v>1666834899.5999997</v>
      </c>
      <c r="J9" s="7">
        <f>BEN!$A$20*BEN!R19</f>
        <v>1751769162</v>
      </c>
      <c r="K9" s="7">
        <f>BEN!$A$20*BEN!S19</f>
        <v>1836703424.3999999</v>
      </c>
      <c r="L9" s="7">
        <f>BEN!$A$20*BEN!T19</f>
        <v>1921637686.7999997</v>
      </c>
      <c r="M9" s="7">
        <f>BEN!$A$20*BEN!U19</f>
        <v>2006571949.1999996</v>
      </c>
      <c r="N9" s="7">
        <f>BEN!$A$20*BEN!V19</f>
        <v>2091506211.5999994</v>
      </c>
      <c r="O9" s="7">
        <f>BEN!$A$20*BEN!W19</f>
        <v>2176440474</v>
      </c>
      <c r="P9" s="7">
        <f>BEN!$A$20*BEN!X19</f>
        <v>0</v>
      </c>
      <c r="Q9" s="7">
        <f>BEN!$A$20*BEN!Y19</f>
        <v>0</v>
      </c>
      <c r="R9" s="7">
        <f>BEN!$A$20*BEN!Z19</f>
        <v>0</v>
      </c>
      <c r="S9" s="7">
        <f>BEN!$A$20*BEN!AA19</f>
        <v>0</v>
      </c>
      <c r="T9" s="7">
        <f>BEN!$A$20*BEN!AB19</f>
        <v>0</v>
      </c>
      <c r="U9" s="7">
        <f>BEN!$A$20*BEN!AC19</f>
        <v>0</v>
      </c>
      <c r="V9" s="7">
        <f>BEN!$A$20*BEN!AD19</f>
        <v>0</v>
      </c>
      <c r="W9" s="7">
        <f>BEN!$A$20*BEN!AE19</f>
        <v>0</v>
      </c>
      <c r="X9" s="7">
        <f>BEN!$A$20*BEN!AF19</f>
        <v>0</v>
      </c>
      <c r="Y9" s="7">
        <f>BEN!$A$20*BEN!AG19</f>
        <v>0</v>
      </c>
      <c r="Z9" s="7">
        <f>BEN!$A$20*BEN!AH19</f>
        <v>0</v>
      </c>
      <c r="AA9" s="7">
        <f>BEN!$A$20*BEN!AI19</f>
        <v>0</v>
      </c>
      <c r="AB9" s="7">
        <f>BEN!$A$20*BEN!AJ19</f>
        <v>0</v>
      </c>
      <c r="AC9" s="7">
        <f>BEN!$A$20*BEN!AK19</f>
        <v>0</v>
      </c>
      <c r="AD9" s="7">
        <f>BEN!$A$20*BEN!AL19</f>
        <v>0</v>
      </c>
      <c r="AE9" s="7">
        <f>BEN!$A$20*BEN!AM19</f>
        <v>0</v>
      </c>
      <c r="AF9" s="7">
        <f>BEN!$A$20*BEN!AN19</f>
        <v>0</v>
      </c>
      <c r="AG9" s="7">
        <f>BEN!$A$20*BEN!AO19</f>
        <v>0</v>
      </c>
    </row>
    <row r="10" spans="1:53" x14ac:dyDescent="0.45">
      <c r="A10" s="1" t="s">
        <v>19</v>
      </c>
      <c r="B10" s="7">
        <f>BEN!$A$28*BEN!J27</f>
        <v>775969620</v>
      </c>
      <c r="C10" s="7">
        <f>BEN!$A$28*BEN!K27</f>
        <v>719502132</v>
      </c>
      <c r="D10" s="7">
        <f>BEN!$A$28*BEN!L27</f>
        <v>858623600</v>
      </c>
      <c r="E10" s="7">
        <f>BEN!$A$28*BEN!M27</f>
        <v>876162744</v>
      </c>
      <c r="F10" s="7">
        <f>BEN!$A$28*BEN!N27</f>
        <v>851291027.39612913</v>
      </c>
      <c r="G10" s="7">
        <f>BEN!$A$28*BEN!O27</f>
        <v>826419310.79225826</v>
      </c>
      <c r="H10" s="7">
        <f>BEN!$A$28*BEN!P27</f>
        <v>801547594.18838727</v>
      </c>
      <c r="I10" s="7">
        <f>BEN!$A$28*BEN!Q27</f>
        <v>810968698.96258068</v>
      </c>
      <c r="J10" s="7">
        <f>BEN!$A$28*BEN!R27</f>
        <v>820389803.73677421</v>
      </c>
      <c r="K10" s="7">
        <f>BEN!$A$28*BEN!S27</f>
        <v>829810908.51096785</v>
      </c>
      <c r="L10" s="7">
        <f>BEN!$A$28*BEN!T27</f>
        <v>825288778.21935475</v>
      </c>
      <c r="M10" s="7">
        <f>BEN!$A$28*BEN!U27</f>
        <v>820766647.92774165</v>
      </c>
      <c r="N10" s="7">
        <f>BEN!$A$28*BEN!V27</f>
        <v>816244517.6361289</v>
      </c>
      <c r="O10" s="7">
        <f>BEN!$A$28*BEN!W27</f>
        <v>811722387.34451604</v>
      </c>
      <c r="P10" s="7">
        <f>BEN!$A$28*BEN!X27</f>
        <v>0</v>
      </c>
      <c r="Q10" s="7">
        <f>BEN!$A$28*BEN!Y27</f>
        <v>0</v>
      </c>
      <c r="R10" s="7">
        <f>BEN!$A$28*BEN!Z27</f>
        <v>0</v>
      </c>
      <c r="S10" s="7">
        <f>BEN!$A$28*BEN!AA27</f>
        <v>0</v>
      </c>
      <c r="T10" s="7">
        <f>BEN!$A$28*BEN!AB27</f>
        <v>0</v>
      </c>
      <c r="U10" s="7">
        <f>BEN!$A$28*BEN!AC27</f>
        <v>0</v>
      </c>
      <c r="V10" s="7">
        <f>BEN!$A$28*BEN!AD27</f>
        <v>0</v>
      </c>
      <c r="W10" s="7">
        <f>BEN!$A$28*BEN!AE27</f>
        <v>0</v>
      </c>
      <c r="X10" s="7">
        <f>BEN!$A$28*BEN!AF27</f>
        <v>0</v>
      </c>
      <c r="Y10" s="7">
        <f>BEN!$A$28*BEN!AG27</f>
        <v>0</v>
      </c>
      <c r="Z10" s="7">
        <f>BEN!$A$28*BEN!AH27</f>
        <v>0</v>
      </c>
      <c r="AA10" s="7">
        <f>BEN!$A$28*BEN!AI27</f>
        <v>0</v>
      </c>
      <c r="AB10" s="7">
        <f>BEN!$A$28*BEN!AJ27</f>
        <v>0</v>
      </c>
      <c r="AC10" s="7">
        <f>BEN!$A$28*BEN!AK27</f>
        <v>0</v>
      </c>
      <c r="AD10" s="7">
        <f>BEN!$A$28*BEN!AL27</f>
        <v>0</v>
      </c>
      <c r="AE10" s="7">
        <f>BEN!$A$28*BEN!AM27</f>
        <v>0</v>
      </c>
      <c r="AF10" s="7">
        <f>BEN!$A$28*BEN!AN27</f>
        <v>0</v>
      </c>
      <c r="AG10" s="7">
        <f>BEN!$A$28*BEN!AO27</f>
        <v>0</v>
      </c>
    </row>
    <row r="11" spans="1:53" x14ac:dyDescent="0.45">
      <c r="A11" s="1" t="s">
        <v>21</v>
      </c>
      <c r="B11" s="7">
        <f>BEN!$A$32*BEN!J31</f>
        <v>1368893096.8999999</v>
      </c>
      <c r="C11" s="7">
        <f>BEN!$A$32*BEN!K31</f>
        <v>1398169553.8999999</v>
      </c>
      <c r="D11" s="7">
        <f>BEN!$A$32*BEN!L31</f>
        <v>1442050588.3</v>
      </c>
      <c r="E11" s="7">
        <f>BEN!$A$32*BEN!M31</f>
        <v>1509924857</v>
      </c>
      <c r="F11" s="7">
        <f>BEN!$A$32*BEN!N31</f>
        <v>1526733581.45</v>
      </c>
      <c r="G11" s="7">
        <f>BEN!$A$32*BEN!O31</f>
        <v>1518135725.3999999</v>
      </c>
      <c r="H11" s="7">
        <f>BEN!$A$32*BEN!P31</f>
        <v>1509537869.3499999</v>
      </c>
      <c r="I11" s="7">
        <f>BEN!$A$32*BEN!Q31</f>
        <v>1560306162.2166667</v>
      </c>
      <c r="J11" s="7">
        <f>BEN!$A$32*BEN!R31</f>
        <v>1611074455.0833335</v>
      </c>
      <c r="K11" s="7">
        <f>BEN!$A$32*BEN!S31</f>
        <v>1661842747.9500003</v>
      </c>
      <c r="L11" s="7">
        <f>BEN!$A$32*BEN!T31</f>
        <v>1678731393.7625003</v>
      </c>
      <c r="M11" s="7">
        <f>BEN!$A$32*BEN!U31</f>
        <v>1695620039.5750003</v>
      </c>
      <c r="N11" s="7">
        <f>BEN!$A$32*BEN!V31</f>
        <v>1712508685.3875003</v>
      </c>
      <c r="O11" s="7">
        <f>BEN!$A$32*BEN!W31</f>
        <v>1729397331.2000003</v>
      </c>
      <c r="P11" s="7">
        <f>BEN!$A$32*BEN!X31</f>
        <v>0</v>
      </c>
      <c r="Q11" s="7">
        <f>BEN!$A$32*BEN!Y31</f>
        <v>0</v>
      </c>
      <c r="R11" s="7">
        <f>BEN!$A$32*BEN!Z31</f>
        <v>0</v>
      </c>
      <c r="S11" s="7">
        <f>BEN!$A$32*BEN!AA31</f>
        <v>0</v>
      </c>
      <c r="T11" s="7">
        <f>BEN!$A$32*BEN!AB31</f>
        <v>0</v>
      </c>
      <c r="U11" s="7">
        <f>BEN!$A$32*BEN!AC31</f>
        <v>0</v>
      </c>
      <c r="V11" s="7">
        <f>BEN!$A$32*BEN!AD31</f>
        <v>0</v>
      </c>
      <c r="W11" s="7">
        <f>BEN!$A$32*BEN!AE31</f>
        <v>0</v>
      </c>
      <c r="X11" s="7">
        <f>BEN!$A$32*BEN!AF31</f>
        <v>0</v>
      </c>
      <c r="Y11" s="7">
        <f>BEN!$A$32*BEN!AG31</f>
        <v>0</v>
      </c>
      <c r="Z11" s="7">
        <f>BEN!$A$32*BEN!AH31</f>
        <v>0</v>
      </c>
      <c r="AA11" s="7">
        <f>BEN!$A$32*BEN!AI31</f>
        <v>0</v>
      </c>
      <c r="AB11" s="7">
        <f>BEN!$A$32*BEN!AJ31</f>
        <v>0</v>
      </c>
      <c r="AC11" s="7">
        <f>BEN!$A$32*BEN!AK31</f>
        <v>0</v>
      </c>
      <c r="AD11" s="7">
        <f>BEN!$A$32*BEN!AL31</f>
        <v>0</v>
      </c>
      <c r="AE11" s="7">
        <f>BEN!$A$32*BEN!AM31</f>
        <v>0</v>
      </c>
      <c r="AF11" s="7">
        <f>BEN!$A$32*BEN!AN31</f>
        <v>0</v>
      </c>
      <c r="AG11" s="7">
        <f>BEN!$A$32*BEN!AO31</f>
        <v>0</v>
      </c>
    </row>
    <row r="12" spans="1:53" x14ac:dyDescent="0.45">
      <c r="A12" s="1" t="s">
        <v>22</v>
      </c>
      <c r="B12" s="7">
        <f>BEN!$A$36*BEN!J35</f>
        <v>757685627.5999999</v>
      </c>
      <c r="C12" s="7">
        <f>BEN!$A$36*BEN!K35</f>
        <v>702576907.89999998</v>
      </c>
      <c r="D12" s="7">
        <f>BEN!$A$36*BEN!L35</f>
        <v>644364685.79999995</v>
      </c>
      <c r="E12" s="7">
        <f>BEN!$A$36*BEN!M35</f>
        <v>700119968.5</v>
      </c>
      <c r="F12" s="7">
        <f>BEN!$A$36*BEN!N35</f>
        <v>712817193.0827477</v>
      </c>
      <c r="G12" s="7">
        <f>BEN!$A$36*BEN!O35</f>
        <v>753352099.9843781</v>
      </c>
      <c r="H12" s="7">
        <f>BEN!$A$36*BEN!P35</f>
        <v>770947340.55689454</v>
      </c>
      <c r="I12" s="7">
        <f>BEN!$A$36*BEN!Q35</f>
        <v>799856244.8283236</v>
      </c>
      <c r="J12" s="7">
        <f>BEN!$A$36*BEN!R35</f>
        <v>843692127.67102146</v>
      </c>
      <c r="K12" s="7">
        <f>BEN!$A$36*BEN!S35</f>
        <v>866988506.3945533</v>
      </c>
      <c r="L12" s="7">
        <f>BEN!$A$36*BEN!T35</f>
        <v>907454513.33578086</v>
      </c>
      <c r="M12" s="7">
        <f>BEN!$A$36*BEN!U35</f>
        <v>936841361.7535342</v>
      </c>
      <c r="N12" s="7">
        <f>BEN!$A$36*BEN!V35</f>
        <v>986284118.41784346</v>
      </c>
      <c r="O12" s="7">
        <f>BEN!$A$36*BEN!W35</f>
        <v>1016116853.9739968</v>
      </c>
      <c r="P12" s="7">
        <f>BEN!$A$36*BEN!X35</f>
        <v>0</v>
      </c>
      <c r="Q12" s="7">
        <f>BEN!$A$36*BEN!Y35</f>
        <v>0</v>
      </c>
      <c r="R12" s="7">
        <f>BEN!$A$36*BEN!Z35</f>
        <v>0</v>
      </c>
      <c r="S12" s="7">
        <f>BEN!$A$36*BEN!AA35</f>
        <v>0</v>
      </c>
      <c r="T12" s="7">
        <f>BEN!$A$36*BEN!AB35</f>
        <v>0</v>
      </c>
      <c r="U12" s="7">
        <f>BEN!$A$36*BEN!AC35</f>
        <v>0</v>
      </c>
      <c r="V12" s="7">
        <f>BEN!$A$36*BEN!AD35</f>
        <v>0</v>
      </c>
      <c r="W12" s="7">
        <f>BEN!$A$36*BEN!AE35</f>
        <v>0</v>
      </c>
      <c r="X12" s="7">
        <f>BEN!$A$36*BEN!AF35</f>
        <v>0</v>
      </c>
      <c r="Y12" s="7">
        <f>BEN!$A$36*BEN!AG35</f>
        <v>0</v>
      </c>
      <c r="Z12" s="7">
        <f>BEN!$A$36*BEN!AH35</f>
        <v>0</v>
      </c>
      <c r="AA12" s="7">
        <f>BEN!$A$36*BEN!AI35</f>
        <v>0</v>
      </c>
      <c r="AB12" s="7">
        <f>BEN!$A$36*BEN!AJ35</f>
        <v>0</v>
      </c>
      <c r="AC12" s="7">
        <f>BEN!$A$36*BEN!AK35</f>
        <v>0</v>
      </c>
      <c r="AD12" s="7">
        <f>BEN!$A$36*BEN!AL35</f>
        <v>0</v>
      </c>
      <c r="AE12" s="7">
        <f>BEN!$A$36*BEN!AM35</f>
        <v>0</v>
      </c>
      <c r="AF12" s="7">
        <f>BEN!$A$36*BEN!AN35</f>
        <v>0</v>
      </c>
      <c r="AG12" s="7">
        <f>BEN!$A$36*BEN!AO35</f>
        <v>0</v>
      </c>
    </row>
    <row r="13" spans="1:53" x14ac:dyDescent="0.45">
      <c r="A13" s="1" t="s">
        <v>23</v>
      </c>
      <c r="B13" s="7">
        <f>BEN!$A$40*BEN!J39</f>
        <v>173294135.51441839</v>
      </c>
      <c r="C13" s="7">
        <f>BEN!$A$40*BEN!K39</f>
        <v>188154604.93395326</v>
      </c>
      <c r="D13" s="7">
        <f>BEN!$A$40*BEN!L39</f>
        <v>197925071.04837185</v>
      </c>
      <c r="E13" s="7">
        <f>BEN!$A$40*BEN!M39</f>
        <v>197925071.04837185</v>
      </c>
      <c r="F13" s="7">
        <f>BEN!$A$40*BEN!N39</f>
        <v>214606606.16188231</v>
      </c>
      <c r="G13" s="7">
        <f>BEN!$A$40*BEN!O39</f>
        <v>255433990.71850091</v>
      </c>
      <c r="H13" s="7">
        <f>BEN!$A$40*BEN!P39</f>
        <v>279100293.83729184</v>
      </c>
      <c r="I13" s="7">
        <f>BEN!$A$40*BEN!Q39</f>
        <v>303489399.36507875</v>
      </c>
      <c r="J13" s="7">
        <f>BEN!$A$40*BEN!R39</f>
        <v>328601307.3018617</v>
      </c>
      <c r="K13" s="7">
        <f>BEN!$A$40*BEN!S39</f>
        <v>354436017.64764047</v>
      </c>
      <c r="L13" s="7">
        <f>BEN!$A$40*BEN!T39</f>
        <v>380993530.40241516</v>
      </c>
      <c r="M13" s="7">
        <f>BEN!$A$40*BEN!U39</f>
        <v>408273845.56618583</v>
      </c>
      <c r="N13" s="7">
        <f>BEN!$A$40*BEN!V39</f>
        <v>415501869.65614522</v>
      </c>
      <c r="O13" s="7">
        <f>BEN!$A$40*BEN!W39</f>
        <v>422729893.74610424</v>
      </c>
      <c r="P13" s="7">
        <f>BEN!$A$40*BEN!X39</f>
        <v>0</v>
      </c>
      <c r="Q13" s="7">
        <f>BEN!$A$40*BEN!Y39</f>
        <v>0</v>
      </c>
      <c r="R13" s="7">
        <f>BEN!$A$40*BEN!Z39</f>
        <v>0</v>
      </c>
      <c r="S13" s="7">
        <f>BEN!$A$40*BEN!AA39</f>
        <v>0</v>
      </c>
      <c r="T13" s="7">
        <f>BEN!$A$40*BEN!AB39</f>
        <v>0</v>
      </c>
      <c r="U13" s="7">
        <f>BEN!$A$40*BEN!AC39</f>
        <v>0</v>
      </c>
      <c r="V13" s="7">
        <f>BEN!$A$40*BEN!AD39</f>
        <v>0</v>
      </c>
      <c r="W13" s="7">
        <f>BEN!$A$40*BEN!AE39</f>
        <v>0</v>
      </c>
      <c r="X13" s="7">
        <f>BEN!$A$40*BEN!AF39</f>
        <v>0</v>
      </c>
      <c r="Y13" s="7">
        <f>BEN!$A$40*BEN!AG39</f>
        <v>0</v>
      </c>
      <c r="Z13" s="7">
        <f>BEN!$A$40*BEN!AH39</f>
        <v>0</v>
      </c>
      <c r="AA13" s="7">
        <f>BEN!$A$40*BEN!AI39</f>
        <v>0</v>
      </c>
      <c r="AB13" s="7">
        <f>BEN!$A$40*BEN!AJ39</f>
        <v>0</v>
      </c>
      <c r="AC13" s="7">
        <f>BEN!$A$40*BEN!AK39</f>
        <v>0</v>
      </c>
      <c r="AD13" s="7">
        <f>BEN!$A$40*BEN!AL39</f>
        <v>0</v>
      </c>
      <c r="AE13" s="7">
        <f>BEN!$A$40*BEN!AM39</f>
        <v>0</v>
      </c>
      <c r="AF13" s="7">
        <f>BEN!$A$40*BEN!AN39</f>
        <v>0</v>
      </c>
      <c r="AG13" s="7">
        <f>BEN!$A$40*BEN!AO39</f>
        <v>0</v>
      </c>
    </row>
    <row r="14" spans="1:53" x14ac:dyDescent="0.45">
      <c r="A14" s="1" t="s">
        <v>153</v>
      </c>
      <c r="B14" s="7">
        <f>BEN!$B$44*BEN!J43</f>
        <v>197896536.49635035</v>
      </c>
      <c r="C14" s="7">
        <f>BEN!$B$44*BEN!K43</f>
        <v>108809364.96350364</v>
      </c>
      <c r="D14" s="7">
        <f>BEN!$B$44*BEN!L43</f>
        <v>134602978.10218978</v>
      </c>
      <c r="E14" s="7">
        <f>BEN!$B$44*BEN!M43</f>
        <v>159999766.42335767</v>
      </c>
      <c r="F14" s="7">
        <f>BEN!$B$44*BEN!N43</f>
        <v>171267355.60810116</v>
      </c>
      <c r="G14" s="7">
        <f>BEN!$B$44*BEN!O43</f>
        <v>182534944.79284465</v>
      </c>
      <c r="H14" s="7">
        <f>BEN!$B$44*BEN!P43</f>
        <v>193802533.97758818</v>
      </c>
      <c r="I14" s="7">
        <f>BEN!$B$44*BEN!Q43</f>
        <v>208825986.22391281</v>
      </c>
      <c r="J14" s="7">
        <f>BEN!$B$44*BEN!R43</f>
        <v>216337712.34707513</v>
      </c>
      <c r="K14" s="7">
        <f>BEN!$B$44*BEN!S43</f>
        <v>216337712.34707513</v>
      </c>
      <c r="L14" s="7">
        <f>BEN!$B$44*BEN!T43</f>
        <v>218027850.7247867</v>
      </c>
      <c r="M14" s="7">
        <f>BEN!$B$44*BEN!U43</f>
        <v>219717989.1024982</v>
      </c>
      <c r="N14" s="7">
        <f>BEN!$B$44*BEN!V43</f>
        <v>221408127.48020974</v>
      </c>
      <c r="O14" s="7">
        <f>BEN!$B$44*BEN!W43</f>
        <v>223098265.8579213</v>
      </c>
      <c r="P14" s="7">
        <f>BEN!$B$44*BEN!X43</f>
        <v>0</v>
      </c>
      <c r="Q14" s="7">
        <f>BEN!$B$44*BEN!Y43</f>
        <v>0</v>
      </c>
      <c r="R14" s="7">
        <f>BEN!$B$44*BEN!Z43</f>
        <v>0</v>
      </c>
      <c r="S14" s="7">
        <f>BEN!$B$44*BEN!AA43</f>
        <v>0</v>
      </c>
      <c r="T14" s="7">
        <f>BEN!$B$44*BEN!AB43</f>
        <v>0</v>
      </c>
      <c r="U14" s="7">
        <f>BEN!$B$44*BEN!AC43</f>
        <v>0</v>
      </c>
      <c r="V14" s="7">
        <f>BEN!$B$44*BEN!AD43</f>
        <v>0</v>
      </c>
      <c r="W14" s="7">
        <f>BEN!$B$44*BEN!AE43</f>
        <v>0</v>
      </c>
      <c r="X14" s="7">
        <f>BEN!$B$44*BEN!AF43</f>
        <v>0</v>
      </c>
      <c r="Y14" s="7">
        <f>BEN!$B$44*BEN!AG43</f>
        <v>0</v>
      </c>
      <c r="Z14" s="7">
        <f>BEN!$B$44*BEN!AH43</f>
        <v>0</v>
      </c>
      <c r="AA14" s="7">
        <f>BEN!$B$44*BEN!AI43</f>
        <v>0</v>
      </c>
      <c r="AB14" s="7">
        <f>BEN!$B$44*BEN!AJ43</f>
        <v>0</v>
      </c>
      <c r="AC14" s="7">
        <f>BEN!$B$44*BEN!AK43</f>
        <v>0</v>
      </c>
      <c r="AD14" s="7">
        <f>BEN!$B$44*BEN!AL43</f>
        <v>0</v>
      </c>
      <c r="AE14" s="7">
        <f>BEN!$B$44*BEN!AM43</f>
        <v>0</v>
      </c>
      <c r="AF14" s="7">
        <f>BEN!$B$44*BEN!AN43</f>
        <v>0</v>
      </c>
      <c r="AG14" s="7">
        <f>BEN!$B$44*BEN!AO43</f>
        <v>0</v>
      </c>
    </row>
    <row r="15" spans="1:53" x14ac:dyDescent="0.45">
      <c r="A15" s="1" t="s">
        <v>154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</row>
    <row r="16" spans="1:53" x14ac:dyDescent="0.45">
      <c r="A16" s="1" t="s">
        <v>155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</row>
    <row r="17" spans="1:53" x14ac:dyDescent="0.45">
      <c r="A17" s="1" t="s">
        <v>59</v>
      </c>
      <c r="B17" s="7">
        <f>BEN!$A$50*BEN!J49</f>
        <v>129082600</v>
      </c>
      <c r="C17" s="7">
        <f>BEN!$A$50*BEN!K49</f>
        <v>130776660</v>
      </c>
      <c r="D17" s="7">
        <f>BEN!$A$50*BEN!L49</f>
        <v>159026900</v>
      </c>
      <c r="E17" s="7">
        <f>BEN!$A$50*BEN!M49</f>
        <v>146070920</v>
      </c>
      <c r="F17" s="7">
        <f>BEN!$A$50*BEN!N49</f>
        <v>132562183.33333333</v>
      </c>
      <c r="G17" s="7">
        <f>BEN!$A$50*BEN!O49</f>
        <v>132562183.33333333</v>
      </c>
      <c r="H17" s="7">
        <f>BEN!$A$50*BEN!P49</f>
        <v>132562183.33333333</v>
      </c>
      <c r="I17" s="7">
        <f>BEN!$A$50*BEN!Q49</f>
        <v>132562183.33333333</v>
      </c>
      <c r="J17" s="7">
        <f>BEN!$A$50*BEN!R49</f>
        <v>132562183.33333333</v>
      </c>
      <c r="K17" s="7">
        <f>BEN!$A$50*BEN!S49</f>
        <v>132562183.33333333</v>
      </c>
      <c r="L17" s="7">
        <f>BEN!$A$50*BEN!T49</f>
        <v>132562183.33333333</v>
      </c>
      <c r="M17" s="7">
        <f>BEN!$A$50*BEN!U49</f>
        <v>132562183.33333333</v>
      </c>
      <c r="N17" s="7">
        <f>BEN!$A$50*BEN!V49</f>
        <v>132562183.33333333</v>
      </c>
      <c r="O17" s="7">
        <f>BEN!$A$50*BEN!W49</f>
        <v>132562183.33333333</v>
      </c>
      <c r="P17" s="7">
        <f>BEN!$A$50*BEN!X49</f>
        <v>0</v>
      </c>
      <c r="Q17" s="7">
        <f>BEN!$A$50*BEN!Y49</f>
        <v>0</v>
      </c>
      <c r="R17" s="7">
        <f>BEN!$A$50*BEN!Z49</f>
        <v>0</v>
      </c>
      <c r="S17" s="7">
        <f>BEN!$A$50*BEN!AA49</f>
        <v>0</v>
      </c>
      <c r="T17" s="7">
        <f>BEN!$A$50*BEN!AB49</f>
        <v>0</v>
      </c>
      <c r="U17" s="7">
        <f>BEN!$A$50*BEN!AC49</f>
        <v>0</v>
      </c>
      <c r="V17" s="7">
        <f>BEN!$A$50*BEN!AD49</f>
        <v>0</v>
      </c>
      <c r="W17" s="7">
        <f>BEN!$A$50*BEN!AE49</f>
        <v>0</v>
      </c>
      <c r="X17" s="7">
        <f>BEN!$A$50*BEN!AF49</f>
        <v>0</v>
      </c>
      <c r="Y17" s="7">
        <f>BEN!$A$50*BEN!AG49</f>
        <v>0</v>
      </c>
      <c r="Z17" s="7">
        <f>BEN!$A$50*BEN!AH49</f>
        <v>0</v>
      </c>
      <c r="AA17" s="7">
        <f>BEN!$A$50*BEN!AI49</f>
        <v>0</v>
      </c>
      <c r="AB17" s="7">
        <f>BEN!$A$50*BEN!AJ49</f>
        <v>0</v>
      </c>
      <c r="AC17" s="7">
        <f>BEN!$A$50*BEN!AK49</f>
        <v>0</v>
      </c>
      <c r="AD17" s="7">
        <f>BEN!$A$50*BEN!AL49</f>
        <v>0</v>
      </c>
      <c r="AE17" s="7">
        <f>BEN!$A$50*BEN!AM49</f>
        <v>0</v>
      </c>
      <c r="AF17" s="7">
        <f>BEN!$A$50*BEN!AN49</f>
        <v>0</v>
      </c>
      <c r="AG17" s="7">
        <f>BEN!$A$50*BEN!AO49</f>
        <v>0</v>
      </c>
    </row>
    <row r="18" spans="1:53" x14ac:dyDescent="0.45">
      <c r="A18" s="1" t="s">
        <v>25</v>
      </c>
      <c r="B18" s="8">
        <f>BEN!$A$54*BEN!J53</f>
        <v>5719962008</v>
      </c>
      <c r="C18" s="8">
        <f>BEN!$A$54*BEN!K53</f>
        <v>6050220626</v>
      </c>
      <c r="D18" s="8">
        <f>BEN!$A$54*BEN!L53</f>
        <v>5961113312</v>
      </c>
      <c r="E18" s="8">
        <f>BEN!$A$54*BEN!M53</f>
        <v>6199403858</v>
      </c>
      <c r="F18" s="8">
        <f>BEN!$A$54*BEN!N53</f>
        <v>6819344243.8000002</v>
      </c>
      <c r="G18" s="8">
        <f>BEN!$A$54*BEN!O53</f>
        <v>7852578220.1333323</v>
      </c>
      <c r="H18" s="8">
        <f>BEN!$A$54*BEN!P53</f>
        <v>8472518605.9333315</v>
      </c>
      <c r="I18" s="8">
        <f>BEN!$A$54*BEN!Q53</f>
        <v>9299105786.9999981</v>
      </c>
      <c r="J18" s="8">
        <f>BEN!$A$54*BEN!R53</f>
        <v>9712399377.5333328</v>
      </c>
      <c r="K18" s="8">
        <f>BEN!$A$54*BEN!S53</f>
        <v>10538986558.599998</v>
      </c>
      <c r="L18" s="8">
        <f>BEN!$A$54*BEN!T53</f>
        <v>11158926944.4</v>
      </c>
      <c r="M18" s="8">
        <f>BEN!$A$54*BEN!U53</f>
        <v>10952280149.133331</v>
      </c>
      <c r="N18" s="8">
        <f>BEN!$A$54*BEN!V53</f>
        <v>10745633353.866665</v>
      </c>
      <c r="O18" s="8">
        <f>BEN!$A$54*BEN!W53</f>
        <v>10125692968.066666</v>
      </c>
      <c r="P18" s="8">
        <f>BEN!$A$54*BEN!X53</f>
        <v>0</v>
      </c>
      <c r="Q18" s="8">
        <f>BEN!$A$54*BEN!Y53</f>
        <v>0</v>
      </c>
      <c r="R18" s="8">
        <f>BEN!$A$54*BEN!Z53</f>
        <v>0</v>
      </c>
      <c r="S18" s="8">
        <f>BEN!$A$54*BEN!AA53</f>
        <v>0</v>
      </c>
      <c r="T18" s="8">
        <f>BEN!$A$54*BEN!AB53</f>
        <v>0</v>
      </c>
      <c r="U18" s="8">
        <f>BEN!$A$54*BEN!AC53</f>
        <v>0</v>
      </c>
      <c r="V18" s="8">
        <f>BEN!$A$54*BEN!AD53</f>
        <v>0</v>
      </c>
      <c r="W18" s="8">
        <f>BEN!$A$54*BEN!AE53</f>
        <v>0</v>
      </c>
      <c r="X18" s="8">
        <f>BEN!$A$54*BEN!AF53</f>
        <v>0</v>
      </c>
      <c r="Y18" s="8">
        <f>BEN!$A$54*BEN!AG53</f>
        <v>0</v>
      </c>
      <c r="Z18" s="8">
        <f>BEN!$A$54*BEN!AH53</f>
        <v>0</v>
      </c>
      <c r="AA18" s="8">
        <f>BEN!$A$54*BEN!AI53</f>
        <v>0</v>
      </c>
      <c r="AB18" s="8">
        <f>BEN!$A$54*BEN!AJ53</f>
        <v>0</v>
      </c>
      <c r="AC18" s="8">
        <f>BEN!$A$54*BEN!AK53</f>
        <v>0</v>
      </c>
      <c r="AD18" s="8">
        <f>BEN!$A$54*BEN!AL53</f>
        <v>0</v>
      </c>
      <c r="AE18" s="8">
        <f>BEN!$A$54*BEN!AM53</f>
        <v>0</v>
      </c>
      <c r="AF18" s="8">
        <f>BEN!$A$54*BEN!AN53</f>
        <v>0</v>
      </c>
      <c r="AG18" s="8">
        <f>BEN!$A$54*BEN!AO53</f>
        <v>0</v>
      </c>
    </row>
    <row r="19" spans="1:53" x14ac:dyDescent="0.45">
      <c r="A19" s="1" t="s">
        <v>26</v>
      </c>
      <c r="B19" s="7">
        <f>BEN!$A$58*BEN!J57</f>
        <v>464686572</v>
      </c>
      <c r="C19" s="7">
        <f>BEN!$A$58*BEN!K57</f>
        <v>665243109</v>
      </c>
      <c r="D19" s="7">
        <f>BEN!$A$58*BEN!L57</f>
        <v>653925963</v>
      </c>
      <c r="E19" s="7">
        <f>BEN!$A$58*BEN!M57</f>
        <v>700447788</v>
      </c>
      <c r="F19" s="7">
        <f>BEN!$A$58*BEN!N57</f>
        <v>691694089.5</v>
      </c>
      <c r="G19" s="7">
        <f>BEN!$A$58*BEN!O57</f>
        <v>699086945.49999988</v>
      </c>
      <c r="H19" s="7">
        <f>BEN!$A$58*BEN!P57</f>
        <v>706479801.50000012</v>
      </c>
      <c r="I19" s="7">
        <f>BEN!$A$58*BEN!Q57</f>
        <v>713872657.5</v>
      </c>
      <c r="J19" s="7">
        <f>BEN!$A$58*BEN!R57</f>
        <v>701859266.5</v>
      </c>
      <c r="K19" s="7">
        <f>BEN!$A$58*BEN!S57</f>
        <v>689845875.5</v>
      </c>
      <c r="L19" s="7">
        <f>BEN!$A$58*BEN!T57</f>
        <v>677832484.5</v>
      </c>
      <c r="M19" s="7">
        <f>BEN!$A$58*BEN!U57</f>
        <v>656346996.75</v>
      </c>
      <c r="N19" s="7">
        <f>BEN!$A$58*BEN!V57</f>
        <v>634861509</v>
      </c>
      <c r="O19" s="7">
        <f>BEN!$A$58*BEN!W57</f>
        <v>613376021.25</v>
      </c>
      <c r="P19" s="7">
        <f>BEN!$A$58*BEN!X57</f>
        <v>0</v>
      </c>
      <c r="Q19" s="7">
        <f>BEN!$A$58*BEN!Y57</f>
        <v>0</v>
      </c>
      <c r="R19" s="7">
        <f>BEN!$A$58*BEN!Z57</f>
        <v>0</v>
      </c>
      <c r="S19" s="7">
        <f>BEN!$A$58*BEN!AA57</f>
        <v>0</v>
      </c>
      <c r="T19" s="7">
        <f>BEN!$A$58*BEN!AB57</f>
        <v>0</v>
      </c>
      <c r="U19" s="7">
        <f>BEN!$A$58*BEN!AC57</f>
        <v>0</v>
      </c>
      <c r="V19" s="7">
        <f>BEN!$A$58*BEN!AD57</f>
        <v>0</v>
      </c>
      <c r="W19" s="7">
        <f>BEN!$A$58*BEN!AE57</f>
        <v>0</v>
      </c>
      <c r="X19" s="7">
        <f>BEN!$A$58*BEN!AF57</f>
        <v>0</v>
      </c>
      <c r="Y19" s="7">
        <f>BEN!$A$58*BEN!AG57</f>
        <v>0</v>
      </c>
      <c r="Z19" s="7">
        <f>BEN!$A$58*BEN!AH57</f>
        <v>0</v>
      </c>
      <c r="AA19" s="7">
        <f>BEN!$A$58*BEN!AI57</f>
        <v>0</v>
      </c>
      <c r="AB19" s="7">
        <f>BEN!$A$58*BEN!AJ57</f>
        <v>0</v>
      </c>
      <c r="AC19" s="7">
        <f>BEN!$A$58*BEN!AK57</f>
        <v>0</v>
      </c>
      <c r="AD19" s="7">
        <f>BEN!$A$58*BEN!AL57</f>
        <v>0</v>
      </c>
      <c r="AE19" s="7">
        <f>BEN!$A$58*BEN!AM57</f>
        <v>0</v>
      </c>
      <c r="AF19" s="7">
        <f>BEN!$A$58*BEN!AN57</f>
        <v>0</v>
      </c>
      <c r="AG19" s="7">
        <f>BEN!$A$58*BEN!AO57</f>
        <v>0</v>
      </c>
    </row>
    <row r="20" spans="1:53" x14ac:dyDescent="0.45">
      <c r="A20" s="1" t="s">
        <v>27</v>
      </c>
      <c r="B20" s="7">
        <f>BEN!$A$62*BEN!J61</f>
        <v>249379420</v>
      </c>
      <c r="C20" s="7">
        <f>BEN!$A$62*BEN!K61</f>
        <v>253574540</v>
      </c>
      <c r="D20" s="7">
        <f>BEN!$A$62*BEN!L61</f>
        <v>245823800</v>
      </c>
      <c r="E20" s="7">
        <f>BEN!$A$62*BEN!M61</f>
        <v>256439500</v>
      </c>
      <c r="F20" s="7">
        <f>BEN!$A$62*BEN!N61</f>
        <v>283835680</v>
      </c>
      <c r="G20" s="7">
        <f>BEN!$A$62*BEN!O61</f>
        <v>309044769.99999994</v>
      </c>
      <c r="H20" s="7">
        <f>BEN!$A$62*BEN!P61</f>
        <v>334253859.99999994</v>
      </c>
      <c r="I20" s="7">
        <f>BEN!$A$62*BEN!Q61</f>
        <v>340167103.33333331</v>
      </c>
      <c r="J20" s="7">
        <f>BEN!$A$62*BEN!R61</f>
        <v>346080346.66666669</v>
      </c>
      <c r="K20" s="7">
        <f>BEN!$A$62*BEN!S61</f>
        <v>351993590.00000006</v>
      </c>
      <c r="L20" s="7">
        <f>BEN!$A$62*BEN!T61</f>
        <v>364131300</v>
      </c>
      <c r="M20" s="7">
        <f>BEN!$A$62*BEN!U61</f>
        <v>376269009.99999994</v>
      </c>
      <c r="N20" s="7">
        <f>BEN!$A$62*BEN!V61</f>
        <v>388406720</v>
      </c>
      <c r="O20" s="7">
        <f>BEN!$A$62*BEN!W61</f>
        <v>400544430</v>
      </c>
      <c r="P20" s="7">
        <f>BEN!$A$62*BEN!X61</f>
        <v>0</v>
      </c>
      <c r="Q20" s="7">
        <f>BEN!$A$62*BEN!Y61</f>
        <v>0</v>
      </c>
      <c r="R20" s="7">
        <f>BEN!$A$62*BEN!Z61</f>
        <v>0</v>
      </c>
      <c r="S20" s="7">
        <f>BEN!$A$62*BEN!AA61</f>
        <v>0</v>
      </c>
      <c r="T20" s="7">
        <f>BEN!$A$62*BEN!AB61</f>
        <v>0</v>
      </c>
      <c r="U20" s="7">
        <f>BEN!$A$62*BEN!AC61</f>
        <v>0</v>
      </c>
      <c r="V20" s="7">
        <f>BEN!$A$62*BEN!AD61</f>
        <v>0</v>
      </c>
      <c r="W20" s="7">
        <f>BEN!$A$62*BEN!AE61</f>
        <v>0</v>
      </c>
      <c r="X20" s="7">
        <f>BEN!$A$62*BEN!AF61</f>
        <v>0</v>
      </c>
      <c r="Y20" s="7">
        <f>BEN!$A$62*BEN!AG61</f>
        <v>0</v>
      </c>
      <c r="Z20" s="7">
        <f>BEN!$A$62*BEN!AH61</f>
        <v>0</v>
      </c>
      <c r="AA20" s="7">
        <f>BEN!$A$62*BEN!AI61</f>
        <v>0</v>
      </c>
      <c r="AB20" s="7">
        <f>BEN!$A$62*BEN!AJ61</f>
        <v>0</v>
      </c>
      <c r="AC20" s="7">
        <f>BEN!$A$62*BEN!AK61</f>
        <v>0</v>
      </c>
      <c r="AD20" s="7">
        <f>BEN!$A$62*BEN!AL61</f>
        <v>0</v>
      </c>
      <c r="AE20" s="7">
        <f>BEN!$A$62*BEN!AM61</f>
        <v>0</v>
      </c>
      <c r="AF20" s="7">
        <f>BEN!$A$62*BEN!AN61</f>
        <v>0</v>
      </c>
      <c r="AG20" s="7">
        <f>BEN!$A$62*BEN!AO61</f>
        <v>0</v>
      </c>
    </row>
    <row r="21" spans="1:53" x14ac:dyDescent="0.45">
      <c r="A21" s="1" t="s">
        <v>156</v>
      </c>
      <c r="B21" s="7">
        <f>BEN!J65</f>
        <v>0</v>
      </c>
      <c r="C21" s="7">
        <f>BEN!K65</f>
        <v>0</v>
      </c>
      <c r="D21" s="7">
        <f>BEN!L65</f>
        <v>0</v>
      </c>
      <c r="E21" s="7">
        <f>BEN!M65</f>
        <v>0</v>
      </c>
      <c r="F21" s="7">
        <f>BEN!N65</f>
        <v>0</v>
      </c>
      <c r="G21" s="7">
        <f>BEN!O65</f>
        <v>0</v>
      </c>
      <c r="H21" s="7">
        <f>BEN!P65</f>
        <v>0</v>
      </c>
      <c r="I21" s="7">
        <f>BEN!Q65</f>
        <v>0</v>
      </c>
      <c r="J21" s="7">
        <f>BEN!R65</f>
        <v>0</v>
      </c>
      <c r="K21" s="7">
        <f>BEN!S65</f>
        <v>0</v>
      </c>
      <c r="L21" s="7">
        <f>BEN!T65</f>
        <v>0</v>
      </c>
      <c r="M21" s="7">
        <f>BEN!U65</f>
        <v>0</v>
      </c>
      <c r="N21" s="7">
        <f>BEN!V65</f>
        <v>0</v>
      </c>
      <c r="O21" s="7">
        <f>BEN!W65</f>
        <v>0</v>
      </c>
      <c r="P21" s="7">
        <f>BEN!X65</f>
        <v>0</v>
      </c>
      <c r="Q21" s="7">
        <f>BEN!Y65</f>
        <v>0</v>
      </c>
      <c r="R21" s="7">
        <f>BEN!Z65</f>
        <v>0</v>
      </c>
      <c r="S21" s="7">
        <f>BEN!AA65</f>
        <v>0</v>
      </c>
      <c r="T21" s="7">
        <f>BEN!AB65</f>
        <v>0</v>
      </c>
      <c r="U21" s="7">
        <f>BEN!AC65</f>
        <v>0</v>
      </c>
      <c r="V21" s="7">
        <f>BEN!AD65</f>
        <v>0</v>
      </c>
      <c r="W21" s="7">
        <f>BEN!AE65</f>
        <v>0</v>
      </c>
      <c r="X21" s="7">
        <f>BEN!AF65</f>
        <v>0</v>
      </c>
      <c r="Y21" s="7">
        <f>BEN!AG65</f>
        <v>0</v>
      </c>
      <c r="Z21" s="7">
        <f>BEN!AH65</f>
        <v>0</v>
      </c>
      <c r="AA21" s="7">
        <f>BEN!AI65</f>
        <v>0</v>
      </c>
      <c r="AB21" s="7">
        <f>BEN!AJ65</f>
        <v>0</v>
      </c>
      <c r="AC21" s="7">
        <f>BEN!AK65</f>
        <v>0</v>
      </c>
      <c r="AD21" s="7">
        <f>BEN!AL65</f>
        <v>0</v>
      </c>
      <c r="AE21" s="7">
        <f>BEN!AM65</f>
        <v>0</v>
      </c>
      <c r="AF21" s="7">
        <f>BEN!AN65</f>
        <v>0</v>
      </c>
      <c r="AG21" s="7">
        <f>BEN!AO65</f>
        <v>0</v>
      </c>
      <c r="AH21" s="7">
        <f>BEN!AP65</f>
        <v>0</v>
      </c>
      <c r="AI21" s="7">
        <f>BEN!AQ65</f>
        <v>0</v>
      </c>
      <c r="AJ21" s="7">
        <f>BEN!AR65</f>
        <v>0</v>
      </c>
      <c r="AK21" s="7">
        <f>BEN!AS65</f>
        <v>0</v>
      </c>
      <c r="AL21" s="7">
        <f>BEN!AT65</f>
        <v>0</v>
      </c>
      <c r="AM21" s="7">
        <f>BEN!AU65</f>
        <v>0</v>
      </c>
      <c r="AN21" s="7">
        <f>BEN!AV65</f>
        <v>0</v>
      </c>
      <c r="AO21" s="7">
        <f>BEN!AW65</f>
        <v>0</v>
      </c>
      <c r="AP21" s="7">
        <f>BEN!AX65</f>
        <v>0</v>
      </c>
      <c r="AQ21" s="7">
        <f>BEN!AY65</f>
        <v>0</v>
      </c>
      <c r="AR21" s="7">
        <f>BEN!AZ65</f>
        <v>0</v>
      </c>
      <c r="AS21" s="7">
        <f>BEN!BA65</f>
        <v>0</v>
      </c>
      <c r="AT21" s="7">
        <f>BEN!BB65</f>
        <v>0</v>
      </c>
      <c r="AU21" s="7">
        <f>BEN!BC65</f>
        <v>0</v>
      </c>
      <c r="AV21" s="7">
        <f>BEN!BD65</f>
        <v>0</v>
      </c>
      <c r="AW21" s="7">
        <f>BEN!BE65</f>
        <v>0</v>
      </c>
      <c r="AX21" s="7">
        <f>BEN!BF65</f>
        <v>0</v>
      </c>
      <c r="AY21" s="7">
        <f>BEN!BG65</f>
        <v>0</v>
      </c>
      <c r="AZ21" s="7">
        <f>BEN!BH65</f>
        <v>0</v>
      </c>
      <c r="BA21" s="7">
        <f>BEN!BI65</f>
        <v>0</v>
      </c>
    </row>
    <row r="22" spans="1:53" x14ac:dyDescent="0.45">
      <c r="A22" s="1" t="s">
        <v>63</v>
      </c>
      <c r="B22" s="7">
        <f>BEN!J66</f>
        <v>0</v>
      </c>
      <c r="C22" s="7">
        <f>BEN!K66</f>
        <v>0</v>
      </c>
      <c r="D22" s="7">
        <f>BEN!L66</f>
        <v>0</v>
      </c>
      <c r="E22" s="7">
        <f>BEN!M66</f>
        <v>0</v>
      </c>
      <c r="F22" s="7">
        <f>BEN!N66</f>
        <v>0</v>
      </c>
      <c r="G22" s="7">
        <f>BEN!O66</f>
        <v>0</v>
      </c>
      <c r="H22" s="7">
        <f>BEN!P66</f>
        <v>0</v>
      </c>
      <c r="I22" s="7">
        <f>BEN!Q66</f>
        <v>0</v>
      </c>
      <c r="J22" s="7">
        <f>BEN!R66</f>
        <v>0</v>
      </c>
      <c r="K22" s="7">
        <f>BEN!S66</f>
        <v>0</v>
      </c>
      <c r="L22" s="7">
        <f>BEN!T66</f>
        <v>0</v>
      </c>
      <c r="M22" s="7">
        <f>BEN!U66</f>
        <v>0</v>
      </c>
      <c r="N22" s="7">
        <f>BEN!V66</f>
        <v>0</v>
      </c>
      <c r="O22" s="7">
        <f>BEN!W66</f>
        <v>0</v>
      </c>
      <c r="P22" s="7">
        <f>BEN!X66</f>
        <v>0</v>
      </c>
      <c r="Q22" s="7">
        <f>BEN!Y66</f>
        <v>0</v>
      </c>
      <c r="R22" s="7">
        <f>BEN!Z66</f>
        <v>0</v>
      </c>
      <c r="S22" s="7">
        <f>BEN!AA66</f>
        <v>0</v>
      </c>
      <c r="T22" s="7">
        <f>BEN!AB66</f>
        <v>0</v>
      </c>
      <c r="U22" s="7">
        <f>BEN!AC66</f>
        <v>0</v>
      </c>
      <c r="V22" s="7">
        <f>BEN!AD66</f>
        <v>0</v>
      </c>
      <c r="W22" s="7">
        <f>BEN!AE66</f>
        <v>0</v>
      </c>
      <c r="X22" s="7">
        <f>BEN!AF66</f>
        <v>0</v>
      </c>
      <c r="Y22" s="7">
        <f>BEN!AG66</f>
        <v>0</v>
      </c>
      <c r="Z22" s="7">
        <f>BEN!AH66</f>
        <v>0</v>
      </c>
      <c r="AA22" s="7">
        <f>BEN!AI66</f>
        <v>0</v>
      </c>
      <c r="AB22" s="7">
        <f>BEN!AJ66</f>
        <v>0</v>
      </c>
      <c r="AC22" s="7">
        <f>BEN!AK66</f>
        <v>0</v>
      </c>
      <c r="AD22" s="7">
        <f>BEN!AL66</f>
        <v>0</v>
      </c>
      <c r="AE22" s="7">
        <f>BEN!AM66</f>
        <v>0</v>
      </c>
      <c r="AF22" s="7">
        <f>BEN!AN66</f>
        <v>0</v>
      </c>
      <c r="AG22" s="7">
        <f>BEN!AO66</f>
        <v>0</v>
      </c>
      <c r="AH22" s="7">
        <f>BEN!AP66</f>
        <v>0</v>
      </c>
      <c r="AI22" s="7">
        <f>BEN!AQ66</f>
        <v>0</v>
      </c>
      <c r="AJ22" s="7">
        <f>BEN!AR66</f>
        <v>0</v>
      </c>
      <c r="AK22" s="7">
        <f>BEN!AS66</f>
        <v>0</v>
      </c>
      <c r="AL22" s="7">
        <f>BEN!AT66</f>
        <v>0</v>
      </c>
      <c r="AM22" s="7">
        <f>BEN!AU66</f>
        <v>0</v>
      </c>
      <c r="AN22" s="7">
        <f>BEN!AV66</f>
        <v>0</v>
      </c>
      <c r="AO22" s="7">
        <f>BEN!AW66</f>
        <v>0</v>
      </c>
      <c r="AP22" s="7">
        <f>BEN!AX66</f>
        <v>0</v>
      </c>
      <c r="AQ22" s="7">
        <f>BEN!AY66</f>
        <v>0</v>
      </c>
      <c r="AR22" s="7">
        <f>BEN!AZ66</f>
        <v>0</v>
      </c>
      <c r="AS22" s="7">
        <f>BEN!BA66</f>
        <v>0</v>
      </c>
      <c r="AT22" s="7">
        <f>BEN!BB66</f>
        <v>0</v>
      </c>
      <c r="AU22" s="7">
        <f>BEN!BC66</f>
        <v>0</v>
      </c>
      <c r="AV22" s="7">
        <f>BEN!BD66</f>
        <v>0</v>
      </c>
      <c r="AW22" s="7">
        <f>BEN!BE66</f>
        <v>0</v>
      </c>
      <c r="AX22" s="7">
        <f>BEN!BF66</f>
        <v>0</v>
      </c>
      <c r="AY22" s="7">
        <f>BEN!BG66</f>
        <v>0</v>
      </c>
      <c r="AZ22" s="7">
        <f>BEN!BH66</f>
        <v>0</v>
      </c>
      <c r="BA22" s="7">
        <f>BEN!BI66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D3BB-067E-4FBD-B3B0-F70D00020EB2}">
  <sheetPr>
    <tabColor theme="3"/>
  </sheetPr>
  <dimension ref="A1:BA22"/>
  <sheetViews>
    <sheetView topLeftCell="F1" workbookViewId="0">
      <selection activeCell="AZ25" sqref="AZ25"/>
    </sheetView>
  </sheetViews>
  <sheetFormatPr defaultRowHeight="14.25" x14ac:dyDescent="0.45"/>
  <cols>
    <col min="1" max="1" width="36.265625" customWidth="1"/>
    <col min="2" max="35" width="13" customWidth="1"/>
    <col min="36" max="36" width="9.6640625" bestFit="1" customWidth="1"/>
    <col min="37" max="37" width="11.06640625" customWidth="1"/>
    <col min="38" max="38" width="10.46484375" customWidth="1"/>
    <col min="39" max="39" width="10.9296875" customWidth="1"/>
    <col min="40" max="40" width="10.265625" customWidth="1"/>
    <col min="41" max="41" width="10.53125" customWidth="1"/>
    <col min="42" max="42" width="10.73046875" customWidth="1"/>
    <col min="43" max="43" width="9.9296875" customWidth="1"/>
    <col min="44" max="44" width="9.73046875" customWidth="1"/>
    <col min="45" max="45" width="9.9296875" customWidth="1"/>
    <col min="46" max="46" width="10.33203125" customWidth="1"/>
    <col min="47" max="47" width="9.73046875" customWidth="1"/>
    <col min="48" max="48" width="10.06640625" customWidth="1"/>
    <col min="49" max="50" width="9.9296875" customWidth="1"/>
    <col min="51" max="51" width="10" customWidth="1"/>
    <col min="52" max="52" width="10.86328125" customWidth="1"/>
    <col min="53" max="53" width="10.33203125" customWidth="1"/>
  </cols>
  <sheetData>
    <row r="1" spans="1:53" x14ac:dyDescent="0.45">
      <c r="A1" s="6" t="s">
        <v>148</v>
      </c>
      <c r="B1" s="5">
        <v>2019</v>
      </c>
      <c r="C1">
        <v>2020</v>
      </c>
      <c r="D1" s="5">
        <v>2021</v>
      </c>
      <c r="E1">
        <v>2022</v>
      </c>
      <c r="F1" s="5">
        <v>2023</v>
      </c>
      <c r="G1">
        <v>2024</v>
      </c>
      <c r="H1" s="5">
        <v>2025</v>
      </c>
      <c r="I1">
        <v>2026</v>
      </c>
      <c r="J1" s="5">
        <v>2027</v>
      </c>
      <c r="K1">
        <v>2028</v>
      </c>
      <c r="L1" s="5">
        <v>2029</v>
      </c>
      <c r="M1">
        <v>2030</v>
      </c>
      <c r="N1" s="5">
        <v>2031</v>
      </c>
      <c r="O1">
        <v>2032</v>
      </c>
      <c r="P1" s="5">
        <v>2033</v>
      </c>
      <c r="Q1">
        <v>2034</v>
      </c>
      <c r="R1" s="5">
        <v>2035</v>
      </c>
      <c r="S1">
        <v>2036</v>
      </c>
      <c r="T1" s="5">
        <v>2037</v>
      </c>
      <c r="U1">
        <v>2038</v>
      </c>
      <c r="V1" s="5">
        <v>2039</v>
      </c>
      <c r="W1">
        <v>2040</v>
      </c>
      <c r="X1" s="5">
        <v>2041</v>
      </c>
      <c r="Y1">
        <v>2042</v>
      </c>
      <c r="Z1" s="5">
        <v>2043</v>
      </c>
      <c r="AA1">
        <v>2044</v>
      </c>
      <c r="AB1" s="5">
        <v>2045</v>
      </c>
      <c r="AC1">
        <v>2046</v>
      </c>
      <c r="AD1" s="5">
        <v>2047</v>
      </c>
      <c r="AE1">
        <v>2048</v>
      </c>
      <c r="AF1" s="5">
        <v>2049</v>
      </c>
      <c r="AG1">
        <v>2050</v>
      </c>
      <c r="AH1" s="5">
        <v>2051</v>
      </c>
      <c r="AI1">
        <v>2052</v>
      </c>
      <c r="AJ1" s="5">
        <v>2053</v>
      </c>
      <c r="AK1">
        <v>2054</v>
      </c>
      <c r="AL1" s="5">
        <v>2055</v>
      </c>
      <c r="AM1">
        <v>2056</v>
      </c>
      <c r="AN1" s="5">
        <v>2057</v>
      </c>
      <c r="AO1">
        <v>2058</v>
      </c>
      <c r="AP1" s="5">
        <v>2059</v>
      </c>
      <c r="AQ1">
        <v>2060</v>
      </c>
      <c r="AR1" s="5">
        <v>2061</v>
      </c>
      <c r="AS1">
        <v>2062</v>
      </c>
      <c r="AT1" s="5">
        <v>2063</v>
      </c>
      <c r="AU1">
        <v>2064</v>
      </c>
      <c r="AV1" s="5">
        <v>2065</v>
      </c>
      <c r="AW1">
        <v>2066</v>
      </c>
      <c r="AX1" s="5">
        <v>2067</v>
      </c>
      <c r="AY1">
        <v>2068</v>
      </c>
      <c r="AZ1" s="5">
        <v>2069</v>
      </c>
      <c r="BA1" s="5">
        <v>2070</v>
      </c>
    </row>
    <row r="2" spans="1:53" x14ac:dyDescent="0.45">
      <c r="A2" s="6" t="s">
        <v>149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</row>
    <row r="3" spans="1:53" x14ac:dyDescent="0.45">
      <c r="A3" s="1" t="s">
        <v>55</v>
      </c>
      <c r="B3" s="7">
        <f>BEN!$A$5*BEN!J5</f>
        <v>299104080</v>
      </c>
      <c r="C3" s="7">
        <f>BEN!$A$5*BEN!K5</f>
        <v>270468330</v>
      </c>
      <c r="D3" s="7">
        <f>BEN!$A$5*BEN!L5</f>
        <v>313289790</v>
      </c>
      <c r="E3" s="7">
        <f>BEN!$A$5*BEN!M5</f>
        <v>293905590</v>
      </c>
      <c r="F3" s="7">
        <f>BEN!$A$5*BEN!N5</f>
        <v>309277848</v>
      </c>
      <c r="G3" s="7">
        <f>BEN!$A$5*BEN!O5</f>
        <v>309277848</v>
      </c>
      <c r="H3" s="7">
        <f>BEN!$A$5*BEN!P5</f>
        <v>309277848</v>
      </c>
      <c r="I3" s="7">
        <f>BEN!$A$5*BEN!Q5</f>
        <v>309277848</v>
      </c>
      <c r="J3" s="7">
        <f>BEN!$A$5*BEN!R5</f>
        <v>309277848</v>
      </c>
      <c r="K3" s="7">
        <f>BEN!$A$5*BEN!S5</f>
        <v>309277848</v>
      </c>
      <c r="L3" s="7">
        <f>BEN!$A$5*BEN!T5</f>
        <v>309277848</v>
      </c>
      <c r="M3" s="7">
        <f>BEN!$A$5*BEN!U5</f>
        <v>309277848</v>
      </c>
      <c r="N3" s="7">
        <f>BEN!$A$5*BEN!V5</f>
        <v>309277848</v>
      </c>
      <c r="O3" s="7">
        <f>BEN!$A$5*BEN!W5</f>
        <v>309277848</v>
      </c>
      <c r="P3" s="7">
        <f>BEN!$A$5*BEN!X5</f>
        <v>0</v>
      </c>
      <c r="Q3" s="7">
        <f>BEN!$A$5*BEN!Y5</f>
        <v>0</v>
      </c>
      <c r="R3" s="7">
        <f>BEN!$A$5*BEN!Z5</f>
        <v>0</v>
      </c>
      <c r="S3" s="7">
        <f>BEN!$A$5*BEN!AA5</f>
        <v>0</v>
      </c>
      <c r="T3" s="7">
        <f>BEN!$A$5*BEN!AB5</f>
        <v>0</v>
      </c>
      <c r="U3" s="7">
        <f>BEN!$A$5*BEN!AC5</f>
        <v>0</v>
      </c>
      <c r="V3" s="7">
        <f>BEN!$A$5*BEN!AD5</f>
        <v>0</v>
      </c>
      <c r="W3" s="7">
        <f>BEN!$A$5*BEN!AE5</f>
        <v>0</v>
      </c>
      <c r="X3" s="7">
        <f>BEN!$A$5*BEN!AF5</f>
        <v>0</v>
      </c>
      <c r="Y3" s="7">
        <f>BEN!$A$5*BEN!AG5</f>
        <v>0</v>
      </c>
      <c r="Z3" s="7">
        <f>BEN!$A$5*BEN!AH5</f>
        <v>0</v>
      </c>
      <c r="AA3" s="7">
        <f>BEN!$A$5*BEN!AI5</f>
        <v>0</v>
      </c>
      <c r="AB3" s="7">
        <f>BEN!$A$5*BEN!AJ5</f>
        <v>0</v>
      </c>
      <c r="AC3" s="7">
        <f>BEN!$A$5*BEN!AK5</f>
        <v>0</v>
      </c>
      <c r="AD3" s="7">
        <f>BEN!$A$5*BEN!AL5</f>
        <v>0</v>
      </c>
      <c r="AE3" s="7">
        <f>BEN!$A$5*BEN!AM5</f>
        <v>0</v>
      </c>
      <c r="AF3" s="7">
        <f>BEN!$A$5*BEN!AN5</f>
        <v>0</v>
      </c>
      <c r="AG3" s="7">
        <f>BEN!$A$5*BEN!AO5</f>
        <v>0</v>
      </c>
    </row>
    <row r="4" spans="1:53" x14ac:dyDescent="0.45">
      <c r="A4" s="1" t="s">
        <v>13</v>
      </c>
      <c r="B4" s="8">
        <f>BEN!$A$9*BEN!J9</f>
        <v>386317</v>
      </c>
      <c r="C4" s="8">
        <f>BEN!$A$9*BEN!K9</f>
        <v>378673.39999999997</v>
      </c>
      <c r="D4" s="8">
        <f>BEN!$A$9*BEN!L9</f>
        <v>664126.4</v>
      </c>
      <c r="E4" s="8">
        <f>BEN!$A$9*BEN!M9</f>
        <v>345735</v>
      </c>
      <c r="F4" s="8">
        <f>BEN!$A$9*BEN!N9</f>
        <v>891622</v>
      </c>
      <c r="G4" s="8">
        <f>BEN!$A$9*BEN!O9</f>
        <v>1078575</v>
      </c>
      <c r="H4" s="8">
        <f>BEN!$A$9*BEN!P9</f>
        <v>1049813</v>
      </c>
      <c r="I4" s="8">
        <f>BEN!$A$9*BEN!Q9</f>
        <v>1035432</v>
      </c>
      <c r="J4" s="8">
        <f>BEN!$A$9*BEN!R9</f>
        <v>934765</v>
      </c>
      <c r="K4" s="8">
        <f>BEN!$A$9*BEN!S9</f>
        <v>862860</v>
      </c>
      <c r="L4" s="8">
        <f>BEN!$A$9*BEN!T9</f>
        <v>776574</v>
      </c>
      <c r="M4" s="8">
        <f>BEN!$A$9*BEN!U9</f>
        <v>747812</v>
      </c>
      <c r="N4" s="8">
        <f>BEN!$A$9*BEN!V9</f>
        <v>704669</v>
      </c>
      <c r="O4" s="8">
        <f>BEN!$A$9*BEN!W9</f>
        <v>690288</v>
      </c>
      <c r="P4" s="8">
        <f>BEN!$A$9*BEN!X9</f>
        <v>0</v>
      </c>
      <c r="Q4" s="8">
        <f>BEN!$A$9*BEN!Y9</f>
        <v>0</v>
      </c>
      <c r="R4" s="8">
        <f>BEN!$A$9*BEN!Z9</f>
        <v>0</v>
      </c>
      <c r="S4" s="8">
        <f>BEN!$A$9*BEN!AA9</f>
        <v>0</v>
      </c>
      <c r="T4" s="8">
        <f>BEN!$A$9*BEN!AB9</f>
        <v>0</v>
      </c>
      <c r="U4" s="8">
        <f>BEN!$A$9*BEN!AC9</f>
        <v>0</v>
      </c>
      <c r="V4" s="8">
        <f>BEN!$A$9*BEN!AD9</f>
        <v>0</v>
      </c>
      <c r="W4" s="8">
        <f>BEN!$A$9*BEN!AE9</f>
        <v>0</v>
      </c>
      <c r="X4" s="8">
        <f>BEN!$A$9*BEN!AF9</f>
        <v>0</v>
      </c>
      <c r="Y4" s="8">
        <f>BEN!$A$9*BEN!AG9</f>
        <v>0</v>
      </c>
      <c r="Z4" s="8">
        <f>BEN!$A$9*BEN!AH9</f>
        <v>0</v>
      </c>
      <c r="AA4" s="8">
        <f>BEN!$A$9*BEN!AI9</f>
        <v>0</v>
      </c>
      <c r="AB4" s="8">
        <f>BEN!$A$9*BEN!AJ9</f>
        <v>0</v>
      </c>
      <c r="AC4" s="8">
        <f>BEN!$A$9*BEN!AK9</f>
        <v>0</v>
      </c>
      <c r="AD4" s="8">
        <f>BEN!$A$9*BEN!AL9</f>
        <v>0</v>
      </c>
      <c r="AE4" s="8">
        <f>BEN!$A$9*BEN!AM9</f>
        <v>0</v>
      </c>
      <c r="AF4" s="8">
        <f>BEN!$A$9*BEN!AN9</f>
        <v>0</v>
      </c>
      <c r="AG4" s="8">
        <f>BEN!$A$9*BEN!AO9</f>
        <v>0</v>
      </c>
    </row>
    <row r="5" spans="1:53" x14ac:dyDescent="0.45">
      <c r="A5" s="1" t="s">
        <v>57</v>
      </c>
      <c r="B5" s="7">
        <f>BEN!$A$15*BEN!J15</f>
        <v>41823376.62398655</v>
      </c>
      <c r="C5" s="7">
        <f>BEN!$A$15*BEN!K15</f>
        <v>63942437.24036742</v>
      </c>
      <c r="D5" s="7">
        <f>BEN!$A$15*BEN!L15</f>
        <v>64273602.215285167</v>
      </c>
      <c r="E5" s="7">
        <f>BEN!$A$15*BEN!M15</f>
        <v>42996252.576820225</v>
      </c>
      <c r="F5" s="7">
        <f>BEN!$A$15*BEN!N15</f>
        <v>42996252.576820225</v>
      </c>
      <c r="G5" s="7">
        <f>BEN!$A$15*BEN!O15</f>
        <v>42996252.576820225</v>
      </c>
      <c r="H5" s="7">
        <f>BEN!$A$15*BEN!P15</f>
        <v>42996252.576820225</v>
      </c>
      <c r="I5" s="7">
        <f>BEN!$A$15*BEN!Q15</f>
        <v>42996252.576820225</v>
      </c>
      <c r="J5" s="7">
        <f>BEN!$A$15*BEN!R15</f>
        <v>42996252.576820225</v>
      </c>
      <c r="K5" s="7">
        <f>BEN!$A$15*BEN!S15</f>
        <v>42996252.576820225</v>
      </c>
      <c r="L5" s="7">
        <f>BEN!$A$15*BEN!T15</f>
        <v>42996252.576820225</v>
      </c>
      <c r="M5" s="7">
        <f>BEN!$A$15*BEN!U15</f>
        <v>42996252.576820225</v>
      </c>
      <c r="N5" s="7">
        <f>BEN!$A$15*BEN!V15</f>
        <v>42996252.576820225</v>
      </c>
      <c r="O5" s="7">
        <f>BEN!$A$15*BEN!W15</f>
        <v>42996252.576820225</v>
      </c>
      <c r="P5" s="7">
        <f>BEN!$A$15*BEN!X15</f>
        <v>42996252.576820225</v>
      </c>
      <c r="Q5" s="7">
        <f>BEN!$A$15*BEN!Y15</f>
        <v>42996252.576820225</v>
      </c>
      <c r="R5" s="7">
        <f>BEN!$A$15*BEN!Z15</f>
        <v>42996252.576820225</v>
      </c>
      <c r="S5" s="7">
        <f>BEN!$A$15*BEN!AA15</f>
        <v>42996252.576820225</v>
      </c>
      <c r="T5" s="7">
        <f>BEN!$A$15*BEN!AB15</f>
        <v>42996252.576820225</v>
      </c>
      <c r="U5" s="7">
        <f>BEN!$A$15*BEN!AC15</f>
        <v>42996252.576820225</v>
      </c>
      <c r="V5" s="7">
        <f>BEN!$A$15*BEN!AD15</f>
        <v>42996252.576820225</v>
      </c>
      <c r="W5" s="7">
        <f>BEN!$A$15*BEN!AE15</f>
        <v>42996252.576820225</v>
      </c>
      <c r="X5" s="7">
        <f>BEN!$A$15*BEN!AF15</f>
        <v>42996252.576820225</v>
      </c>
      <c r="Y5" s="7">
        <f>BEN!$A$15*BEN!AG15</f>
        <v>42996252.576820225</v>
      </c>
      <c r="Z5" s="7">
        <f>BEN!$A$15*BEN!AH15</f>
        <v>42996252.576820225</v>
      </c>
      <c r="AA5" s="7">
        <f>BEN!$A$15*BEN!AI15</f>
        <v>42996252.576820225</v>
      </c>
      <c r="AB5" s="7">
        <f>BEN!$A$15*BEN!AJ15</f>
        <v>42996252.576820225</v>
      </c>
      <c r="AC5" s="7">
        <f>BEN!$A$15*BEN!AK15</f>
        <v>42996252.576820225</v>
      </c>
      <c r="AD5" s="7">
        <f>BEN!$A$15*BEN!AL15</f>
        <v>42996252.576820225</v>
      </c>
      <c r="AE5" s="7">
        <f>BEN!$A$15*BEN!AM15</f>
        <v>42996252.576820225</v>
      </c>
      <c r="AF5" s="7">
        <f>BEN!$A$15*BEN!AN15</f>
        <v>42996252.576820225</v>
      </c>
      <c r="AG5" s="7">
        <f>BEN!$A$15*BEN!AO15</f>
        <v>42996252.576820225</v>
      </c>
      <c r="AH5" s="7">
        <f>BEN!$A$15*BEN!AP15</f>
        <v>42996252.576820225</v>
      </c>
      <c r="AI5" s="7">
        <f>BEN!$A$15*BEN!AQ15</f>
        <v>42996252.576820225</v>
      </c>
      <c r="AJ5" s="7">
        <f>BEN!$A$15*BEN!AR15</f>
        <v>42996252.576820225</v>
      </c>
      <c r="AK5" s="7">
        <f>BEN!$A$15*BEN!AS15</f>
        <v>42996252.576820225</v>
      </c>
      <c r="AL5" s="7">
        <f>BEN!$A$15*BEN!AT15</f>
        <v>42996252.576820225</v>
      </c>
      <c r="AM5" s="7">
        <f>BEN!$A$15*BEN!AU15</f>
        <v>42996252.576820225</v>
      </c>
      <c r="AN5" s="7">
        <f t="shared" ref="AK5:BA5" si="0">$AI$5</f>
        <v>42996252.576820225</v>
      </c>
      <c r="AO5" s="7">
        <f t="shared" si="0"/>
        <v>42996252.576820225</v>
      </c>
      <c r="AP5" s="7">
        <f t="shared" si="0"/>
        <v>42996252.576820225</v>
      </c>
      <c r="AQ5" s="7">
        <f t="shared" si="0"/>
        <v>42996252.576820225</v>
      </c>
      <c r="AR5" s="7">
        <f t="shared" si="0"/>
        <v>42996252.576820225</v>
      </c>
      <c r="AS5" s="7">
        <f t="shared" si="0"/>
        <v>42996252.576820225</v>
      </c>
      <c r="AT5" s="7">
        <f t="shared" si="0"/>
        <v>42996252.576820225</v>
      </c>
      <c r="AU5" s="7">
        <f t="shared" si="0"/>
        <v>42996252.576820225</v>
      </c>
      <c r="AV5" s="7">
        <f t="shared" si="0"/>
        <v>42996252.576820225</v>
      </c>
      <c r="AW5" s="7">
        <f t="shared" si="0"/>
        <v>42996252.576820225</v>
      </c>
      <c r="AX5" s="7">
        <f t="shared" si="0"/>
        <v>42996252.576820225</v>
      </c>
      <c r="AY5" s="7">
        <f t="shared" si="0"/>
        <v>42996252.576820225</v>
      </c>
      <c r="AZ5" s="7">
        <f t="shared" si="0"/>
        <v>42996252.576820225</v>
      </c>
      <c r="BA5" s="7">
        <f t="shared" si="0"/>
        <v>42996252.576820225</v>
      </c>
    </row>
    <row r="6" spans="1:53" x14ac:dyDescent="0.45">
      <c r="A6" s="1" t="s">
        <v>150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</row>
    <row r="7" spans="1:53" x14ac:dyDescent="0.45">
      <c r="A7" s="1" t="s">
        <v>151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</row>
    <row r="8" spans="1:53" x14ac:dyDescent="0.45">
      <c r="A8" s="1" t="s">
        <v>152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</row>
    <row r="9" spans="1:53" x14ac:dyDescent="0.45">
      <c r="A9" s="1" t="s">
        <v>15</v>
      </c>
      <c r="B9" s="7">
        <f>BEN!$A$20*BEN!J20</f>
        <v>0</v>
      </c>
      <c r="C9" s="7">
        <f>BEN!$A$20*BEN!K20</f>
        <v>0</v>
      </c>
      <c r="D9" s="7">
        <f>BEN!$A$20*BEN!L20</f>
        <v>0</v>
      </c>
      <c r="E9" s="7">
        <f>BEN!$A$20*BEN!M20</f>
        <v>0</v>
      </c>
      <c r="F9" s="7">
        <f>BEN!$A$20*BEN!N20</f>
        <v>0</v>
      </c>
      <c r="G9" s="7">
        <f>BEN!$A$20*BEN!O20</f>
        <v>0</v>
      </c>
      <c r="H9" s="7">
        <f>BEN!$A$20*BEN!P20</f>
        <v>0</v>
      </c>
      <c r="I9" s="7">
        <f>BEN!$A$20*BEN!Q20</f>
        <v>0</v>
      </c>
      <c r="J9" s="7">
        <f>BEN!$A$20*BEN!R20</f>
        <v>0</v>
      </c>
      <c r="K9" s="7">
        <f>BEN!$A$20*BEN!S20</f>
        <v>0</v>
      </c>
      <c r="L9" s="7">
        <f>BEN!$A$20*BEN!T20</f>
        <v>0</v>
      </c>
      <c r="M9" s="7">
        <f>BEN!$A$20*BEN!U20</f>
        <v>0</v>
      </c>
      <c r="N9" s="7">
        <f>BEN!$A$20*BEN!V20</f>
        <v>0</v>
      </c>
      <c r="O9" s="7">
        <f>BEN!$A$20*BEN!W20</f>
        <v>0</v>
      </c>
      <c r="P9" s="7">
        <f>BEN!$A$20*BEN!X20</f>
        <v>0</v>
      </c>
      <c r="Q9" s="7">
        <f>BEN!$A$20*BEN!Y20</f>
        <v>0</v>
      </c>
      <c r="R9" s="7">
        <f>BEN!$A$20*BEN!Z20</f>
        <v>0</v>
      </c>
      <c r="S9" s="7">
        <f>BEN!$A$20*BEN!AA20</f>
        <v>0</v>
      </c>
      <c r="T9" s="7">
        <f>BEN!$A$20*BEN!AB20</f>
        <v>0</v>
      </c>
      <c r="U9" s="7">
        <f>BEN!$A$20*BEN!AC20</f>
        <v>0</v>
      </c>
      <c r="V9" s="7">
        <f>BEN!$A$20*BEN!AD20</f>
        <v>0</v>
      </c>
      <c r="W9" s="7">
        <f>BEN!$A$20*BEN!AE20</f>
        <v>0</v>
      </c>
      <c r="X9" s="7">
        <f>BEN!$A$20*BEN!AF20</f>
        <v>0</v>
      </c>
      <c r="Y9" s="7">
        <f>BEN!$A$20*BEN!AG20</f>
        <v>0</v>
      </c>
      <c r="Z9" s="7">
        <f>BEN!$A$20*BEN!AH20</f>
        <v>0</v>
      </c>
      <c r="AA9" s="7">
        <f>BEN!$A$20*BEN!AI20</f>
        <v>0</v>
      </c>
      <c r="AB9" s="7">
        <f>BEN!$A$20*BEN!AJ20</f>
        <v>0</v>
      </c>
      <c r="AC9" s="7">
        <f>BEN!$A$20*BEN!AK20</f>
        <v>0</v>
      </c>
      <c r="AD9" s="7">
        <f>BEN!$A$20*BEN!AL20</f>
        <v>0</v>
      </c>
      <c r="AE9" s="7">
        <f>BEN!$A$20*BEN!AM20</f>
        <v>0</v>
      </c>
      <c r="AF9" s="7">
        <f>BEN!$A$20*BEN!AN20</f>
        <v>0</v>
      </c>
      <c r="AG9" s="7">
        <f>BEN!$A$20*BEN!AO20</f>
        <v>0</v>
      </c>
      <c r="AH9" s="7">
        <f>BEN!$A$20*BEN!AP20</f>
        <v>0</v>
      </c>
      <c r="AI9" s="7">
        <f>BEN!$A$20*BEN!AQ20</f>
        <v>0</v>
      </c>
      <c r="AJ9" s="7">
        <f>BEN!$A$20*BEN!AR20</f>
        <v>0</v>
      </c>
      <c r="AK9" s="7">
        <f>BEN!$A$20*BEN!AS20</f>
        <v>0</v>
      </c>
      <c r="AL9" s="7">
        <f>BEN!$A$20*BEN!AT20</f>
        <v>0</v>
      </c>
      <c r="AM9" s="7">
        <f>BEN!$A$20*BEN!AU20</f>
        <v>0</v>
      </c>
      <c r="AN9" s="7">
        <f>BEN!$A$20*BEN!AV20</f>
        <v>0</v>
      </c>
      <c r="AO9" s="7">
        <f>BEN!$A$20*BEN!AW20</f>
        <v>0</v>
      </c>
      <c r="AP9" s="7">
        <f>BEN!$A$20*BEN!AX20</f>
        <v>0</v>
      </c>
      <c r="AQ9" s="7">
        <f>BEN!$A$20*BEN!AY20</f>
        <v>0</v>
      </c>
      <c r="AR9" s="7">
        <f>BEN!$A$20*BEN!AZ20</f>
        <v>0</v>
      </c>
      <c r="AS9" s="7">
        <f>BEN!$A$20*BEN!BA20</f>
        <v>0</v>
      </c>
      <c r="AT9" s="7">
        <f>BEN!$A$20*BEN!BB20</f>
        <v>0</v>
      </c>
      <c r="AU9" s="7">
        <f>BEN!$A$20*BEN!BC20</f>
        <v>0</v>
      </c>
      <c r="AV9" s="7">
        <f>BEN!$A$20*BEN!BD20</f>
        <v>0</v>
      </c>
      <c r="AW9" s="7">
        <f>BEN!$A$20*BEN!BE20</f>
        <v>0</v>
      </c>
      <c r="AX9" s="7">
        <f>BEN!$A$20*BEN!BF20</f>
        <v>0</v>
      </c>
      <c r="AY9" s="7">
        <f>BEN!$A$20*BEN!BG20</f>
        <v>0</v>
      </c>
      <c r="AZ9" s="7">
        <f>BEN!$A$20*BEN!BH20</f>
        <v>0</v>
      </c>
      <c r="BA9" s="7">
        <f>BEN!$A$20*BEN!BI20</f>
        <v>0</v>
      </c>
    </row>
    <row r="10" spans="1:53" x14ac:dyDescent="0.45">
      <c r="A10" s="1" t="s">
        <v>19</v>
      </c>
      <c r="B10" s="7">
        <f>BEN!$A$28*BEN!J28</f>
        <v>149357728</v>
      </c>
      <c r="C10" s="7">
        <f>BEN!$A$28*BEN!K28</f>
        <v>151007752</v>
      </c>
      <c r="D10" s="7">
        <f>BEN!$A$28*BEN!L28</f>
        <v>84181780</v>
      </c>
      <c r="E10" s="7">
        <f>BEN!$A$28*BEN!M28</f>
        <v>126685176</v>
      </c>
      <c r="F10" s="7">
        <f>BEN!$A$28*BEN!N28</f>
        <v>63512265.114793129</v>
      </c>
      <c r="G10" s="7">
        <f>BEN!$A$28*BEN!O28</f>
        <v>31004339.102953367</v>
      </c>
      <c r="H10" s="7">
        <f>BEN!$A$28*BEN!P28</f>
        <v>0</v>
      </c>
      <c r="I10" s="7">
        <f>BEN!$A$28*BEN!Q28</f>
        <v>0</v>
      </c>
      <c r="J10" s="7">
        <f>BEN!$A$28*BEN!R28</f>
        <v>0</v>
      </c>
      <c r="K10" s="7">
        <f>BEN!$A$28*BEN!S28</f>
        <v>0</v>
      </c>
      <c r="L10" s="7">
        <f>BEN!$A$28*BEN!T28</f>
        <v>0</v>
      </c>
      <c r="M10" s="7">
        <f>BEN!$A$28*BEN!U28</f>
        <v>0</v>
      </c>
      <c r="N10" s="7">
        <f>BEN!$A$28*BEN!V28</f>
        <v>18175178.425073229</v>
      </c>
      <c r="O10" s="7">
        <f>BEN!$A$28*BEN!W28</f>
        <v>73304368.928150877</v>
      </c>
      <c r="P10" s="7">
        <f>BEN!$A$28*BEN!X28</f>
        <v>0</v>
      </c>
      <c r="Q10" s="7">
        <f>BEN!$A$28*BEN!Y28</f>
        <v>0</v>
      </c>
      <c r="R10" s="7">
        <f>BEN!$A$28*BEN!Z28</f>
        <v>0</v>
      </c>
      <c r="S10" s="7">
        <f>BEN!$A$28*BEN!AA28</f>
        <v>0</v>
      </c>
      <c r="T10" s="7">
        <f>BEN!$A$28*BEN!AB28</f>
        <v>0</v>
      </c>
      <c r="U10" s="7">
        <f>BEN!$A$28*BEN!AC28</f>
        <v>0</v>
      </c>
      <c r="V10" s="7">
        <f>BEN!$A$28*BEN!AD28</f>
        <v>0</v>
      </c>
      <c r="W10" s="7">
        <f>BEN!$A$28*BEN!AE28</f>
        <v>0</v>
      </c>
      <c r="X10" s="7">
        <f>BEN!$A$28*BEN!AF28</f>
        <v>0</v>
      </c>
      <c r="Y10" s="7">
        <f>BEN!$A$28*BEN!AG28</f>
        <v>0</v>
      </c>
      <c r="Z10" s="7">
        <f>BEN!$A$28*BEN!AH28</f>
        <v>0</v>
      </c>
      <c r="AA10" s="7">
        <f>BEN!$A$28*BEN!AI28</f>
        <v>0</v>
      </c>
      <c r="AB10" s="7">
        <f>BEN!$A$28*BEN!AJ28</f>
        <v>0</v>
      </c>
      <c r="AC10" s="7">
        <f>BEN!$A$28*BEN!AK28</f>
        <v>0</v>
      </c>
      <c r="AD10" s="7">
        <f>BEN!$A$28*BEN!AL28</f>
        <v>0</v>
      </c>
      <c r="AE10" s="7">
        <f>BEN!$A$28*BEN!AM28</f>
        <v>0</v>
      </c>
      <c r="AF10" s="7">
        <f>BEN!$A$28*BEN!AN28</f>
        <v>0</v>
      </c>
      <c r="AG10" s="7">
        <f>BEN!$A$28*BEN!AO28</f>
        <v>0</v>
      </c>
    </row>
    <row r="11" spans="1:53" x14ac:dyDescent="0.45">
      <c r="A11" s="1" t="s">
        <v>21</v>
      </c>
      <c r="B11" s="7">
        <f>BEN!$A$32*BEN!J32</f>
        <v>437733508.79999995</v>
      </c>
      <c r="C11" s="7">
        <f>BEN!$A$32*BEN!K32</f>
        <v>403644944.5</v>
      </c>
      <c r="D11" s="7">
        <f>BEN!$A$32*BEN!L32</f>
        <v>485820930.69999999</v>
      </c>
      <c r="E11" s="7">
        <f>BEN!$A$32*BEN!M32</f>
        <v>484071073.5</v>
      </c>
      <c r="F11" s="7">
        <f>BEN!$A$32*BEN!N32</f>
        <v>494198824.55367362</v>
      </c>
      <c r="G11" s="7">
        <f>BEN!$A$32*BEN!O32</f>
        <v>540933727.56740141</v>
      </c>
      <c r="H11" s="7">
        <f>BEN!$A$32*BEN!P32</f>
        <v>587668630.58112919</v>
      </c>
      <c r="I11" s="7">
        <f>BEN!$A$32*BEN!Q32</f>
        <v>579103993.49561191</v>
      </c>
      <c r="J11" s="7">
        <f>BEN!$A$32*BEN!R32</f>
        <v>570539356.41009498</v>
      </c>
      <c r="K11" s="7">
        <f>BEN!$A$32*BEN!S32</f>
        <v>561974719.3245784</v>
      </c>
      <c r="L11" s="7">
        <f>BEN!$A$32*BEN!T32</f>
        <v>584968957.70949221</v>
      </c>
      <c r="M11" s="7">
        <f>BEN!$A$32*BEN!U32</f>
        <v>607963196.09440625</v>
      </c>
      <c r="N11" s="7">
        <f>BEN!$A$32*BEN!V32</f>
        <v>630957434.47932065</v>
      </c>
      <c r="O11" s="7">
        <f>BEN!$A$32*BEN!W32</f>
        <v>653951672.86423314</v>
      </c>
      <c r="P11" s="7">
        <f>BEN!$A$32*BEN!X32</f>
        <v>0</v>
      </c>
      <c r="Q11" s="7">
        <f>BEN!$A$32*BEN!Y32</f>
        <v>0</v>
      </c>
      <c r="R11" s="7">
        <f>BEN!$A$32*BEN!Z32</f>
        <v>0</v>
      </c>
      <c r="S11" s="7">
        <f>BEN!$A$32*BEN!AA32</f>
        <v>0</v>
      </c>
      <c r="T11" s="7">
        <f>BEN!$A$32*BEN!AB32</f>
        <v>0</v>
      </c>
      <c r="U11" s="7">
        <f>BEN!$A$32*BEN!AC32</f>
        <v>0</v>
      </c>
      <c r="V11" s="7">
        <f>BEN!$A$32*BEN!AD32</f>
        <v>0</v>
      </c>
      <c r="W11" s="7">
        <f>BEN!$A$32*BEN!AE32</f>
        <v>0</v>
      </c>
      <c r="X11" s="7">
        <f>BEN!$A$32*BEN!AF32</f>
        <v>0</v>
      </c>
      <c r="Y11" s="7">
        <f>BEN!$A$32*BEN!AG32</f>
        <v>0</v>
      </c>
      <c r="Z11" s="7">
        <f>BEN!$A$32*BEN!AH32</f>
        <v>0</v>
      </c>
      <c r="AA11" s="7">
        <f>BEN!$A$32*BEN!AI32</f>
        <v>0</v>
      </c>
      <c r="AB11" s="7">
        <f>BEN!$A$32*BEN!AJ32</f>
        <v>0</v>
      </c>
      <c r="AC11" s="7">
        <f>BEN!$A$32*BEN!AK32</f>
        <v>0</v>
      </c>
      <c r="AD11" s="7">
        <f>BEN!$A$32*BEN!AL32</f>
        <v>0</v>
      </c>
      <c r="AE11" s="7">
        <f>BEN!$A$32*BEN!AM32</f>
        <v>0</v>
      </c>
      <c r="AF11" s="7">
        <f>BEN!$A$32*BEN!AN32</f>
        <v>0</v>
      </c>
      <c r="AG11" s="7">
        <f>BEN!$A$32*BEN!AO32</f>
        <v>0</v>
      </c>
    </row>
    <row r="12" spans="1:53" x14ac:dyDescent="0.45">
      <c r="A12" s="1" t="s">
        <v>22</v>
      </c>
      <c r="B12" s="7">
        <f>BEN!$A$36*BEN!J36</f>
        <v>30970367.699999999</v>
      </c>
      <c r="C12" s="7">
        <f>BEN!$A$36*BEN!K36</f>
        <v>20646911.799999997</v>
      </c>
      <c r="D12" s="7">
        <f>BEN!$A$36*BEN!L36</f>
        <v>9310507.1999999993</v>
      </c>
      <c r="E12" s="7">
        <f>BEN!$A$36*BEN!M36</f>
        <v>2133657.9</v>
      </c>
      <c r="F12" s="7">
        <f>BEN!$A$36*BEN!N36</f>
        <v>0</v>
      </c>
      <c r="G12" s="7">
        <f>BEN!$A$36*BEN!O36</f>
        <v>0</v>
      </c>
      <c r="H12" s="7">
        <f>BEN!$A$36*BEN!P36</f>
        <v>0</v>
      </c>
      <c r="I12" s="7">
        <f>BEN!$A$36*BEN!Q36</f>
        <v>0</v>
      </c>
      <c r="J12" s="7">
        <f>BEN!$A$36*BEN!R36</f>
        <v>0</v>
      </c>
      <c r="K12" s="7">
        <f>BEN!$A$36*BEN!S36</f>
        <v>0</v>
      </c>
      <c r="L12" s="7">
        <f>BEN!$A$36*BEN!T36</f>
        <v>0</v>
      </c>
      <c r="M12" s="7">
        <f>BEN!$A$36*BEN!U36</f>
        <v>0</v>
      </c>
      <c r="N12" s="7">
        <f>BEN!$A$36*BEN!V36</f>
        <v>0</v>
      </c>
      <c r="O12" s="7">
        <f>BEN!$A$36*BEN!W36</f>
        <v>0</v>
      </c>
      <c r="P12" s="7">
        <f>BEN!$A$36*BEN!X36</f>
        <v>0</v>
      </c>
      <c r="Q12" s="7">
        <f>BEN!$A$36*BEN!Y36</f>
        <v>0</v>
      </c>
      <c r="R12" s="7">
        <f>BEN!$A$36*BEN!Z36</f>
        <v>0</v>
      </c>
      <c r="S12" s="7">
        <f>BEN!$A$36*BEN!AA36</f>
        <v>0</v>
      </c>
      <c r="T12" s="7">
        <f>BEN!$A$36*BEN!AB36</f>
        <v>0</v>
      </c>
      <c r="U12" s="7">
        <f>BEN!$A$36*BEN!AC36</f>
        <v>0</v>
      </c>
      <c r="V12" s="7">
        <f>BEN!$A$36*BEN!AD36</f>
        <v>0</v>
      </c>
      <c r="W12" s="7">
        <f>BEN!$A$36*BEN!AE36</f>
        <v>0</v>
      </c>
      <c r="X12" s="7">
        <f>BEN!$A$36*BEN!AF36</f>
        <v>0</v>
      </c>
      <c r="Y12" s="7">
        <f>BEN!$A$36*BEN!AG36</f>
        <v>0</v>
      </c>
      <c r="Z12" s="7">
        <f>BEN!$A$36*BEN!AH36</f>
        <v>0</v>
      </c>
      <c r="AA12" s="7">
        <f>BEN!$A$36*BEN!AI36</f>
        <v>0</v>
      </c>
      <c r="AB12" s="7">
        <f>BEN!$A$36*BEN!AJ36</f>
        <v>0</v>
      </c>
      <c r="AC12" s="7">
        <f>BEN!$A$36*BEN!AK36</f>
        <v>0</v>
      </c>
      <c r="AD12" s="7">
        <f>BEN!$A$36*BEN!AL36</f>
        <v>0</v>
      </c>
      <c r="AE12" s="7">
        <f>BEN!$A$36*BEN!AM36</f>
        <v>0</v>
      </c>
      <c r="AF12" s="7">
        <f>BEN!$A$36*BEN!AN36</f>
        <v>0</v>
      </c>
      <c r="AG12" s="7">
        <f>BEN!$A$36*BEN!AO36</f>
        <v>0</v>
      </c>
    </row>
    <row r="13" spans="1:53" x14ac:dyDescent="0.45">
      <c r="A13" s="1" t="s">
        <v>23</v>
      </c>
      <c r="B13" s="7">
        <f>BEN!$A$40*BEN!J40</f>
        <v>0</v>
      </c>
      <c r="C13" s="7">
        <f>BEN!$A$40*BEN!K40</f>
        <v>0</v>
      </c>
      <c r="D13" s="7">
        <f>BEN!$A$40*BEN!L40</f>
        <v>0</v>
      </c>
      <c r="E13" s="7">
        <f>BEN!$A$40*BEN!M40</f>
        <v>0</v>
      </c>
      <c r="F13" s="7">
        <f>BEN!$A$40*BEN!N40</f>
        <v>0</v>
      </c>
      <c r="G13" s="7">
        <f>BEN!$A$40*BEN!O40</f>
        <v>0</v>
      </c>
      <c r="H13" s="7">
        <f>BEN!$A$40*BEN!P40</f>
        <v>0</v>
      </c>
      <c r="I13" s="7">
        <f>BEN!$A$40*BEN!Q40</f>
        <v>0</v>
      </c>
      <c r="J13" s="7">
        <f>BEN!$A$40*BEN!R40</f>
        <v>0</v>
      </c>
      <c r="K13" s="7">
        <f>BEN!$A$40*BEN!S40</f>
        <v>0</v>
      </c>
      <c r="L13" s="7">
        <f>BEN!$A$40*BEN!T40</f>
        <v>0</v>
      </c>
      <c r="M13" s="7">
        <f>BEN!$A$40*BEN!U40</f>
        <v>0</v>
      </c>
      <c r="N13" s="7">
        <f>BEN!$A$40*BEN!V40</f>
        <v>0</v>
      </c>
      <c r="O13" s="7">
        <f>BEN!$A$40*BEN!W40</f>
        <v>0</v>
      </c>
      <c r="P13" s="7">
        <f>BEN!$A$40*BEN!X40</f>
        <v>0</v>
      </c>
      <c r="Q13" s="7">
        <f>BEN!$A$40*BEN!Y40</f>
        <v>0</v>
      </c>
      <c r="R13" s="7">
        <f>BEN!$A$40*BEN!Z40</f>
        <v>0</v>
      </c>
      <c r="S13" s="7">
        <f>BEN!$A$40*BEN!AA40</f>
        <v>0</v>
      </c>
      <c r="T13" s="7">
        <f>BEN!$A$40*BEN!AB40</f>
        <v>0</v>
      </c>
      <c r="U13" s="7">
        <f>BEN!$A$40*BEN!AC40</f>
        <v>0</v>
      </c>
      <c r="V13" s="7">
        <f>BEN!$A$40*BEN!AD40</f>
        <v>0</v>
      </c>
      <c r="W13" s="7">
        <f>BEN!$A$40*BEN!AE40</f>
        <v>0</v>
      </c>
      <c r="X13" s="7">
        <f>BEN!$A$40*BEN!AF40</f>
        <v>0</v>
      </c>
      <c r="Y13" s="7">
        <f>BEN!$A$40*BEN!AG40</f>
        <v>0</v>
      </c>
      <c r="Z13" s="7">
        <f>BEN!$A$40*BEN!AH40</f>
        <v>0</v>
      </c>
      <c r="AA13" s="7">
        <f>BEN!$A$40*BEN!AI40</f>
        <v>0</v>
      </c>
      <c r="AB13" s="7">
        <f>BEN!$A$40*BEN!AJ40</f>
        <v>0</v>
      </c>
      <c r="AC13" s="7">
        <f>BEN!$A$40*BEN!AK40</f>
        <v>0</v>
      </c>
      <c r="AD13" s="7">
        <f>BEN!$A$40*BEN!AL40</f>
        <v>0</v>
      </c>
      <c r="AE13" s="7">
        <f>BEN!$A$40*BEN!AM40</f>
        <v>0</v>
      </c>
      <c r="AF13" s="7">
        <f>BEN!$A$40*BEN!AN40</f>
        <v>0</v>
      </c>
      <c r="AG13" s="7">
        <f>BEN!$A$40*BEN!AO40</f>
        <v>0</v>
      </c>
      <c r="AH13" s="7">
        <f>BEN!$A$40*BEN!AP40</f>
        <v>0</v>
      </c>
      <c r="AI13" s="7">
        <f>BEN!$A$40*BEN!AQ40</f>
        <v>0</v>
      </c>
      <c r="AJ13" s="7">
        <f>BEN!$A$40*BEN!AR40</f>
        <v>0</v>
      </c>
      <c r="AK13" s="7">
        <f>BEN!$A$40*BEN!AS40</f>
        <v>0</v>
      </c>
      <c r="AL13" s="7">
        <f>BEN!$A$40*BEN!AT40</f>
        <v>0</v>
      </c>
      <c r="AM13" s="7">
        <f>BEN!$A$40*BEN!AU40</f>
        <v>0</v>
      </c>
      <c r="AN13" s="7">
        <f>BEN!$A$40*BEN!AV40</f>
        <v>0</v>
      </c>
      <c r="AO13" s="7">
        <f>BEN!$A$40*BEN!AW40</f>
        <v>0</v>
      </c>
      <c r="AP13" s="7">
        <f>BEN!$A$40*BEN!AX40</f>
        <v>0</v>
      </c>
      <c r="AQ13" s="7">
        <f>BEN!$A$40*BEN!AY40</f>
        <v>0</v>
      </c>
      <c r="AR13" s="7">
        <f>BEN!$A$40*BEN!AZ40</f>
        <v>0</v>
      </c>
      <c r="AS13" s="7">
        <f>BEN!$A$40*BEN!BA40</f>
        <v>0</v>
      </c>
      <c r="AT13" s="7">
        <f>BEN!$A$40*BEN!BB40</f>
        <v>0</v>
      </c>
      <c r="AU13" s="7">
        <f>BEN!$A$40*BEN!BC40</f>
        <v>0</v>
      </c>
      <c r="AV13" s="7">
        <f>BEN!$A$40*BEN!BD40</f>
        <v>0</v>
      </c>
      <c r="AW13" s="7">
        <f>BEN!$A$40*BEN!BE40</f>
        <v>0</v>
      </c>
      <c r="AX13" s="7">
        <f>BEN!$A$40*BEN!BF40</f>
        <v>0</v>
      </c>
      <c r="AY13" s="7">
        <f>BEN!$A$40*BEN!BG40</f>
        <v>0</v>
      </c>
      <c r="AZ13" s="7">
        <f>BEN!$A$40*BEN!BH40</f>
        <v>0</v>
      </c>
      <c r="BA13" s="7">
        <f>BEN!$A$40*BEN!BI40</f>
        <v>0</v>
      </c>
    </row>
    <row r="14" spans="1:53" x14ac:dyDescent="0.45">
      <c r="A14" s="1" t="s">
        <v>153</v>
      </c>
      <c r="B14" s="7">
        <f>BEN!$B$44*BEN!J44</f>
        <v>31349160.583941605</v>
      </c>
      <c r="C14" s="7">
        <f>BEN!$B$44*BEN!K44</f>
        <v>12579346.715328466</v>
      </c>
      <c r="D14" s="7">
        <f>BEN!$B$44*BEN!L44</f>
        <v>9880937.956204379</v>
      </c>
      <c r="E14" s="7">
        <f>BEN!$B$44*BEN!M44</f>
        <v>33372967.153284669</v>
      </c>
      <c r="F14" s="7">
        <f>BEN!$B$44*BEN!N44</f>
        <v>6056527.8255548095</v>
      </c>
      <c r="G14" s="7">
        <f>BEN!$B$44*BEN!O44</f>
        <v>12113055.651109546</v>
      </c>
      <c r="H14" s="7">
        <f>BEN!$B$44*BEN!P44</f>
        <v>18169583.476664357</v>
      </c>
      <c r="I14" s="7">
        <f>BEN!$B$44*BEN!Q44</f>
        <v>34257627.369390532</v>
      </c>
      <c r="J14" s="7">
        <f>BEN!$B$44*BEN!R44</f>
        <v>30282639.127773903</v>
      </c>
      <c r="K14" s="7">
        <f>BEN!$B$44*BEN!S44</f>
        <v>6244618.7518144036</v>
      </c>
      <c r="L14" s="7">
        <f>BEN!$B$44*BEN!T44</f>
        <v>4971823.7277680077</v>
      </c>
      <c r="M14" s="7">
        <f>BEN!$B$44*BEN!U44</f>
        <v>12281672.211370356</v>
      </c>
      <c r="N14" s="7">
        <f>BEN!$B$44*BEN!V44</f>
        <v>19591520.694972739</v>
      </c>
      <c r="O14" s="7">
        <f>BEN!$B$44*BEN!W44</f>
        <v>26901369.178575017</v>
      </c>
      <c r="P14" s="7">
        <f>BEN!$B$44*BEN!X44</f>
        <v>0</v>
      </c>
      <c r="Q14" s="7">
        <f>BEN!$B$44*BEN!Y44</f>
        <v>0</v>
      </c>
      <c r="R14" s="7">
        <f>BEN!$B$44*BEN!Z44</f>
        <v>0</v>
      </c>
      <c r="S14" s="7">
        <f>BEN!$B$44*BEN!AA44</f>
        <v>0</v>
      </c>
      <c r="T14" s="7">
        <f>BEN!$B$44*BEN!AB44</f>
        <v>0</v>
      </c>
      <c r="U14" s="7">
        <f>BEN!$B$44*BEN!AC44</f>
        <v>0</v>
      </c>
      <c r="V14" s="7">
        <f>BEN!$B$44*BEN!AD44</f>
        <v>0</v>
      </c>
      <c r="W14" s="7">
        <f>BEN!$B$44*BEN!AE44</f>
        <v>0</v>
      </c>
      <c r="X14" s="7">
        <f>BEN!$B$44*BEN!AF44</f>
        <v>0</v>
      </c>
      <c r="Y14" s="7">
        <f>BEN!$B$44*BEN!AG44</f>
        <v>0</v>
      </c>
      <c r="Z14" s="7">
        <f>BEN!$B$44*BEN!AH44</f>
        <v>0</v>
      </c>
      <c r="AA14" s="7">
        <f>BEN!$B$44*BEN!AI44</f>
        <v>0</v>
      </c>
      <c r="AB14" s="7">
        <f>BEN!$B$44*BEN!AJ44</f>
        <v>0</v>
      </c>
      <c r="AC14" s="7">
        <f>BEN!$B$44*BEN!AK44</f>
        <v>0</v>
      </c>
      <c r="AD14" s="7">
        <f>BEN!$B$44*BEN!AL44</f>
        <v>0</v>
      </c>
      <c r="AE14" s="7">
        <f>BEN!$B$44*BEN!AM44</f>
        <v>0</v>
      </c>
      <c r="AF14" s="7">
        <f>BEN!$B$44*BEN!AN44</f>
        <v>0</v>
      </c>
      <c r="AG14" s="7">
        <f>BEN!$B$44*BEN!AO44</f>
        <v>0</v>
      </c>
    </row>
    <row r="15" spans="1:53" x14ac:dyDescent="0.45">
      <c r="A15" s="1" t="s">
        <v>154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</row>
    <row r="16" spans="1:53" x14ac:dyDescent="0.45">
      <c r="A16" s="1" t="s">
        <v>155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</row>
    <row r="17" spans="1:53" x14ac:dyDescent="0.45">
      <c r="A17" s="1" t="s">
        <v>59</v>
      </c>
      <c r="B17" s="7">
        <f>BEN!$A$50*BEN!J50</f>
        <v>206985500</v>
      </c>
      <c r="C17" s="7">
        <f>BEN!$A$50*BEN!K50</f>
        <v>163608020</v>
      </c>
      <c r="D17" s="7">
        <f>BEN!$A$50*BEN!L50</f>
        <v>225357700</v>
      </c>
      <c r="E17" s="7">
        <f>BEN!$A$50*BEN!M50</f>
        <v>136837100</v>
      </c>
      <c r="F17" s="7">
        <f>BEN!$A$50*BEN!N50</f>
        <v>199712176.66666666</v>
      </c>
      <c r="G17" s="7">
        <f>BEN!$A$50*BEN!O50</f>
        <v>199712176.66666666</v>
      </c>
      <c r="H17" s="7">
        <f>BEN!$A$50*BEN!P50</f>
        <v>199712176.66666666</v>
      </c>
      <c r="I17" s="7">
        <f>BEN!$A$50*BEN!Q50</f>
        <v>199712176.66666666</v>
      </c>
      <c r="J17" s="7">
        <f>BEN!$A$50*BEN!R50</f>
        <v>199712176.66666666</v>
      </c>
      <c r="K17" s="7">
        <f>BEN!$A$50*BEN!S50</f>
        <v>199712176.66666666</v>
      </c>
      <c r="L17" s="7">
        <f>BEN!$A$50*BEN!T50</f>
        <v>199712176.66666666</v>
      </c>
      <c r="M17" s="7">
        <f>BEN!$A$50*BEN!U50</f>
        <v>199712176.66666666</v>
      </c>
      <c r="N17" s="7">
        <f>BEN!$A$50*BEN!V50</f>
        <v>199712176.66666666</v>
      </c>
      <c r="O17" s="7">
        <f>BEN!$A$50*BEN!W50</f>
        <v>199712176.66666666</v>
      </c>
      <c r="P17" s="7">
        <f>BEN!$A$50*BEN!X50</f>
        <v>0</v>
      </c>
      <c r="Q17" s="7">
        <f>BEN!$A$50*BEN!Y50</f>
        <v>0</v>
      </c>
      <c r="R17" s="7">
        <f>BEN!$A$50*BEN!Z50</f>
        <v>0</v>
      </c>
      <c r="S17" s="7">
        <f>BEN!$A$50*BEN!AA50</f>
        <v>0</v>
      </c>
      <c r="T17" s="7">
        <f>BEN!$A$50*BEN!AB50</f>
        <v>0</v>
      </c>
      <c r="U17" s="7">
        <f>BEN!$A$50*BEN!AC50</f>
        <v>0</v>
      </c>
      <c r="V17" s="7">
        <f>BEN!$A$50*BEN!AD50</f>
        <v>0</v>
      </c>
      <c r="W17" s="7">
        <f>BEN!$A$50*BEN!AE50</f>
        <v>0</v>
      </c>
      <c r="X17" s="7">
        <f>BEN!$A$50*BEN!AF50</f>
        <v>0</v>
      </c>
      <c r="Y17" s="7">
        <f>BEN!$A$50*BEN!AG50</f>
        <v>0</v>
      </c>
      <c r="Z17" s="7">
        <f>BEN!$A$50*BEN!AH50</f>
        <v>0</v>
      </c>
      <c r="AA17" s="7">
        <f>BEN!$A$50*BEN!AI50</f>
        <v>0</v>
      </c>
      <c r="AB17" s="7">
        <f>BEN!$A$50*BEN!AJ50</f>
        <v>0</v>
      </c>
      <c r="AC17" s="7">
        <f>BEN!$A$50*BEN!AK50</f>
        <v>0</v>
      </c>
      <c r="AD17" s="7">
        <f>BEN!$A$50*BEN!AL50</f>
        <v>0</v>
      </c>
      <c r="AE17" s="7">
        <f>BEN!$A$50*BEN!AM50</f>
        <v>0</v>
      </c>
      <c r="AF17" s="7">
        <f>BEN!$A$50*BEN!AN50</f>
        <v>0</v>
      </c>
      <c r="AG17" s="7">
        <f>BEN!$A$50*BEN!AO50</f>
        <v>0</v>
      </c>
    </row>
    <row r="18" spans="1:53" x14ac:dyDescent="0.45">
      <c r="A18" s="1" t="s">
        <v>25</v>
      </c>
      <c r="B18" s="8">
        <f>BEN!$A$54*BEN!J54</f>
        <v>352191096</v>
      </c>
      <c r="C18" s="8">
        <f>BEN!$A$54*BEN!K54</f>
        <v>344244546</v>
      </c>
      <c r="D18" s="8">
        <f>BEN!$A$54*BEN!L54</f>
        <v>287276612</v>
      </c>
      <c r="E18" s="8">
        <f>BEN!$A$54*BEN!M54</f>
        <v>504341040</v>
      </c>
      <c r="F18" s="8">
        <f>BEN!$A$54*BEN!N54</f>
        <v>459709089.55752218</v>
      </c>
      <c r="G18" s="8">
        <f>BEN!$A$54*BEN!O54</f>
        <v>415077139.1150443</v>
      </c>
      <c r="H18" s="8">
        <f>BEN!$A$54*BEN!P54</f>
        <v>370445188.67256653</v>
      </c>
      <c r="I18" s="8">
        <f>BEN!$A$54*BEN!Q54</f>
        <v>364494261.94690281</v>
      </c>
      <c r="J18" s="8">
        <f>BEN!$A$54*BEN!R54</f>
        <v>358543335.22123903</v>
      </c>
      <c r="K18" s="8">
        <f>BEN!$A$54*BEN!S54</f>
        <v>352592408.49557531</v>
      </c>
      <c r="L18" s="8">
        <f>BEN!$A$54*BEN!T54</f>
        <v>357055603.53982311</v>
      </c>
      <c r="M18" s="8">
        <f>BEN!$A$54*BEN!U54</f>
        <v>361518798.58407092</v>
      </c>
      <c r="N18" s="8">
        <f>BEN!$A$54*BEN!V54</f>
        <v>365981993.62831867</v>
      </c>
      <c r="O18" s="8">
        <f>BEN!$A$54*BEN!W54</f>
        <v>370445188.67256641</v>
      </c>
      <c r="P18" s="8">
        <f>BEN!$A$54*BEN!X54</f>
        <v>0</v>
      </c>
      <c r="Q18" s="8">
        <f>BEN!$A$54*BEN!Y54</f>
        <v>0</v>
      </c>
      <c r="R18" s="8">
        <f>BEN!$A$54*BEN!Z54</f>
        <v>0</v>
      </c>
      <c r="S18" s="8">
        <f>BEN!$A$54*BEN!AA54</f>
        <v>0</v>
      </c>
      <c r="T18" s="8">
        <f>BEN!$A$54*BEN!AB54</f>
        <v>0</v>
      </c>
      <c r="U18" s="8">
        <f>BEN!$A$54*BEN!AC54</f>
        <v>0</v>
      </c>
      <c r="V18" s="8">
        <f>BEN!$A$54*BEN!AD54</f>
        <v>0</v>
      </c>
      <c r="W18" s="8">
        <f>BEN!$A$54*BEN!AE54</f>
        <v>0</v>
      </c>
      <c r="X18" s="8">
        <f>BEN!$A$54*BEN!AF54</f>
        <v>0</v>
      </c>
      <c r="Y18" s="8">
        <f>BEN!$A$54*BEN!AG54</f>
        <v>0</v>
      </c>
      <c r="Z18" s="8">
        <f>BEN!$A$54*BEN!AH54</f>
        <v>0</v>
      </c>
      <c r="AA18" s="8">
        <f>BEN!$A$54*BEN!AI54</f>
        <v>0</v>
      </c>
      <c r="AB18" s="8">
        <f>BEN!$A$54*BEN!AJ54</f>
        <v>0</v>
      </c>
      <c r="AC18" s="8">
        <f>BEN!$A$54*BEN!AK54</f>
        <v>0</v>
      </c>
      <c r="AD18" s="8">
        <f>BEN!$A$54*BEN!AL54</f>
        <v>0</v>
      </c>
      <c r="AE18" s="8">
        <f>BEN!$A$54*BEN!AM54</f>
        <v>0</v>
      </c>
      <c r="AF18" s="8">
        <f>BEN!$A$54*BEN!AN54</f>
        <v>0</v>
      </c>
      <c r="AG18" s="8">
        <f>BEN!$A$54*BEN!AO54</f>
        <v>0</v>
      </c>
    </row>
    <row r="19" spans="1:53" x14ac:dyDescent="0.45">
      <c r="A19" s="1" t="s">
        <v>26</v>
      </c>
      <c r="B19" s="7">
        <f>BEN!$A$58*BEN!J58</f>
        <v>2126712</v>
      </c>
      <c r="C19" s="7">
        <f>BEN!$A$58*BEN!K58</f>
        <v>1481103</v>
      </c>
      <c r="D19" s="7">
        <f>BEN!$A$58*BEN!L58</f>
        <v>23621694</v>
      </c>
      <c r="E19" s="7">
        <f>BEN!$A$58*BEN!M58</f>
        <v>8013147</v>
      </c>
      <c r="F19" s="7">
        <f>BEN!$A$58*BEN!N58</f>
        <v>0</v>
      </c>
      <c r="G19" s="7">
        <f>BEN!$A$58*BEN!O58</f>
        <v>0</v>
      </c>
      <c r="H19" s="7">
        <f>BEN!$A$58*BEN!P58</f>
        <v>0</v>
      </c>
      <c r="I19" s="7">
        <f>BEN!$A$58*BEN!Q58</f>
        <v>0</v>
      </c>
      <c r="J19" s="7">
        <f>BEN!$A$58*BEN!R58</f>
        <v>0</v>
      </c>
      <c r="K19" s="7">
        <f>BEN!$A$58*BEN!S58</f>
        <v>0</v>
      </c>
      <c r="L19" s="7">
        <f>BEN!$A$58*BEN!T58</f>
        <v>0</v>
      </c>
      <c r="M19" s="7">
        <f>BEN!$A$58*BEN!U58</f>
        <v>0</v>
      </c>
      <c r="N19" s="7">
        <f>BEN!$A$58*BEN!V58</f>
        <v>0</v>
      </c>
      <c r="O19" s="7">
        <f>BEN!$A$58*BEN!W58</f>
        <v>0</v>
      </c>
      <c r="P19" s="7">
        <f>BEN!$A$58*BEN!X58</f>
        <v>0</v>
      </c>
      <c r="Q19" s="7">
        <f>BEN!$A$58*BEN!Y58</f>
        <v>0</v>
      </c>
      <c r="R19" s="7">
        <f>BEN!$A$58*BEN!Z58</f>
        <v>0</v>
      </c>
      <c r="S19" s="7">
        <f>BEN!$A$58*BEN!AA58</f>
        <v>0</v>
      </c>
      <c r="T19" s="7">
        <f>BEN!$A$58*BEN!AB58</f>
        <v>0</v>
      </c>
      <c r="U19" s="7">
        <f>BEN!$A$58*BEN!AC58</f>
        <v>0</v>
      </c>
      <c r="V19" s="7">
        <f>BEN!$A$58*BEN!AD58</f>
        <v>0</v>
      </c>
      <c r="W19" s="7">
        <f>BEN!$A$58*BEN!AE58</f>
        <v>0</v>
      </c>
      <c r="X19" s="7">
        <f>BEN!$A$58*BEN!AF58</f>
        <v>0</v>
      </c>
      <c r="Y19" s="7">
        <f>BEN!$A$58*BEN!AG58</f>
        <v>0</v>
      </c>
      <c r="Z19" s="7">
        <f>BEN!$A$58*BEN!AH58</f>
        <v>0</v>
      </c>
      <c r="AA19" s="7">
        <f>BEN!$A$58*BEN!AI58</f>
        <v>0</v>
      </c>
      <c r="AB19" s="7">
        <f>BEN!$A$58*BEN!AJ58</f>
        <v>0</v>
      </c>
      <c r="AC19" s="7">
        <f>BEN!$A$58*BEN!AK58</f>
        <v>0</v>
      </c>
      <c r="AD19" s="7">
        <f>BEN!$A$58*BEN!AL58</f>
        <v>0</v>
      </c>
      <c r="AE19" s="7">
        <f>BEN!$A$58*BEN!AM58</f>
        <v>0</v>
      </c>
      <c r="AF19" s="7">
        <f>BEN!$A$58*BEN!AN58</f>
        <v>0</v>
      </c>
      <c r="AG19" s="7">
        <f>BEN!$A$58*BEN!AO58</f>
        <v>0</v>
      </c>
    </row>
    <row r="20" spans="1:53" x14ac:dyDescent="0.45">
      <c r="A20" s="1" t="s">
        <v>27</v>
      </c>
      <c r="B20" s="7">
        <f>BEN!$A$62*BEN!J62</f>
        <v>90936900</v>
      </c>
      <c r="C20" s="7">
        <f>BEN!$A$62*BEN!K62</f>
        <v>93546060</v>
      </c>
      <c r="D20" s="7">
        <f>BEN!$A$62*BEN!L62</f>
        <v>102754860</v>
      </c>
      <c r="E20" s="7">
        <f>BEN!$A$62*BEN!M62</f>
        <v>89760220</v>
      </c>
      <c r="F20" s="7">
        <f>BEN!$A$62*BEN!N62</f>
        <v>109807415.26982544</v>
      </c>
      <c r="G20" s="7">
        <f>BEN!$A$62*BEN!O62</f>
        <v>95101065.010473803</v>
      </c>
      <c r="H20" s="7">
        <f>BEN!$A$62*BEN!P62</f>
        <v>80067906.967581034</v>
      </c>
      <c r="I20" s="7">
        <f>BEN!$A$62*BEN!Q62</f>
        <v>64707941.141147129</v>
      </c>
      <c r="J20" s="7">
        <f>BEN!$A$62*BEN!R62</f>
        <v>49021167.531172059</v>
      </c>
      <c r="K20" s="7">
        <f>BEN!$A$62*BEN!S62</f>
        <v>33007586.137655858</v>
      </c>
      <c r="L20" s="7">
        <f>BEN!$A$62*BEN!T62</f>
        <v>16667196.960598502</v>
      </c>
      <c r="M20" s="7">
        <f>BEN!$A$62*BEN!U62</f>
        <v>0</v>
      </c>
      <c r="N20" s="7">
        <f>BEN!$A$62*BEN!V62</f>
        <v>0</v>
      </c>
      <c r="O20" s="7">
        <f>BEN!$A$62*BEN!W62</f>
        <v>0</v>
      </c>
      <c r="P20" s="7">
        <f>BEN!$A$62*BEN!X62</f>
        <v>0</v>
      </c>
      <c r="Q20" s="7">
        <f>BEN!$A$62*BEN!Y62</f>
        <v>0</v>
      </c>
      <c r="R20" s="7">
        <f>BEN!$A$62*BEN!Z62</f>
        <v>0</v>
      </c>
      <c r="S20" s="7">
        <f>BEN!$A$62*BEN!AA62</f>
        <v>0</v>
      </c>
      <c r="T20" s="7">
        <f>BEN!$A$62*BEN!AB62</f>
        <v>0</v>
      </c>
      <c r="U20" s="7">
        <f>BEN!$A$62*BEN!AC62</f>
        <v>0</v>
      </c>
      <c r="V20" s="7">
        <f>BEN!$A$62*BEN!AD62</f>
        <v>0</v>
      </c>
      <c r="W20" s="7">
        <f>BEN!$A$62*BEN!AE62</f>
        <v>0</v>
      </c>
      <c r="X20" s="7">
        <f>BEN!$A$62*BEN!AF62</f>
        <v>0</v>
      </c>
      <c r="Y20" s="7">
        <f>BEN!$A$62*BEN!AG62</f>
        <v>0</v>
      </c>
      <c r="Z20" s="7">
        <f>BEN!$A$62*BEN!AH62</f>
        <v>0</v>
      </c>
      <c r="AA20" s="7">
        <f>BEN!$A$62*BEN!AI62</f>
        <v>0</v>
      </c>
      <c r="AB20" s="7">
        <f>BEN!$A$62*BEN!AJ62</f>
        <v>0</v>
      </c>
      <c r="AC20" s="7">
        <f>BEN!$A$62*BEN!AK62</f>
        <v>0</v>
      </c>
      <c r="AD20" s="7">
        <f>BEN!$A$62*BEN!AL62</f>
        <v>0</v>
      </c>
      <c r="AE20" s="7">
        <f>BEN!$A$62*BEN!AM62</f>
        <v>0</v>
      </c>
      <c r="AF20" s="7">
        <f>BEN!$A$62*BEN!AN62</f>
        <v>0</v>
      </c>
      <c r="AG20" s="7">
        <f>BEN!$A$62*BEN!AO62</f>
        <v>0</v>
      </c>
    </row>
    <row r="21" spans="1:53" x14ac:dyDescent="0.45">
      <c r="A21" s="1" t="s">
        <v>156</v>
      </c>
      <c r="B21" s="7">
        <f>BEN!J65</f>
        <v>0</v>
      </c>
      <c r="C21" s="7">
        <f>BEN!K65</f>
        <v>0</v>
      </c>
      <c r="D21" s="7">
        <f>BEN!L65</f>
        <v>0</v>
      </c>
      <c r="E21" s="7">
        <f>BEN!M65</f>
        <v>0</v>
      </c>
      <c r="F21" s="7">
        <f>BEN!N65</f>
        <v>0</v>
      </c>
      <c r="G21" s="7">
        <f>BEN!O65</f>
        <v>0</v>
      </c>
      <c r="H21" s="7">
        <f>BEN!P65</f>
        <v>0</v>
      </c>
      <c r="I21" s="7">
        <f>BEN!Q65</f>
        <v>0</v>
      </c>
      <c r="J21" s="7">
        <f>BEN!R65</f>
        <v>0</v>
      </c>
      <c r="K21" s="7">
        <f>BEN!S65</f>
        <v>0</v>
      </c>
      <c r="L21" s="7">
        <f>BEN!T65</f>
        <v>0</v>
      </c>
      <c r="M21" s="7">
        <f>BEN!U65</f>
        <v>0</v>
      </c>
      <c r="N21" s="7">
        <f>BEN!V65</f>
        <v>0</v>
      </c>
      <c r="O21" s="7">
        <f>BEN!W65</f>
        <v>0</v>
      </c>
      <c r="P21" s="7">
        <f>BEN!X65</f>
        <v>0</v>
      </c>
      <c r="Q21" s="7">
        <f>BEN!Y65</f>
        <v>0</v>
      </c>
      <c r="R21" s="7">
        <f>BEN!Z65</f>
        <v>0</v>
      </c>
      <c r="S21" s="7">
        <f>BEN!AA65</f>
        <v>0</v>
      </c>
      <c r="T21" s="7">
        <f>BEN!AB65</f>
        <v>0</v>
      </c>
      <c r="U21" s="7">
        <f>BEN!AC65</f>
        <v>0</v>
      </c>
      <c r="V21" s="7">
        <f>BEN!AD65</f>
        <v>0</v>
      </c>
      <c r="W21" s="7">
        <f>BEN!AE65</f>
        <v>0</v>
      </c>
      <c r="X21" s="7">
        <f>BEN!AF65</f>
        <v>0</v>
      </c>
      <c r="Y21" s="7">
        <f>BEN!AG65</f>
        <v>0</v>
      </c>
      <c r="Z21" s="7">
        <f>BEN!AH65</f>
        <v>0</v>
      </c>
      <c r="AA21" s="7">
        <f>BEN!AI65</f>
        <v>0</v>
      </c>
      <c r="AB21" s="7">
        <f>BEN!AJ65</f>
        <v>0</v>
      </c>
      <c r="AC21" s="7">
        <f>BEN!AK65</f>
        <v>0</v>
      </c>
      <c r="AD21" s="7">
        <f>BEN!AL65</f>
        <v>0</v>
      </c>
      <c r="AE21" s="7">
        <f>BEN!AM65</f>
        <v>0</v>
      </c>
      <c r="AF21" s="7">
        <f>BEN!AN65</f>
        <v>0</v>
      </c>
      <c r="AG21" s="7">
        <f>BEN!AO65</f>
        <v>0</v>
      </c>
      <c r="AH21" s="7">
        <f>BEN!AP65</f>
        <v>0</v>
      </c>
      <c r="AI21" s="7">
        <f>BEN!AQ65</f>
        <v>0</v>
      </c>
      <c r="AJ21" s="7">
        <f>BEN!AR65</f>
        <v>0</v>
      </c>
      <c r="AK21" s="7">
        <f>BEN!AS65</f>
        <v>0</v>
      </c>
      <c r="AL21" s="7">
        <f>BEN!AT65</f>
        <v>0</v>
      </c>
      <c r="AM21" s="7">
        <f>BEN!AU65</f>
        <v>0</v>
      </c>
      <c r="AN21" s="7">
        <f>BEN!AV65</f>
        <v>0</v>
      </c>
      <c r="AO21" s="7">
        <f>BEN!AW65</f>
        <v>0</v>
      </c>
      <c r="AP21" s="7">
        <f>BEN!AX65</f>
        <v>0</v>
      </c>
      <c r="AQ21" s="7">
        <f>BEN!AY65</f>
        <v>0</v>
      </c>
      <c r="AR21" s="7">
        <f>BEN!AZ65</f>
        <v>0</v>
      </c>
      <c r="AS21" s="7">
        <f>BEN!BA65</f>
        <v>0</v>
      </c>
      <c r="AT21" s="7">
        <f>BEN!BB65</f>
        <v>0</v>
      </c>
      <c r="AU21" s="7">
        <f>BEN!BC65</f>
        <v>0</v>
      </c>
      <c r="AV21" s="7">
        <f>BEN!BD65</f>
        <v>0</v>
      </c>
      <c r="AW21" s="7">
        <f>BEN!BE65</f>
        <v>0</v>
      </c>
      <c r="AX21" s="7">
        <f>BEN!BF65</f>
        <v>0</v>
      </c>
      <c r="AY21" s="7">
        <f>BEN!BG65</f>
        <v>0</v>
      </c>
      <c r="AZ21" s="7">
        <f>BEN!BH65</f>
        <v>0</v>
      </c>
      <c r="BA21" s="7">
        <f>BEN!BI65</f>
        <v>0</v>
      </c>
    </row>
    <row r="22" spans="1:53" x14ac:dyDescent="0.45">
      <c r="A22" s="1" t="s">
        <v>63</v>
      </c>
      <c r="B22" s="7">
        <f>BEN!J66</f>
        <v>0</v>
      </c>
      <c r="C22" s="7">
        <f>BEN!K66</f>
        <v>0</v>
      </c>
      <c r="D22" s="7">
        <f>BEN!L66</f>
        <v>0</v>
      </c>
      <c r="E22" s="7">
        <f>BEN!M66</f>
        <v>0</v>
      </c>
      <c r="F22" s="7">
        <f>BEN!N66</f>
        <v>0</v>
      </c>
      <c r="G22" s="7">
        <f>BEN!O66</f>
        <v>0</v>
      </c>
      <c r="H22" s="7">
        <f>BEN!P66</f>
        <v>0</v>
      </c>
      <c r="I22" s="7">
        <f>BEN!Q66</f>
        <v>0</v>
      </c>
      <c r="J22" s="7">
        <f>BEN!R66</f>
        <v>0</v>
      </c>
      <c r="K22" s="7">
        <f>BEN!S66</f>
        <v>0</v>
      </c>
      <c r="L22" s="7">
        <f>BEN!T66</f>
        <v>0</v>
      </c>
      <c r="M22" s="7">
        <f>BEN!U66</f>
        <v>0</v>
      </c>
      <c r="N22" s="7">
        <f>BEN!V66</f>
        <v>0</v>
      </c>
      <c r="O22" s="7">
        <f>BEN!W66</f>
        <v>0</v>
      </c>
      <c r="P22" s="7">
        <f>BEN!X66</f>
        <v>0</v>
      </c>
      <c r="Q22" s="7">
        <f>BEN!Y66</f>
        <v>0</v>
      </c>
      <c r="R22" s="7">
        <f>BEN!Z66</f>
        <v>0</v>
      </c>
      <c r="S22" s="7">
        <f>BEN!AA66</f>
        <v>0</v>
      </c>
      <c r="T22" s="7">
        <f>BEN!AB66</f>
        <v>0</v>
      </c>
      <c r="U22" s="7">
        <f>BEN!AC66</f>
        <v>0</v>
      </c>
      <c r="V22" s="7">
        <f>BEN!AD66</f>
        <v>0</v>
      </c>
      <c r="W22" s="7">
        <f>BEN!AE66</f>
        <v>0</v>
      </c>
      <c r="X22" s="7">
        <f>BEN!AF66</f>
        <v>0</v>
      </c>
      <c r="Y22" s="7">
        <f>BEN!AG66</f>
        <v>0</v>
      </c>
      <c r="Z22" s="7">
        <f>BEN!AH66</f>
        <v>0</v>
      </c>
      <c r="AA22" s="7">
        <f>BEN!AI66</f>
        <v>0</v>
      </c>
      <c r="AB22" s="7">
        <f>BEN!AJ66</f>
        <v>0</v>
      </c>
      <c r="AC22" s="7">
        <f>BEN!AK66</f>
        <v>0</v>
      </c>
      <c r="AD22" s="7">
        <f>BEN!AL66</f>
        <v>0</v>
      </c>
      <c r="AE22" s="7">
        <f>BEN!AM66</f>
        <v>0</v>
      </c>
      <c r="AF22" s="7">
        <f>BEN!AN66</f>
        <v>0</v>
      </c>
      <c r="AG22" s="7">
        <f>BEN!AO66</f>
        <v>0</v>
      </c>
      <c r="AH22" s="7">
        <f>BEN!AP66</f>
        <v>0</v>
      </c>
      <c r="AI22" s="7">
        <f>BEN!AQ66</f>
        <v>0</v>
      </c>
      <c r="AJ22" s="7">
        <f>BEN!AR66</f>
        <v>0</v>
      </c>
      <c r="AK22" s="7">
        <f>BEN!AS66</f>
        <v>0</v>
      </c>
      <c r="AL22" s="7">
        <f>BEN!AT66</f>
        <v>0</v>
      </c>
      <c r="AM22" s="7">
        <f>BEN!AU66</f>
        <v>0</v>
      </c>
      <c r="AN22" s="7">
        <f>BEN!AV66</f>
        <v>0</v>
      </c>
      <c r="AO22" s="7">
        <f>BEN!AW66</f>
        <v>0</v>
      </c>
      <c r="AP22" s="7">
        <f>BEN!AX66</f>
        <v>0</v>
      </c>
      <c r="AQ22" s="7">
        <f>BEN!AY66</f>
        <v>0</v>
      </c>
      <c r="AR22" s="7">
        <f>BEN!AZ66</f>
        <v>0</v>
      </c>
      <c r="AS22" s="7">
        <f>BEN!BA66</f>
        <v>0</v>
      </c>
      <c r="AT22" s="7">
        <f>BEN!BB66</f>
        <v>0</v>
      </c>
      <c r="AU22" s="7">
        <f>BEN!BC66</f>
        <v>0</v>
      </c>
      <c r="AV22" s="7">
        <f>BEN!BD66</f>
        <v>0</v>
      </c>
      <c r="AW22" s="7">
        <f>BEN!BE66</f>
        <v>0</v>
      </c>
      <c r="AX22" s="7">
        <f>BEN!BF66</f>
        <v>0</v>
      </c>
      <c r="AY22" s="7">
        <f>BEN!BG66</f>
        <v>0</v>
      </c>
      <c r="AZ22" s="7">
        <f>BEN!BH66</f>
        <v>0</v>
      </c>
      <c r="BA22" s="7">
        <f>BEN!BI66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DDAF-A9A2-45CF-A4F8-F56EA4E1BD51}">
  <sheetPr>
    <tabColor theme="3"/>
  </sheetPr>
  <dimension ref="A1:BA22"/>
  <sheetViews>
    <sheetView workbookViewId="0">
      <selection activeCell="B14" sqref="B14"/>
    </sheetView>
  </sheetViews>
  <sheetFormatPr defaultRowHeight="14.25" x14ac:dyDescent="0.45"/>
  <cols>
    <col min="1" max="1" width="36.265625" customWidth="1"/>
    <col min="2" max="35" width="13" customWidth="1"/>
  </cols>
  <sheetData>
    <row r="1" spans="1:53" x14ac:dyDescent="0.45">
      <c r="A1" s="6" t="s">
        <v>148</v>
      </c>
      <c r="B1" s="5">
        <v>2019</v>
      </c>
      <c r="C1">
        <v>2020</v>
      </c>
      <c r="D1" s="5">
        <v>2021</v>
      </c>
      <c r="E1">
        <v>2022</v>
      </c>
      <c r="F1" s="5">
        <v>2023</v>
      </c>
      <c r="G1">
        <v>2024</v>
      </c>
      <c r="H1" s="5">
        <v>2025</v>
      </c>
      <c r="I1">
        <v>2026</v>
      </c>
      <c r="J1" s="5">
        <v>2027</v>
      </c>
      <c r="K1">
        <v>2028</v>
      </c>
      <c r="L1" s="5">
        <v>2029</v>
      </c>
      <c r="M1">
        <v>2030</v>
      </c>
      <c r="N1" s="5">
        <v>2031</v>
      </c>
      <c r="O1">
        <v>2032</v>
      </c>
      <c r="P1" s="5">
        <v>2033</v>
      </c>
      <c r="Q1">
        <v>2034</v>
      </c>
      <c r="R1" s="5">
        <v>2035</v>
      </c>
      <c r="S1">
        <v>2036</v>
      </c>
      <c r="T1" s="5">
        <v>2037</v>
      </c>
      <c r="U1">
        <v>2038</v>
      </c>
      <c r="V1" s="5">
        <v>2039</v>
      </c>
      <c r="W1">
        <v>2040</v>
      </c>
      <c r="X1" s="5">
        <v>2041</v>
      </c>
      <c r="Y1">
        <v>2042</v>
      </c>
      <c r="Z1" s="5">
        <v>2043</v>
      </c>
      <c r="AA1">
        <v>2044</v>
      </c>
      <c r="AB1" s="5">
        <v>2045</v>
      </c>
      <c r="AC1">
        <v>2046</v>
      </c>
      <c r="AD1" s="5">
        <v>2047</v>
      </c>
      <c r="AE1">
        <v>2048</v>
      </c>
      <c r="AF1" s="5">
        <v>2049</v>
      </c>
      <c r="AG1">
        <v>2050</v>
      </c>
      <c r="AH1" s="5">
        <v>2051</v>
      </c>
      <c r="AI1">
        <v>2052</v>
      </c>
      <c r="AJ1" s="5">
        <v>2053</v>
      </c>
      <c r="AK1">
        <v>2054</v>
      </c>
      <c r="AL1" s="5">
        <v>2055</v>
      </c>
      <c r="AM1">
        <v>2056</v>
      </c>
      <c r="AN1" s="5">
        <v>2057</v>
      </c>
      <c r="AO1">
        <v>2058</v>
      </c>
      <c r="AP1" s="5">
        <v>2059</v>
      </c>
      <c r="AQ1">
        <v>2060</v>
      </c>
      <c r="AR1" s="5">
        <v>2061</v>
      </c>
      <c r="AS1">
        <v>2062</v>
      </c>
      <c r="AT1" s="5">
        <v>2063</v>
      </c>
      <c r="AU1">
        <v>2064</v>
      </c>
      <c r="AV1" s="5">
        <v>2065</v>
      </c>
      <c r="AW1">
        <v>2066</v>
      </c>
      <c r="AX1" s="5">
        <v>2067</v>
      </c>
      <c r="AY1">
        <v>2068</v>
      </c>
      <c r="AZ1" s="5">
        <v>2069</v>
      </c>
      <c r="BA1">
        <v>2070</v>
      </c>
    </row>
    <row r="2" spans="1:53" x14ac:dyDescent="0.45">
      <c r="A2" s="6" t="s">
        <v>149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</row>
    <row r="3" spans="1:53" x14ac:dyDescent="0.45">
      <c r="A3" s="1" t="s">
        <v>55</v>
      </c>
      <c r="B3" s="7">
        <f>BEN!$A$5*BEN!J6</f>
        <v>0</v>
      </c>
      <c r="C3" s="7">
        <f>BEN!$A$5*BEN!K4</f>
        <v>0</v>
      </c>
      <c r="D3" s="7">
        <f>BEN!$A$5*BEN!L4</f>
        <v>0</v>
      </c>
      <c r="E3" s="7">
        <f>BEN!$A$5*BEN!M4</f>
        <v>0</v>
      </c>
      <c r="F3" s="7">
        <f>BEN!$A$5*BEN!N4</f>
        <v>0</v>
      </c>
      <c r="G3" s="7">
        <f>BEN!$A$5*BEN!O4</f>
        <v>0</v>
      </c>
      <c r="H3" s="7">
        <f>BEN!$A$5*BEN!P4</f>
        <v>0</v>
      </c>
      <c r="I3" s="7">
        <f>BEN!$A$5*BEN!Q4</f>
        <v>0</v>
      </c>
      <c r="J3" s="7">
        <f>BEN!$A$5*BEN!R4</f>
        <v>0</v>
      </c>
      <c r="K3" s="7">
        <f>BEN!$A$5*BEN!S4</f>
        <v>0</v>
      </c>
      <c r="L3" s="7">
        <f>BEN!$A$5*BEN!T4</f>
        <v>0</v>
      </c>
      <c r="M3" s="7">
        <f>BEN!$A$5*BEN!U4</f>
        <v>0</v>
      </c>
      <c r="N3" s="7">
        <f>BEN!$A$5*BEN!V4</f>
        <v>0</v>
      </c>
      <c r="O3" s="7">
        <f>BEN!$A$5*BEN!W4</f>
        <v>0</v>
      </c>
      <c r="P3" s="7">
        <f>BEN!$A$5*BEN!X4</f>
        <v>0</v>
      </c>
      <c r="Q3" s="7">
        <f>BEN!$A$5*BEN!Y4</f>
        <v>0</v>
      </c>
      <c r="R3" s="7">
        <f>BEN!$A$5*BEN!Z4</f>
        <v>0</v>
      </c>
      <c r="S3" s="7">
        <f>BEN!$A$5*BEN!AA4</f>
        <v>0</v>
      </c>
      <c r="T3" s="7">
        <f>BEN!$A$5*BEN!AB4</f>
        <v>0</v>
      </c>
      <c r="U3" s="7">
        <f>BEN!$A$5*BEN!AC4</f>
        <v>0</v>
      </c>
      <c r="V3" s="7">
        <f>BEN!$A$5*BEN!AD4</f>
        <v>0</v>
      </c>
      <c r="W3" s="7">
        <f>BEN!$A$5*BEN!AE4</f>
        <v>0</v>
      </c>
      <c r="X3" s="7">
        <f>BEN!$A$5*BEN!AF4</f>
        <v>0</v>
      </c>
      <c r="Y3" s="7">
        <f>BEN!$A$5*BEN!AG4</f>
        <v>0</v>
      </c>
      <c r="Z3" s="7">
        <f>BEN!$A$5*BEN!AH4</f>
        <v>0</v>
      </c>
      <c r="AA3" s="7">
        <f>BEN!$A$5*BEN!AI4</f>
        <v>0</v>
      </c>
      <c r="AB3" s="7">
        <f>BEN!$A$5*BEN!AJ4</f>
        <v>0</v>
      </c>
      <c r="AC3" s="7">
        <f>BEN!$A$5*BEN!AK4</f>
        <v>0</v>
      </c>
      <c r="AD3" s="7">
        <f>BEN!$A$5*BEN!AL4</f>
        <v>0</v>
      </c>
      <c r="AE3" s="7">
        <f>BEN!$A$5*BEN!AM4</f>
        <v>0</v>
      </c>
      <c r="AF3" s="7">
        <f>BEN!$A$5*BEN!AN4</f>
        <v>0</v>
      </c>
      <c r="AG3" s="7">
        <f>BEN!$A$5*BEN!AO4</f>
        <v>0</v>
      </c>
      <c r="AH3" s="7">
        <f>BEN!$A$5*BEN!AP4</f>
        <v>0</v>
      </c>
      <c r="AI3" s="7">
        <f>BEN!$A$5*BEN!AQ4</f>
        <v>0</v>
      </c>
      <c r="AJ3" s="7">
        <f>BEN!$A$5*BEN!AR4</f>
        <v>0</v>
      </c>
      <c r="AK3" s="7">
        <f>BEN!$A$5*BEN!AS4</f>
        <v>0</v>
      </c>
      <c r="AL3" s="7">
        <f>BEN!$A$5*BEN!AT4</f>
        <v>0</v>
      </c>
      <c r="AM3" s="7">
        <f>BEN!$A$5*BEN!AU4</f>
        <v>0</v>
      </c>
      <c r="AN3" s="7">
        <f>BEN!$A$5*BEN!AV4</f>
        <v>0</v>
      </c>
      <c r="AO3" s="7">
        <f>BEN!$A$5*BEN!AW4</f>
        <v>0</v>
      </c>
      <c r="AP3" s="7">
        <f>BEN!$A$5*BEN!AX4</f>
        <v>0</v>
      </c>
      <c r="AQ3" s="7">
        <f>BEN!$A$5*BEN!AY4</f>
        <v>0</v>
      </c>
      <c r="AR3" s="7">
        <f>BEN!$A$5*BEN!AZ4</f>
        <v>0</v>
      </c>
      <c r="AS3" s="7">
        <f>BEN!$A$5*BEN!BA4</f>
        <v>0</v>
      </c>
      <c r="AT3" s="7">
        <f>BEN!$A$5*BEN!BB4</f>
        <v>0</v>
      </c>
      <c r="AU3" s="7">
        <f>BEN!$A$5*BEN!BC4</f>
        <v>0</v>
      </c>
      <c r="AV3" s="7">
        <f>BEN!$A$5*BEN!BD4</f>
        <v>0</v>
      </c>
      <c r="AW3" s="7">
        <f>BEN!$A$5*BEN!BE4</f>
        <v>0</v>
      </c>
      <c r="AX3" s="7">
        <f>BEN!$A$5*BEN!BF4</f>
        <v>0</v>
      </c>
      <c r="AY3" s="7">
        <f>BEN!$A$5*BEN!BG4</f>
        <v>0</v>
      </c>
      <c r="AZ3" s="7">
        <f>BEN!$A$5*BEN!BH4</f>
        <v>0</v>
      </c>
      <c r="BA3" s="7">
        <f>BEN!$A$5*BEN!BI4</f>
        <v>0</v>
      </c>
    </row>
    <row r="4" spans="1:53" x14ac:dyDescent="0.45">
      <c r="A4" s="1" t="s">
        <v>13</v>
      </c>
      <c r="B4" s="8">
        <f>BEN!$A$9*BEN!J10</f>
        <v>0</v>
      </c>
      <c r="C4" s="8">
        <f>BEN!$A$9*BEN!K8</f>
        <v>982478.39999999991</v>
      </c>
      <c r="D4" s="8">
        <f>BEN!$A$9*BEN!L8</f>
        <v>999932.6</v>
      </c>
      <c r="E4" s="8">
        <f>BEN!$A$9*BEN!M8</f>
        <v>957971.6</v>
      </c>
      <c r="F4" s="8">
        <f>BEN!$A$9*BEN!N8</f>
        <v>1035432</v>
      </c>
      <c r="G4" s="8">
        <f>BEN!$A$9*BEN!O8</f>
        <v>1078575</v>
      </c>
      <c r="H4" s="8">
        <f>BEN!$A$9*BEN!P8</f>
        <v>1092956</v>
      </c>
      <c r="I4" s="8">
        <f>BEN!$A$9*BEN!Q8</f>
        <v>1121718</v>
      </c>
      <c r="J4" s="8">
        <f>BEN!$A$9*BEN!R8</f>
        <v>1366195</v>
      </c>
      <c r="K4" s="8">
        <f>BEN!$A$9*BEN!S8</f>
        <v>1581910</v>
      </c>
      <c r="L4" s="8">
        <f>BEN!$A$9*BEN!T8</f>
        <v>1668196</v>
      </c>
      <c r="M4" s="8">
        <f>BEN!$A$9*BEN!U8</f>
        <v>1740101</v>
      </c>
      <c r="N4" s="8">
        <f>BEN!$A$9*BEN!V8</f>
        <v>1855149</v>
      </c>
      <c r="O4" s="8">
        <f>BEN!$A$9*BEN!W8</f>
        <v>1927054</v>
      </c>
      <c r="P4" s="8">
        <f>BEN!$A$9*BEN!X8</f>
        <v>0</v>
      </c>
      <c r="Q4" s="8">
        <f>BEN!$A$9*BEN!Y8</f>
        <v>0</v>
      </c>
      <c r="R4" s="8">
        <f>BEN!$A$9*BEN!Z8</f>
        <v>0</v>
      </c>
      <c r="S4" s="8">
        <f>BEN!$A$9*BEN!AA8</f>
        <v>0</v>
      </c>
      <c r="T4" s="8">
        <f>BEN!$A$9*BEN!AB8</f>
        <v>0</v>
      </c>
      <c r="U4" s="8">
        <f>BEN!$A$9*BEN!AC8</f>
        <v>0</v>
      </c>
      <c r="V4" s="8">
        <f>BEN!$A$9*BEN!AD8</f>
        <v>0</v>
      </c>
      <c r="W4" s="8">
        <f>BEN!$A$9*BEN!AE8</f>
        <v>0</v>
      </c>
      <c r="X4" s="8">
        <f>BEN!$A$9*BEN!AF8</f>
        <v>0</v>
      </c>
      <c r="Y4" s="8">
        <f>BEN!$A$9*BEN!AG8</f>
        <v>0</v>
      </c>
      <c r="Z4" s="8">
        <f>BEN!$A$9*BEN!AH8</f>
        <v>0</v>
      </c>
      <c r="AA4" s="8">
        <f>BEN!$A$9*BEN!AI8</f>
        <v>0</v>
      </c>
      <c r="AB4" s="8">
        <f>BEN!$A$9*BEN!AJ8</f>
        <v>0</v>
      </c>
      <c r="AC4" s="8">
        <f>BEN!$A$9*BEN!AK8</f>
        <v>0</v>
      </c>
      <c r="AD4" s="8">
        <f>BEN!$A$9*BEN!AL8</f>
        <v>0</v>
      </c>
      <c r="AE4" s="8">
        <f>BEN!$A$9*BEN!AM8</f>
        <v>0</v>
      </c>
      <c r="AF4" s="8">
        <f>BEN!$A$9*BEN!AN8</f>
        <v>0</v>
      </c>
      <c r="AG4" s="8">
        <f>BEN!$A$9*BEN!AO8</f>
        <v>0</v>
      </c>
    </row>
    <row r="5" spans="1:53" x14ac:dyDescent="0.45">
      <c r="A5" s="1" t="s">
        <v>57</v>
      </c>
      <c r="B5" s="7">
        <f>BEN!$A$15*BEN!J116</f>
        <v>0</v>
      </c>
      <c r="C5" s="7">
        <f>BEN!$A$15*BEN!K14</f>
        <v>2801103.7461792375</v>
      </c>
      <c r="D5" s="7">
        <f>BEN!$A$15*BEN!L14</f>
        <v>4663906.7300915383</v>
      </c>
      <c r="E5" s="7">
        <f>BEN!$A$15*BEN!M14</f>
        <v>7023457.1763804527</v>
      </c>
      <c r="F5" s="7">
        <f>BEN!$A$15*BEN!N14</f>
        <v>7023457.1763804527</v>
      </c>
      <c r="G5" s="7">
        <f>BEN!$A$15*BEN!O14</f>
        <v>7023457.1763804527</v>
      </c>
      <c r="H5" s="7">
        <f>BEN!$A$15*BEN!P14</f>
        <v>7023457.1763804527</v>
      </c>
      <c r="I5" s="7">
        <f>BEN!$A$15*BEN!Q14</f>
        <v>7023457.1763804527</v>
      </c>
      <c r="J5" s="7">
        <f>BEN!$A$15*BEN!R14</f>
        <v>7023457.1763804527</v>
      </c>
      <c r="K5" s="7">
        <f>BEN!$A$15*BEN!S14</f>
        <v>7023457.1763804527</v>
      </c>
      <c r="L5" s="7">
        <f>BEN!$A$15*BEN!T14</f>
        <v>7023457.1763804527</v>
      </c>
      <c r="M5" s="7">
        <f>BEN!$A$15*BEN!U14</f>
        <v>7023457.1763804527</v>
      </c>
      <c r="N5" s="7">
        <f>BEN!$A$15*BEN!V14</f>
        <v>7023457.1763804527</v>
      </c>
      <c r="O5" s="7">
        <f>BEN!$A$15*BEN!W14</f>
        <v>7023457.1763804527</v>
      </c>
      <c r="P5" s="7">
        <f>BEN!$A$15*BEN!X14</f>
        <v>7023457.1763804527</v>
      </c>
      <c r="Q5" s="7">
        <f>BEN!$A$15*BEN!Y14</f>
        <v>7023457.1763804527</v>
      </c>
      <c r="R5" s="7">
        <f>BEN!$A$15*BEN!Z14</f>
        <v>7023457.1763804527</v>
      </c>
      <c r="S5" s="7">
        <f>BEN!$A$15*BEN!AA14</f>
        <v>7023457.1763804527</v>
      </c>
      <c r="T5" s="7">
        <f>BEN!$A$15*BEN!AB14</f>
        <v>7023457.1763804527</v>
      </c>
      <c r="U5" s="7">
        <f>BEN!$A$15*BEN!AC14</f>
        <v>7023457.1763804527</v>
      </c>
      <c r="V5" s="7">
        <f>BEN!$A$15*BEN!AD14</f>
        <v>7023457.1763804527</v>
      </c>
      <c r="W5" s="7">
        <f>BEN!$A$15*BEN!AE14</f>
        <v>7023457.1763804527</v>
      </c>
      <c r="X5" s="7">
        <f>BEN!$A$15*BEN!AF14</f>
        <v>7023457.1763804527</v>
      </c>
      <c r="Y5" s="7">
        <f>BEN!$A$15*BEN!AG14</f>
        <v>7023457.1763804527</v>
      </c>
      <c r="Z5" s="7">
        <f>BEN!$A$15*BEN!AH14</f>
        <v>7023457.1763804527</v>
      </c>
      <c r="AA5" s="7">
        <f>BEN!$A$15*BEN!AI14</f>
        <v>7023457.1763804527</v>
      </c>
      <c r="AB5" s="7">
        <f>BEN!$A$15*BEN!AJ14</f>
        <v>7023457.1763804527</v>
      </c>
      <c r="AC5" s="7">
        <f>BEN!$A$15*BEN!AK14</f>
        <v>7023457.1763804527</v>
      </c>
      <c r="AD5" s="7">
        <f>BEN!$A$15*BEN!AL14</f>
        <v>7023457.1763804527</v>
      </c>
      <c r="AE5" s="7">
        <f>BEN!$A$15*BEN!AM14</f>
        <v>7023457.1763804527</v>
      </c>
      <c r="AF5" s="7">
        <f>BEN!$A$15*BEN!AN14</f>
        <v>7023457.1763804527</v>
      </c>
      <c r="AG5" s="7">
        <f>BEN!$A$15*BEN!AO14</f>
        <v>7023457.1763804527</v>
      </c>
    </row>
    <row r="6" spans="1:53" x14ac:dyDescent="0.45">
      <c r="A6" s="1" t="s">
        <v>150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</row>
    <row r="7" spans="1:53" x14ac:dyDescent="0.45">
      <c r="A7" s="1" t="s">
        <v>151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</row>
    <row r="8" spans="1:53" x14ac:dyDescent="0.45">
      <c r="A8" s="1" t="s">
        <v>152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</row>
    <row r="9" spans="1:53" x14ac:dyDescent="0.45">
      <c r="A9" s="1" t="s">
        <v>15</v>
      </c>
      <c r="B9" s="7">
        <f>BEN!$A$20*BEN!J21</f>
        <v>0</v>
      </c>
      <c r="C9" s="7">
        <f>BEN!$A$20*BEN!K19</f>
        <v>2313221300</v>
      </c>
      <c r="D9" s="7">
        <f>BEN!$A$20*BEN!L19</f>
        <v>2155755550</v>
      </c>
      <c r="E9" s="7">
        <f>BEN!$A$20*BEN!M19</f>
        <v>2128149400</v>
      </c>
      <c r="F9" s="7">
        <f>BEN!$A$20*BEN!N19</f>
        <v>1412032112.4000003</v>
      </c>
      <c r="G9" s="7">
        <f>BEN!$A$20*BEN!O19</f>
        <v>1496966374.8</v>
      </c>
      <c r="H9" s="7">
        <f>BEN!$A$20*BEN!P19</f>
        <v>1581900637.2</v>
      </c>
      <c r="I9" s="7">
        <f>BEN!$A$20*BEN!Q19</f>
        <v>1666834899.5999997</v>
      </c>
      <c r="J9" s="7">
        <f>BEN!$A$20*BEN!R19</f>
        <v>1751769162</v>
      </c>
      <c r="K9" s="7">
        <f>BEN!$A$20*BEN!S19</f>
        <v>1836703424.3999999</v>
      </c>
      <c r="L9" s="7">
        <f>BEN!$A$20*BEN!T19</f>
        <v>1921637686.7999997</v>
      </c>
      <c r="M9" s="7">
        <f>BEN!$A$20*BEN!U19</f>
        <v>2006571949.1999996</v>
      </c>
      <c r="N9" s="7">
        <f>BEN!$A$20*BEN!V19</f>
        <v>2091506211.5999994</v>
      </c>
      <c r="O9" s="7">
        <f>BEN!$A$20*BEN!W19</f>
        <v>2176440474</v>
      </c>
      <c r="P9" s="7">
        <f>BEN!$A$20*BEN!X19</f>
        <v>0</v>
      </c>
      <c r="Q9" s="7">
        <f>BEN!$A$20*BEN!Y19</f>
        <v>0</v>
      </c>
      <c r="R9" s="7">
        <f>BEN!$A$20*BEN!Z19</f>
        <v>0</v>
      </c>
      <c r="S9" s="7">
        <f>BEN!$A$20*BEN!AA19</f>
        <v>0</v>
      </c>
      <c r="T9" s="7">
        <f>BEN!$A$20*BEN!AB19</f>
        <v>0</v>
      </c>
      <c r="U9" s="7">
        <f>BEN!$A$20*BEN!AC19</f>
        <v>0</v>
      </c>
      <c r="V9" s="7">
        <f>BEN!$A$20*BEN!AD19</f>
        <v>0</v>
      </c>
      <c r="W9" s="7">
        <f>BEN!$A$20*BEN!AE19</f>
        <v>0</v>
      </c>
      <c r="X9" s="7">
        <f>BEN!$A$20*BEN!AF19</f>
        <v>0</v>
      </c>
      <c r="Y9" s="7">
        <f>BEN!$A$20*BEN!AG19</f>
        <v>0</v>
      </c>
      <c r="Z9" s="7">
        <f>BEN!$A$20*BEN!AH19</f>
        <v>0</v>
      </c>
      <c r="AA9" s="7">
        <f>BEN!$A$20*BEN!AI19</f>
        <v>0</v>
      </c>
      <c r="AB9" s="7">
        <f>BEN!$A$20*BEN!AJ19</f>
        <v>0</v>
      </c>
      <c r="AC9" s="7">
        <f>BEN!$A$20*BEN!AK19</f>
        <v>0</v>
      </c>
      <c r="AD9" s="7">
        <f>BEN!$A$20*BEN!AL19</f>
        <v>0</v>
      </c>
      <c r="AE9" s="7">
        <f>BEN!$A$20*BEN!AM19</f>
        <v>0</v>
      </c>
      <c r="AF9" s="7">
        <f>BEN!$A$20*BEN!AN19</f>
        <v>0</v>
      </c>
      <c r="AG9" s="7">
        <f>BEN!$A$20*BEN!AO19</f>
        <v>0</v>
      </c>
    </row>
    <row r="10" spans="1:53" x14ac:dyDescent="0.45">
      <c r="A10" s="1" t="s">
        <v>19</v>
      </c>
      <c r="B10" s="7">
        <f>BEN!$A$28*BEN!J29</f>
        <v>61539784</v>
      </c>
      <c r="C10" s="7">
        <f>BEN!$A$28*BEN!K27</f>
        <v>719502132</v>
      </c>
      <c r="D10" s="7">
        <f>BEN!$A$28*BEN!L27</f>
        <v>858623600</v>
      </c>
      <c r="E10" s="7">
        <f>BEN!$A$28*BEN!M27</f>
        <v>876162744</v>
      </c>
      <c r="F10" s="7">
        <f>BEN!$A$28*BEN!N27</f>
        <v>851291027.39612913</v>
      </c>
      <c r="G10" s="7">
        <f>BEN!$A$28*BEN!O27</f>
        <v>826419310.79225826</v>
      </c>
      <c r="H10" s="7">
        <f>BEN!$A$28*BEN!P27</f>
        <v>801547594.18838727</v>
      </c>
      <c r="I10" s="7">
        <f>BEN!$A$28*BEN!Q27</f>
        <v>810968698.96258068</v>
      </c>
      <c r="J10" s="7">
        <f>BEN!$A$28*BEN!R27</f>
        <v>820389803.73677421</v>
      </c>
      <c r="K10" s="7">
        <f>BEN!$A$28*BEN!S27</f>
        <v>829810908.51096785</v>
      </c>
      <c r="L10" s="7">
        <f>BEN!$A$28*BEN!T27</f>
        <v>825288778.21935475</v>
      </c>
      <c r="M10" s="7">
        <f>BEN!$A$28*BEN!U27</f>
        <v>820766647.92774165</v>
      </c>
      <c r="N10" s="7">
        <f>BEN!$A$28*BEN!V27</f>
        <v>816244517.6361289</v>
      </c>
      <c r="O10" s="7">
        <f>BEN!$A$28*BEN!W27</f>
        <v>811722387.34451604</v>
      </c>
      <c r="P10" s="7">
        <f>BEN!$A$28*BEN!X27</f>
        <v>0</v>
      </c>
      <c r="Q10" s="7">
        <f>BEN!$A$28*BEN!Y27</f>
        <v>0</v>
      </c>
      <c r="R10" s="7">
        <f>BEN!$A$28*BEN!Z27</f>
        <v>0</v>
      </c>
      <c r="S10" s="7">
        <f>BEN!$A$28*BEN!AA27</f>
        <v>0</v>
      </c>
      <c r="T10" s="7">
        <f>BEN!$A$28*BEN!AB27</f>
        <v>0</v>
      </c>
      <c r="U10" s="7">
        <f>BEN!$A$28*BEN!AC27</f>
        <v>0</v>
      </c>
      <c r="V10" s="7">
        <f>BEN!$A$28*BEN!AD27</f>
        <v>0</v>
      </c>
      <c r="W10" s="7">
        <f>BEN!$A$28*BEN!AE27</f>
        <v>0</v>
      </c>
      <c r="X10" s="7">
        <f>BEN!$A$28*BEN!AF27</f>
        <v>0</v>
      </c>
      <c r="Y10" s="7">
        <f>BEN!$A$28*BEN!AG27</f>
        <v>0</v>
      </c>
      <c r="Z10" s="7">
        <f>BEN!$A$28*BEN!AH27</f>
        <v>0</v>
      </c>
      <c r="AA10" s="7">
        <f>BEN!$A$28*BEN!AI27</f>
        <v>0</v>
      </c>
      <c r="AB10" s="7">
        <f>BEN!$A$28*BEN!AJ27</f>
        <v>0</v>
      </c>
      <c r="AC10" s="7">
        <f>BEN!$A$28*BEN!AK27</f>
        <v>0</v>
      </c>
      <c r="AD10" s="7">
        <f>BEN!$A$28*BEN!AL27</f>
        <v>0</v>
      </c>
      <c r="AE10" s="7">
        <f>BEN!$A$28*BEN!AM27</f>
        <v>0</v>
      </c>
      <c r="AF10" s="7">
        <f>BEN!$A$28*BEN!AN27</f>
        <v>0</v>
      </c>
      <c r="AG10" s="7">
        <f>BEN!$A$28*BEN!AO27</f>
        <v>0</v>
      </c>
    </row>
    <row r="11" spans="1:53" x14ac:dyDescent="0.45">
      <c r="A11" s="1" t="s">
        <v>21</v>
      </c>
      <c r="B11" s="7">
        <f>BEN!$A$32*BEN!J33</f>
        <v>20190660</v>
      </c>
      <c r="C11" s="7">
        <f>BEN!$A$32*BEN!K31</f>
        <v>1398169553.8999999</v>
      </c>
      <c r="D11" s="7">
        <f>BEN!$A$32*BEN!L31</f>
        <v>1442050588.3</v>
      </c>
      <c r="E11" s="7">
        <f>BEN!$A$32*BEN!M31</f>
        <v>1509924857</v>
      </c>
      <c r="F11" s="7">
        <f>BEN!$A$32*BEN!N31</f>
        <v>1526733581.45</v>
      </c>
      <c r="G11" s="7">
        <f>BEN!$A$32*BEN!O31</f>
        <v>1518135725.3999999</v>
      </c>
      <c r="H11" s="7">
        <f>BEN!$A$32*BEN!P31</f>
        <v>1509537869.3499999</v>
      </c>
      <c r="I11" s="7">
        <f>BEN!$A$32*BEN!Q31</f>
        <v>1560306162.2166667</v>
      </c>
      <c r="J11" s="7">
        <f>BEN!$A$32*BEN!R31</f>
        <v>1611074455.0833335</v>
      </c>
      <c r="K11" s="7">
        <f>BEN!$A$32*BEN!S31</f>
        <v>1661842747.9500003</v>
      </c>
      <c r="L11" s="7">
        <f>BEN!$A$32*BEN!T31</f>
        <v>1678731393.7625003</v>
      </c>
      <c r="M11" s="7">
        <f>BEN!$A$32*BEN!U31</f>
        <v>1695620039.5750003</v>
      </c>
      <c r="N11" s="7">
        <f>BEN!$A$32*BEN!V31</f>
        <v>1712508685.3875003</v>
      </c>
      <c r="O11" s="7">
        <f>BEN!$A$32*BEN!W31</f>
        <v>1729397331.2000003</v>
      </c>
      <c r="P11" s="7">
        <f>BEN!$A$32*BEN!X31</f>
        <v>0</v>
      </c>
      <c r="Q11" s="7">
        <f>BEN!$A$32*BEN!Y31</f>
        <v>0</v>
      </c>
      <c r="R11" s="7">
        <f>BEN!$A$32*BEN!Z31</f>
        <v>0</v>
      </c>
      <c r="S11" s="7">
        <f>BEN!$A$32*BEN!AA31</f>
        <v>0</v>
      </c>
      <c r="T11" s="7">
        <f>BEN!$A$32*BEN!AB31</f>
        <v>0</v>
      </c>
      <c r="U11" s="7">
        <f>BEN!$A$32*BEN!AC31</f>
        <v>0</v>
      </c>
      <c r="V11" s="7">
        <f>BEN!$A$32*BEN!AD31</f>
        <v>0</v>
      </c>
      <c r="W11" s="7">
        <f>BEN!$A$32*BEN!AE31</f>
        <v>0</v>
      </c>
      <c r="X11" s="7">
        <f>BEN!$A$32*BEN!AF31</f>
        <v>0</v>
      </c>
      <c r="Y11" s="7">
        <f>BEN!$A$32*BEN!AG31</f>
        <v>0</v>
      </c>
      <c r="Z11" s="7">
        <f>BEN!$A$32*BEN!AH31</f>
        <v>0</v>
      </c>
      <c r="AA11" s="7">
        <f>BEN!$A$32*BEN!AI31</f>
        <v>0</v>
      </c>
      <c r="AB11" s="7">
        <f>BEN!$A$32*BEN!AJ31</f>
        <v>0</v>
      </c>
      <c r="AC11" s="7">
        <f>BEN!$A$32*BEN!AK31</f>
        <v>0</v>
      </c>
      <c r="AD11" s="7">
        <f>BEN!$A$32*BEN!AL31</f>
        <v>0</v>
      </c>
      <c r="AE11" s="7">
        <f>BEN!$A$32*BEN!AM31</f>
        <v>0</v>
      </c>
      <c r="AF11" s="7">
        <f>BEN!$A$32*BEN!AN31</f>
        <v>0</v>
      </c>
      <c r="AG11" s="7">
        <f>BEN!$A$32*BEN!AO31</f>
        <v>0</v>
      </c>
    </row>
    <row r="12" spans="1:53" x14ac:dyDescent="0.45">
      <c r="A12" s="1" t="s">
        <v>22</v>
      </c>
      <c r="B12" s="7">
        <f>BEN!$A$36*BEN!J37</f>
        <v>41660209.299999997</v>
      </c>
      <c r="C12" s="7">
        <f>BEN!$A$36*BEN!K35</f>
        <v>702576907.89999998</v>
      </c>
      <c r="D12" s="7">
        <f>BEN!$A$36*BEN!L35</f>
        <v>644364685.79999995</v>
      </c>
      <c r="E12" s="7">
        <f>BEN!$A$36*BEN!M35</f>
        <v>700119968.5</v>
      </c>
      <c r="F12" s="7">
        <f>BEN!$A$36*BEN!N35</f>
        <v>712817193.0827477</v>
      </c>
      <c r="G12" s="7">
        <f>BEN!$A$36*BEN!O35</f>
        <v>753352099.9843781</v>
      </c>
      <c r="H12" s="7">
        <f>BEN!$A$36*BEN!P35</f>
        <v>770947340.55689454</v>
      </c>
      <c r="I12" s="7">
        <f>BEN!$A$36*BEN!Q35</f>
        <v>799856244.8283236</v>
      </c>
      <c r="J12" s="7">
        <f>BEN!$A$36*BEN!R35</f>
        <v>843692127.67102146</v>
      </c>
      <c r="K12" s="7">
        <f>BEN!$A$36*BEN!S35</f>
        <v>866988506.3945533</v>
      </c>
      <c r="L12" s="7">
        <f>BEN!$A$36*BEN!T35</f>
        <v>907454513.33578086</v>
      </c>
      <c r="M12" s="7">
        <f>BEN!$A$36*BEN!U35</f>
        <v>936841361.7535342</v>
      </c>
      <c r="N12" s="7">
        <f>BEN!$A$36*BEN!V35</f>
        <v>986284118.41784346</v>
      </c>
      <c r="O12" s="7">
        <f>BEN!$A$36*BEN!W35</f>
        <v>1016116853.9739968</v>
      </c>
      <c r="P12" s="7">
        <f>BEN!$A$36*BEN!X35</f>
        <v>0</v>
      </c>
      <c r="Q12" s="7">
        <f>BEN!$A$36*BEN!Y35</f>
        <v>0</v>
      </c>
      <c r="R12" s="7">
        <f>BEN!$A$36*BEN!Z35</f>
        <v>0</v>
      </c>
      <c r="S12" s="7">
        <f>BEN!$A$36*BEN!AA35</f>
        <v>0</v>
      </c>
      <c r="T12" s="7">
        <f>BEN!$A$36*BEN!AB35</f>
        <v>0</v>
      </c>
      <c r="U12" s="7">
        <f>BEN!$A$36*BEN!AC35</f>
        <v>0</v>
      </c>
      <c r="V12" s="7">
        <f>BEN!$A$36*BEN!AD35</f>
        <v>0</v>
      </c>
      <c r="W12" s="7">
        <f>BEN!$A$36*BEN!AE35</f>
        <v>0</v>
      </c>
      <c r="X12" s="7">
        <f>BEN!$A$36*BEN!AF35</f>
        <v>0</v>
      </c>
      <c r="Y12" s="7">
        <f>BEN!$A$36*BEN!AG35</f>
        <v>0</v>
      </c>
      <c r="Z12" s="7">
        <f>BEN!$A$36*BEN!AH35</f>
        <v>0</v>
      </c>
      <c r="AA12" s="7">
        <f>BEN!$A$36*BEN!AI35</f>
        <v>0</v>
      </c>
      <c r="AB12" s="7">
        <f>BEN!$A$36*BEN!AJ35</f>
        <v>0</v>
      </c>
      <c r="AC12" s="7">
        <f>BEN!$A$36*BEN!AK35</f>
        <v>0</v>
      </c>
      <c r="AD12" s="7">
        <f>BEN!$A$36*BEN!AL35</f>
        <v>0</v>
      </c>
      <c r="AE12" s="7">
        <f>BEN!$A$36*BEN!AM35</f>
        <v>0</v>
      </c>
      <c r="AF12" s="7">
        <f>BEN!$A$36*BEN!AN35</f>
        <v>0</v>
      </c>
      <c r="AG12" s="7">
        <f>BEN!$A$36*BEN!AO35</f>
        <v>0</v>
      </c>
    </row>
    <row r="13" spans="1:53" x14ac:dyDescent="0.45">
      <c r="A13" s="1" t="s">
        <v>23</v>
      </c>
      <c r="B13" s="7">
        <f>BEN!$A$40*BEN!J41</f>
        <v>0</v>
      </c>
      <c r="C13" s="7">
        <f>BEN!$A$40*BEN!K39</f>
        <v>188154604.93395326</v>
      </c>
      <c r="D13" s="7">
        <f>BEN!$A$40*BEN!L39</f>
        <v>197925071.04837185</v>
      </c>
      <c r="E13" s="7">
        <f>BEN!$A$40*BEN!M39</f>
        <v>197925071.04837185</v>
      </c>
      <c r="F13" s="7">
        <f>BEN!$A$40*BEN!N39</f>
        <v>214606606.16188231</v>
      </c>
      <c r="G13" s="7">
        <f>BEN!$A$40*BEN!O39</f>
        <v>255433990.71850091</v>
      </c>
      <c r="H13" s="7">
        <f>BEN!$A$40*BEN!P39</f>
        <v>279100293.83729184</v>
      </c>
      <c r="I13" s="7">
        <f>BEN!$A$40*BEN!Q39</f>
        <v>303489399.36507875</v>
      </c>
      <c r="J13" s="7">
        <f>BEN!$A$40*BEN!R39</f>
        <v>328601307.3018617</v>
      </c>
      <c r="K13" s="7">
        <f>BEN!$A$40*BEN!S39</f>
        <v>354436017.64764047</v>
      </c>
      <c r="L13" s="7">
        <f>BEN!$A$40*BEN!T39</f>
        <v>380993530.40241516</v>
      </c>
      <c r="M13" s="7">
        <f>BEN!$A$40*BEN!U39</f>
        <v>408273845.56618583</v>
      </c>
      <c r="N13" s="7">
        <f>BEN!$A$40*BEN!V39</f>
        <v>415501869.65614522</v>
      </c>
      <c r="O13" s="7">
        <f>BEN!$A$40*BEN!W39</f>
        <v>422729893.74610424</v>
      </c>
      <c r="P13" s="7">
        <f>BEN!$A$40*BEN!X39</f>
        <v>0</v>
      </c>
      <c r="Q13" s="7">
        <f>BEN!$A$40*BEN!Y39</f>
        <v>0</v>
      </c>
      <c r="R13" s="7">
        <f>BEN!$A$40*BEN!Z39</f>
        <v>0</v>
      </c>
      <c r="S13" s="7">
        <f>BEN!$A$40*BEN!AA39</f>
        <v>0</v>
      </c>
      <c r="T13" s="7">
        <f>BEN!$A$40*BEN!AB39</f>
        <v>0</v>
      </c>
      <c r="U13" s="7">
        <f>BEN!$A$40*BEN!AC39</f>
        <v>0</v>
      </c>
      <c r="V13" s="7">
        <f>BEN!$A$40*BEN!AD39</f>
        <v>0</v>
      </c>
      <c r="W13" s="7">
        <f>BEN!$A$40*BEN!AE39</f>
        <v>0</v>
      </c>
      <c r="X13" s="7">
        <f>BEN!$A$40*BEN!AF39</f>
        <v>0</v>
      </c>
      <c r="Y13" s="7">
        <f>BEN!$A$40*BEN!AG39</f>
        <v>0</v>
      </c>
      <c r="Z13" s="7">
        <f>BEN!$A$40*BEN!AH39</f>
        <v>0</v>
      </c>
      <c r="AA13" s="7">
        <f>BEN!$A$40*BEN!AI39</f>
        <v>0</v>
      </c>
      <c r="AB13" s="7">
        <f>BEN!$A$40*BEN!AJ39</f>
        <v>0</v>
      </c>
      <c r="AC13" s="7">
        <f>BEN!$A$40*BEN!AK39</f>
        <v>0</v>
      </c>
      <c r="AD13" s="7">
        <f>BEN!$A$40*BEN!AL39</f>
        <v>0</v>
      </c>
      <c r="AE13" s="7">
        <f>BEN!$A$40*BEN!AM39</f>
        <v>0</v>
      </c>
      <c r="AF13" s="7">
        <f>BEN!$A$40*BEN!AN39</f>
        <v>0</v>
      </c>
      <c r="AG13" s="7">
        <f>BEN!$A$40*BEN!AO39</f>
        <v>0</v>
      </c>
    </row>
    <row r="14" spans="1:53" x14ac:dyDescent="0.45">
      <c r="A14" s="1" t="s">
        <v>153</v>
      </c>
      <c r="B14" s="7">
        <f>BEN!$B$44*BEN!J45</f>
        <v>96388748.175182477</v>
      </c>
      <c r="C14" s="7">
        <f>BEN!$B$44*BEN!K45</f>
        <v>45039616.788321167</v>
      </c>
      <c r="D14" s="7">
        <f>BEN!$B$44*BEN!L45</f>
        <v>43214222.627737224</v>
      </c>
      <c r="E14" s="7">
        <f>BEN!$B$44*BEN!M45</f>
        <v>70317357.66423358</v>
      </c>
      <c r="F14" s="7">
        <f>BEN!$B$44*BEN!N45</f>
        <v>3788925.5021251654</v>
      </c>
      <c r="G14" s="7">
        <f>BEN!$B$44*BEN!O45</f>
        <v>7577851.0042502703</v>
      </c>
      <c r="H14" s="7">
        <f>BEN!$B$44*BEN!P45</f>
        <v>11366776.506375436</v>
      </c>
      <c r="I14" s="7">
        <f>BEN!$B$44*BEN!Q45</f>
        <v>21431355.014090832</v>
      </c>
      <c r="J14" s="7">
        <f>BEN!$B$44*BEN!R45</f>
        <v>18944627.510625705</v>
      </c>
      <c r="K14" s="7">
        <f>BEN!$B$44*BEN!S45</f>
        <v>3906593.995980056</v>
      </c>
      <c r="L14" s="7">
        <f>BEN!$B$44*BEN!T45</f>
        <v>0</v>
      </c>
      <c r="M14" s="7">
        <f>BEN!$B$44*BEN!U45</f>
        <v>0</v>
      </c>
      <c r="N14" s="7">
        <f>BEN!$B$44*BEN!V45</f>
        <v>0</v>
      </c>
      <c r="O14" s="7">
        <f>BEN!$B$44*BEN!W45</f>
        <v>0</v>
      </c>
      <c r="P14" s="7">
        <f>BEN!$B$44*BEN!X45</f>
        <v>0</v>
      </c>
      <c r="Q14" s="7">
        <f>BEN!$B$44*BEN!Y45</f>
        <v>0</v>
      </c>
      <c r="R14" s="7">
        <f>BEN!$B$44*BEN!Z45</f>
        <v>0</v>
      </c>
      <c r="S14" s="7">
        <f>BEN!$B$44*BEN!AA45</f>
        <v>0</v>
      </c>
      <c r="T14" s="7">
        <f>BEN!$B$44*BEN!AB45</f>
        <v>0</v>
      </c>
      <c r="U14" s="7">
        <f>BEN!$B$44*BEN!AC45</f>
        <v>0</v>
      </c>
      <c r="V14" s="7">
        <f>BEN!$B$44*BEN!AD45</f>
        <v>0</v>
      </c>
      <c r="W14" s="7">
        <f>BEN!$B$44*BEN!AE45</f>
        <v>0</v>
      </c>
      <c r="X14" s="7">
        <f>BEN!$B$44*BEN!AF45</f>
        <v>0</v>
      </c>
      <c r="Y14" s="7">
        <f>BEN!$B$44*BEN!AG45</f>
        <v>0</v>
      </c>
      <c r="Z14" s="7">
        <f>BEN!$B$44*BEN!AH45</f>
        <v>0</v>
      </c>
      <c r="AA14" s="7">
        <f>BEN!$B$44*BEN!AI45</f>
        <v>0</v>
      </c>
      <c r="AB14" s="7">
        <f>BEN!$B$44*BEN!AJ45</f>
        <v>0</v>
      </c>
      <c r="AC14" s="7">
        <f>BEN!$B$44*BEN!AK45</f>
        <v>0</v>
      </c>
      <c r="AD14" s="7">
        <f>BEN!$B$44*BEN!AL45</f>
        <v>0</v>
      </c>
      <c r="AE14" s="7">
        <f>BEN!$B$44*BEN!AM45</f>
        <v>0</v>
      </c>
      <c r="AF14" s="7">
        <f>BEN!$B$44*BEN!AN45</f>
        <v>0</v>
      </c>
      <c r="AG14" s="7">
        <f>BEN!$B$44*BEN!AO45</f>
        <v>0</v>
      </c>
      <c r="AH14" s="7">
        <f>BEN!$B$44*BEN!AP45</f>
        <v>0</v>
      </c>
      <c r="AI14" s="7">
        <f>BEN!$B$44*BEN!AQ45</f>
        <v>0</v>
      </c>
      <c r="AJ14" s="7">
        <f>BEN!$B$44*BEN!AR45</f>
        <v>0</v>
      </c>
      <c r="AK14" s="7">
        <f>BEN!$B$44*BEN!AS45</f>
        <v>0</v>
      </c>
      <c r="AL14" s="7">
        <f>BEN!$B$44*BEN!AT45</f>
        <v>0</v>
      </c>
      <c r="AM14" s="7">
        <f>BEN!$B$44*BEN!AU45</f>
        <v>0</v>
      </c>
      <c r="AN14" s="7">
        <f>BEN!$B$44*BEN!AV45</f>
        <v>0</v>
      </c>
      <c r="AO14" s="7">
        <f>BEN!$B$44*BEN!AW45</f>
        <v>0</v>
      </c>
      <c r="AP14" s="7">
        <f>BEN!$B$44*BEN!AX45</f>
        <v>0</v>
      </c>
      <c r="AQ14" s="7">
        <f>BEN!$B$44*BEN!AY45</f>
        <v>0</v>
      </c>
      <c r="AR14" s="7">
        <f>BEN!$B$44*BEN!AZ45</f>
        <v>0</v>
      </c>
      <c r="AS14" s="7">
        <f>BEN!$B$44*BEN!BA45</f>
        <v>0</v>
      </c>
      <c r="AT14" s="7">
        <f>BEN!$B$44*BEN!BB45</f>
        <v>0</v>
      </c>
      <c r="AU14" s="7">
        <f>BEN!$B$44*BEN!BC45</f>
        <v>0</v>
      </c>
      <c r="AV14" s="7">
        <f>BEN!$B$44*BEN!BD45</f>
        <v>0</v>
      </c>
      <c r="AW14" s="7">
        <f>BEN!$B$44*BEN!BE45</f>
        <v>0</v>
      </c>
      <c r="AX14" s="7">
        <f>BEN!$B$44*BEN!BF45</f>
        <v>0</v>
      </c>
      <c r="AY14" s="7">
        <f>BEN!$B$44*BEN!BG45</f>
        <v>0</v>
      </c>
      <c r="AZ14" s="7">
        <f>BEN!$B$44*BEN!BH45</f>
        <v>0</v>
      </c>
    </row>
    <row r="15" spans="1:53" x14ac:dyDescent="0.45">
      <c r="A15" s="1" t="s">
        <v>154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</row>
    <row r="16" spans="1:53" x14ac:dyDescent="0.45">
      <c r="A16" s="1" t="s">
        <v>155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</row>
    <row r="17" spans="1:53" x14ac:dyDescent="0.45">
      <c r="A17" s="1" t="s">
        <v>59</v>
      </c>
      <c r="B17" s="7">
        <f>BEN!$A$50*BEN!J51</f>
        <v>0</v>
      </c>
      <c r="C17" s="7">
        <f>BEN!$A$50*BEN!K49</f>
        <v>130776660</v>
      </c>
      <c r="D17" s="7">
        <f>BEN!$A$50*BEN!L49</f>
        <v>159026900</v>
      </c>
      <c r="E17" s="7">
        <f>BEN!$A$50*BEN!M49</f>
        <v>146070920</v>
      </c>
      <c r="F17" s="7">
        <f>BEN!$A$50*BEN!N49</f>
        <v>132562183.33333333</v>
      </c>
      <c r="G17" s="7">
        <f>BEN!$A$50*BEN!O49</f>
        <v>132562183.33333333</v>
      </c>
      <c r="H17" s="7">
        <f>BEN!$A$50*BEN!P49</f>
        <v>132562183.33333333</v>
      </c>
      <c r="I17" s="7">
        <f>BEN!$A$50*BEN!Q49</f>
        <v>132562183.33333333</v>
      </c>
      <c r="J17" s="7">
        <f>BEN!$A$50*BEN!R49</f>
        <v>132562183.33333333</v>
      </c>
      <c r="K17" s="7">
        <f>BEN!$A$50*BEN!S49</f>
        <v>132562183.33333333</v>
      </c>
      <c r="L17" s="7">
        <f>BEN!$A$50*BEN!T49</f>
        <v>132562183.33333333</v>
      </c>
      <c r="M17" s="7">
        <f>BEN!$A$50*BEN!U49</f>
        <v>132562183.33333333</v>
      </c>
      <c r="N17" s="7">
        <f>BEN!$A$50*BEN!V49</f>
        <v>132562183.33333333</v>
      </c>
      <c r="O17" s="7">
        <f>BEN!$A$50*BEN!W49</f>
        <v>132562183.33333333</v>
      </c>
      <c r="P17" s="7">
        <f>BEN!$A$50*BEN!X49</f>
        <v>0</v>
      </c>
      <c r="Q17" s="7">
        <f>BEN!$A$50*BEN!Y49</f>
        <v>0</v>
      </c>
      <c r="R17" s="7">
        <f>BEN!$A$50*BEN!Z49</f>
        <v>0</v>
      </c>
      <c r="S17" s="7">
        <f>BEN!$A$50*BEN!AA49</f>
        <v>0</v>
      </c>
      <c r="T17" s="7">
        <f>BEN!$A$50*BEN!AB49</f>
        <v>0</v>
      </c>
      <c r="U17" s="7">
        <f>BEN!$A$50*BEN!AC49</f>
        <v>0</v>
      </c>
      <c r="V17" s="7">
        <f>BEN!$A$50*BEN!AD49</f>
        <v>0</v>
      </c>
      <c r="W17" s="7">
        <f>BEN!$A$50*BEN!AE49</f>
        <v>0</v>
      </c>
      <c r="X17" s="7">
        <f>BEN!$A$50*BEN!AF49</f>
        <v>0</v>
      </c>
      <c r="Y17" s="7">
        <f>BEN!$A$50*BEN!AG49</f>
        <v>0</v>
      </c>
      <c r="Z17" s="7">
        <f>BEN!$A$50*BEN!AH49</f>
        <v>0</v>
      </c>
      <c r="AA17" s="7">
        <f>BEN!$A$50*BEN!AI49</f>
        <v>0</v>
      </c>
      <c r="AB17" s="7">
        <f>BEN!$A$50*BEN!AJ49</f>
        <v>0</v>
      </c>
      <c r="AC17" s="7">
        <f>BEN!$A$50*BEN!AK49</f>
        <v>0</v>
      </c>
      <c r="AD17" s="7">
        <f>BEN!$A$50*BEN!AL49</f>
        <v>0</v>
      </c>
      <c r="AE17" s="7">
        <f>BEN!$A$50*BEN!AM49</f>
        <v>0</v>
      </c>
      <c r="AF17" s="7">
        <f>BEN!$A$50*BEN!AN49</f>
        <v>0</v>
      </c>
      <c r="AG17" s="7">
        <f>BEN!$A$50*BEN!AO49</f>
        <v>0</v>
      </c>
    </row>
    <row r="18" spans="1:53" x14ac:dyDescent="0.45">
      <c r="A18" s="1" t="s">
        <v>25</v>
      </c>
      <c r="B18" s="8">
        <f>BEN!$A$54*BEN!J55</f>
        <v>2517361086</v>
      </c>
      <c r="C18" s="8">
        <f>BEN!$A$54*BEN!K53</f>
        <v>6050220626</v>
      </c>
      <c r="D18" s="8">
        <f>BEN!$A$54*BEN!L53</f>
        <v>5961113312</v>
      </c>
      <c r="E18" s="8">
        <f>BEN!$A$54*BEN!M53</f>
        <v>6199403858</v>
      </c>
      <c r="F18" s="8">
        <f>BEN!$A$54*BEN!N53</f>
        <v>6819344243.8000002</v>
      </c>
      <c r="G18" s="8">
        <f>BEN!$A$54*BEN!O53</f>
        <v>7852578220.1333323</v>
      </c>
      <c r="H18" s="8">
        <f>BEN!$A$54*BEN!P53</f>
        <v>8472518605.9333315</v>
      </c>
      <c r="I18" s="8">
        <f>BEN!$A$54*BEN!Q53</f>
        <v>9299105786.9999981</v>
      </c>
      <c r="J18" s="8">
        <f>BEN!$A$54*BEN!R53</f>
        <v>9712399377.5333328</v>
      </c>
      <c r="K18" s="8">
        <f>BEN!$A$54*BEN!S53</f>
        <v>10538986558.599998</v>
      </c>
      <c r="L18" s="8">
        <f>BEN!$A$54*BEN!T53</f>
        <v>11158926944.4</v>
      </c>
      <c r="M18" s="8">
        <f>BEN!$A$54*BEN!U53</f>
        <v>10952280149.133331</v>
      </c>
      <c r="N18" s="8">
        <f>BEN!$A$54*BEN!V53</f>
        <v>10745633353.866665</v>
      </c>
      <c r="O18" s="8">
        <f>BEN!$A$54*BEN!W53</f>
        <v>10125692968.066666</v>
      </c>
      <c r="P18" s="8">
        <f>BEN!$A$54*BEN!X53</f>
        <v>0</v>
      </c>
      <c r="Q18" s="8">
        <f>BEN!$A$54*BEN!Y53</f>
        <v>0</v>
      </c>
      <c r="R18" s="8">
        <f>BEN!$A$54*BEN!Z53</f>
        <v>0</v>
      </c>
      <c r="S18" s="8">
        <f>BEN!$A$54*BEN!AA53</f>
        <v>0</v>
      </c>
      <c r="T18" s="8">
        <f>BEN!$A$54*BEN!AB53</f>
        <v>0</v>
      </c>
      <c r="U18" s="8">
        <f>BEN!$A$54*BEN!AC53</f>
        <v>0</v>
      </c>
      <c r="V18" s="8">
        <f>BEN!$A$54*BEN!AD53</f>
        <v>0</v>
      </c>
      <c r="W18" s="8">
        <f>BEN!$A$54*BEN!AE53</f>
        <v>0</v>
      </c>
      <c r="X18" s="8">
        <f>BEN!$A$54*BEN!AF53</f>
        <v>0</v>
      </c>
      <c r="Y18" s="8">
        <f>BEN!$A$54*BEN!AG53</f>
        <v>0</v>
      </c>
      <c r="Z18" s="8">
        <f>BEN!$A$54*BEN!AH53</f>
        <v>0</v>
      </c>
      <c r="AA18" s="8">
        <f>BEN!$A$54*BEN!AI53</f>
        <v>0</v>
      </c>
      <c r="AB18" s="8">
        <f>BEN!$A$54*BEN!AJ53</f>
        <v>0</v>
      </c>
      <c r="AC18" s="8">
        <f>BEN!$A$54*BEN!AK53</f>
        <v>0</v>
      </c>
      <c r="AD18" s="8">
        <f>BEN!$A$54*BEN!AL53</f>
        <v>0</v>
      </c>
      <c r="AE18" s="8">
        <f>BEN!$A$54*BEN!AM53</f>
        <v>0</v>
      </c>
      <c r="AF18" s="8">
        <f>BEN!$A$54*BEN!AN53</f>
        <v>0</v>
      </c>
      <c r="AG18" s="8">
        <f>BEN!$A$54*BEN!AO53</f>
        <v>0</v>
      </c>
    </row>
    <row r="19" spans="1:53" x14ac:dyDescent="0.45">
      <c r="A19" s="1" t="s">
        <v>26</v>
      </c>
      <c r="B19" s="7">
        <f>BEN!$A$58*BEN!J59</f>
        <v>350641641</v>
      </c>
      <c r="C19" s="7">
        <f>BEN!$A$58*BEN!K57</f>
        <v>665243109</v>
      </c>
      <c r="D19" s="7">
        <f>BEN!$A$58*BEN!L57</f>
        <v>653925963</v>
      </c>
      <c r="E19" s="7">
        <f>BEN!$A$58*BEN!M57</f>
        <v>700447788</v>
      </c>
      <c r="F19" s="7">
        <f>BEN!$A$58*BEN!N57</f>
        <v>691694089.5</v>
      </c>
      <c r="G19" s="7">
        <f>BEN!$A$58*BEN!O57</f>
        <v>699086945.49999988</v>
      </c>
      <c r="H19" s="7">
        <f>BEN!$A$58*BEN!P57</f>
        <v>706479801.50000012</v>
      </c>
      <c r="I19" s="7">
        <f>BEN!$A$58*BEN!Q57</f>
        <v>713872657.5</v>
      </c>
      <c r="J19" s="7">
        <f>BEN!$A$58*BEN!R57</f>
        <v>701859266.5</v>
      </c>
      <c r="K19" s="7">
        <f>BEN!$A$58*BEN!S57</f>
        <v>689845875.5</v>
      </c>
      <c r="L19" s="7">
        <f>BEN!$A$58*BEN!T57</f>
        <v>677832484.5</v>
      </c>
      <c r="M19" s="7">
        <f>BEN!$A$58*BEN!U57</f>
        <v>656346996.75</v>
      </c>
      <c r="N19" s="7">
        <f>BEN!$A$58*BEN!V57</f>
        <v>634861509</v>
      </c>
      <c r="O19" s="7">
        <f>BEN!$A$58*BEN!W57</f>
        <v>613376021.25</v>
      </c>
      <c r="P19" s="7">
        <f>BEN!$A$58*BEN!X57</f>
        <v>0</v>
      </c>
      <c r="Q19" s="7">
        <f>BEN!$A$58*BEN!Y57</f>
        <v>0</v>
      </c>
      <c r="R19" s="7">
        <f>BEN!$A$58*BEN!Z57</f>
        <v>0</v>
      </c>
      <c r="S19" s="7">
        <f>BEN!$A$58*BEN!AA57</f>
        <v>0</v>
      </c>
      <c r="T19" s="7">
        <f>BEN!$A$58*BEN!AB57</f>
        <v>0</v>
      </c>
      <c r="U19" s="7">
        <f>BEN!$A$58*BEN!AC57</f>
        <v>0</v>
      </c>
      <c r="V19" s="7">
        <f>BEN!$A$58*BEN!AD57</f>
        <v>0</v>
      </c>
      <c r="W19" s="7">
        <f>BEN!$A$58*BEN!AE57</f>
        <v>0</v>
      </c>
      <c r="X19" s="7">
        <f>BEN!$A$58*BEN!AF57</f>
        <v>0</v>
      </c>
      <c r="Y19" s="7">
        <f>BEN!$A$58*BEN!AG57</f>
        <v>0</v>
      </c>
      <c r="Z19" s="7">
        <f>BEN!$A$58*BEN!AH57</f>
        <v>0</v>
      </c>
      <c r="AA19" s="7">
        <f>BEN!$A$58*BEN!AI57</f>
        <v>0</v>
      </c>
      <c r="AB19" s="7">
        <f>BEN!$A$58*BEN!AJ57</f>
        <v>0</v>
      </c>
      <c r="AC19" s="7">
        <f>BEN!$A$58*BEN!AK57</f>
        <v>0</v>
      </c>
      <c r="AD19" s="7">
        <f>BEN!$A$58*BEN!AL57</f>
        <v>0</v>
      </c>
      <c r="AE19" s="7">
        <f>BEN!$A$58*BEN!AM57</f>
        <v>0</v>
      </c>
      <c r="AF19" s="7">
        <f>BEN!$A$58*BEN!AN57</f>
        <v>0</v>
      </c>
      <c r="AG19" s="7">
        <f>BEN!$A$58*BEN!AO57</f>
        <v>0</v>
      </c>
    </row>
    <row r="20" spans="1:53" x14ac:dyDescent="0.45">
      <c r="A20" s="1" t="s">
        <v>27</v>
      </c>
      <c r="B20" s="7">
        <f>BEN!$A$62*BEN!J63</f>
        <v>25580</v>
      </c>
      <c r="C20" s="7">
        <f>BEN!$A$62*BEN!K61</f>
        <v>253574540</v>
      </c>
      <c r="D20" s="7">
        <f>BEN!$A$62*BEN!L61</f>
        <v>245823800</v>
      </c>
      <c r="E20" s="7">
        <f>BEN!$A$62*BEN!M61</f>
        <v>256439500</v>
      </c>
      <c r="F20" s="7">
        <f>BEN!$A$62*BEN!N61</f>
        <v>283835680</v>
      </c>
      <c r="G20" s="7">
        <f>BEN!$A$62*BEN!O61</f>
        <v>309044769.99999994</v>
      </c>
      <c r="H20" s="7">
        <f>BEN!$A$62*BEN!P61</f>
        <v>334253859.99999994</v>
      </c>
      <c r="I20" s="7">
        <f>BEN!$A$62*BEN!Q61</f>
        <v>340167103.33333331</v>
      </c>
      <c r="J20" s="7">
        <f>BEN!$A$62*BEN!R61</f>
        <v>346080346.66666669</v>
      </c>
      <c r="K20" s="7">
        <f>BEN!$A$62*BEN!S61</f>
        <v>351993590.00000006</v>
      </c>
      <c r="L20" s="7">
        <f>BEN!$A$62*BEN!T61</f>
        <v>364131300</v>
      </c>
      <c r="M20" s="7">
        <f>BEN!$A$62*BEN!U61</f>
        <v>376269009.99999994</v>
      </c>
      <c r="N20" s="7">
        <f>BEN!$A$62*BEN!V61</f>
        <v>388406720</v>
      </c>
      <c r="O20" s="7">
        <f>BEN!$A$62*BEN!W61</f>
        <v>400544430</v>
      </c>
      <c r="P20" s="7">
        <f>BEN!$A$62*BEN!X61</f>
        <v>0</v>
      </c>
      <c r="Q20" s="7">
        <f>BEN!$A$62*BEN!Y61</f>
        <v>0</v>
      </c>
      <c r="R20" s="7">
        <f>BEN!$A$62*BEN!Z61</f>
        <v>0</v>
      </c>
      <c r="S20" s="7">
        <f>BEN!$A$62*BEN!AA61</f>
        <v>0</v>
      </c>
      <c r="T20" s="7">
        <f>BEN!$A$62*BEN!AB61</f>
        <v>0</v>
      </c>
      <c r="U20" s="7">
        <f>BEN!$A$62*BEN!AC61</f>
        <v>0</v>
      </c>
      <c r="V20" s="7">
        <f>BEN!$A$62*BEN!AD61</f>
        <v>0</v>
      </c>
      <c r="W20" s="7">
        <f>BEN!$A$62*BEN!AE61</f>
        <v>0</v>
      </c>
      <c r="X20" s="7">
        <f>BEN!$A$62*BEN!AF61</f>
        <v>0</v>
      </c>
      <c r="Y20" s="7">
        <f>BEN!$A$62*BEN!AG61</f>
        <v>0</v>
      </c>
      <c r="Z20" s="7">
        <f>BEN!$A$62*BEN!AH61</f>
        <v>0</v>
      </c>
      <c r="AA20" s="7">
        <f>BEN!$A$62*BEN!AI61</f>
        <v>0</v>
      </c>
      <c r="AB20" s="7">
        <f>BEN!$A$62*BEN!AJ61</f>
        <v>0</v>
      </c>
      <c r="AC20" s="7">
        <f>BEN!$A$62*BEN!AK61</f>
        <v>0</v>
      </c>
      <c r="AD20" s="7">
        <f>BEN!$A$62*BEN!AL61</f>
        <v>0</v>
      </c>
      <c r="AE20" s="7">
        <f>BEN!$A$62*BEN!AM61</f>
        <v>0</v>
      </c>
      <c r="AF20" s="7">
        <f>BEN!$A$62*BEN!AN61</f>
        <v>0</v>
      </c>
      <c r="AG20" s="7">
        <f>BEN!$A$62*BEN!AO61</f>
        <v>0</v>
      </c>
    </row>
    <row r="21" spans="1:53" x14ac:dyDescent="0.45">
      <c r="A21" s="1" t="s">
        <v>156</v>
      </c>
      <c r="B21" s="7">
        <f>BEN!J65</f>
        <v>0</v>
      </c>
      <c r="C21" s="7">
        <f>BEN!K65</f>
        <v>0</v>
      </c>
      <c r="D21" s="7">
        <f>BEN!L65</f>
        <v>0</v>
      </c>
      <c r="E21" s="7">
        <f>BEN!M65</f>
        <v>0</v>
      </c>
      <c r="F21" s="7">
        <f>BEN!N65</f>
        <v>0</v>
      </c>
      <c r="G21" s="7">
        <f>BEN!O65</f>
        <v>0</v>
      </c>
      <c r="H21" s="7">
        <f>BEN!P65</f>
        <v>0</v>
      </c>
      <c r="I21" s="7">
        <f>BEN!Q65</f>
        <v>0</v>
      </c>
      <c r="J21" s="7">
        <f>BEN!R65</f>
        <v>0</v>
      </c>
      <c r="K21" s="7">
        <f>BEN!S65</f>
        <v>0</v>
      </c>
      <c r="L21" s="7">
        <f>BEN!T65</f>
        <v>0</v>
      </c>
      <c r="M21" s="7">
        <f>BEN!U65</f>
        <v>0</v>
      </c>
      <c r="N21" s="7">
        <f>BEN!V65</f>
        <v>0</v>
      </c>
      <c r="O21" s="7">
        <f>BEN!W65</f>
        <v>0</v>
      </c>
      <c r="P21" s="7">
        <f>BEN!X65</f>
        <v>0</v>
      </c>
      <c r="Q21" s="7">
        <f>BEN!Y65</f>
        <v>0</v>
      </c>
      <c r="R21" s="7">
        <f>BEN!Z65</f>
        <v>0</v>
      </c>
      <c r="S21" s="7">
        <f>BEN!AA65</f>
        <v>0</v>
      </c>
      <c r="T21" s="7">
        <f>BEN!AB65</f>
        <v>0</v>
      </c>
      <c r="U21" s="7">
        <f>BEN!AC65</f>
        <v>0</v>
      </c>
      <c r="V21" s="7">
        <f>BEN!AD65</f>
        <v>0</v>
      </c>
      <c r="W21" s="7">
        <f>BEN!AE65</f>
        <v>0</v>
      </c>
      <c r="X21" s="7">
        <f>BEN!AF65</f>
        <v>0</v>
      </c>
      <c r="Y21" s="7">
        <f>BEN!AG65</f>
        <v>0</v>
      </c>
      <c r="Z21" s="7">
        <f>BEN!AH65</f>
        <v>0</v>
      </c>
      <c r="AA21" s="7">
        <f>BEN!AI65</f>
        <v>0</v>
      </c>
      <c r="AB21" s="7">
        <f>BEN!AJ65</f>
        <v>0</v>
      </c>
      <c r="AC21" s="7">
        <f>BEN!AK65</f>
        <v>0</v>
      </c>
      <c r="AD21" s="7">
        <f>BEN!AL65</f>
        <v>0</v>
      </c>
      <c r="AE21" s="7">
        <f>BEN!AM65</f>
        <v>0</v>
      </c>
      <c r="AF21" s="7">
        <f>BEN!AN65</f>
        <v>0</v>
      </c>
      <c r="AG21" s="7">
        <f>BEN!AO65</f>
        <v>0</v>
      </c>
      <c r="AH21" s="7">
        <f>BEN!AP65</f>
        <v>0</v>
      </c>
      <c r="AI21" s="7">
        <f>BEN!AQ65</f>
        <v>0</v>
      </c>
      <c r="AJ21" s="7">
        <f>BEN!AR65</f>
        <v>0</v>
      </c>
      <c r="AK21" s="7">
        <f>BEN!AS65</f>
        <v>0</v>
      </c>
      <c r="AL21" s="7">
        <f>BEN!AT65</f>
        <v>0</v>
      </c>
      <c r="AM21" s="7">
        <f>BEN!AU65</f>
        <v>0</v>
      </c>
      <c r="AN21" s="7">
        <f>BEN!AV65</f>
        <v>0</v>
      </c>
      <c r="AO21" s="7">
        <f>BEN!AW65</f>
        <v>0</v>
      </c>
      <c r="AP21" s="7">
        <f>BEN!AX65</f>
        <v>0</v>
      </c>
      <c r="AQ21" s="7">
        <f>BEN!AY65</f>
        <v>0</v>
      </c>
      <c r="AR21" s="7">
        <f>BEN!AZ65</f>
        <v>0</v>
      </c>
      <c r="AS21" s="7">
        <f>BEN!BA65</f>
        <v>0</v>
      </c>
      <c r="AT21" s="7">
        <f>BEN!BB65</f>
        <v>0</v>
      </c>
      <c r="AU21" s="7">
        <f>BEN!BC65</f>
        <v>0</v>
      </c>
      <c r="AV21" s="7">
        <f>BEN!BD65</f>
        <v>0</v>
      </c>
      <c r="AW21" s="7">
        <f>BEN!BE65</f>
        <v>0</v>
      </c>
      <c r="AX21" s="7">
        <f>BEN!BF65</f>
        <v>0</v>
      </c>
      <c r="AY21" s="7">
        <f>BEN!BG65</f>
        <v>0</v>
      </c>
      <c r="AZ21" s="7">
        <f>BEN!BH65</f>
        <v>0</v>
      </c>
      <c r="BA21" s="7">
        <f>BEN!BI65</f>
        <v>0</v>
      </c>
    </row>
    <row r="22" spans="1:53" x14ac:dyDescent="0.45">
      <c r="A22" s="1" t="s">
        <v>63</v>
      </c>
      <c r="B22" s="7">
        <f>BEN!J66</f>
        <v>0</v>
      </c>
      <c r="C22" s="7">
        <f>BEN!K66</f>
        <v>0</v>
      </c>
      <c r="D22" s="7">
        <f>BEN!L66</f>
        <v>0</v>
      </c>
      <c r="E22" s="7">
        <f>BEN!M66</f>
        <v>0</v>
      </c>
      <c r="F22" s="7">
        <f>BEN!N66</f>
        <v>0</v>
      </c>
      <c r="G22" s="7">
        <f>BEN!O66</f>
        <v>0</v>
      </c>
      <c r="H22" s="7">
        <f>BEN!P66</f>
        <v>0</v>
      </c>
      <c r="I22" s="7">
        <f>BEN!Q66</f>
        <v>0</v>
      </c>
      <c r="J22" s="7">
        <f>BEN!R66</f>
        <v>0</v>
      </c>
      <c r="K22" s="7">
        <f>BEN!S66</f>
        <v>0</v>
      </c>
      <c r="L22" s="7">
        <f>BEN!T66</f>
        <v>0</v>
      </c>
      <c r="M22" s="7">
        <f>BEN!U66</f>
        <v>0</v>
      </c>
      <c r="N22" s="7">
        <f>BEN!V66</f>
        <v>0</v>
      </c>
      <c r="O22" s="7">
        <f>BEN!W66</f>
        <v>0</v>
      </c>
      <c r="P22" s="7">
        <f>BEN!X66</f>
        <v>0</v>
      </c>
      <c r="Q22" s="7">
        <f>BEN!Y66</f>
        <v>0</v>
      </c>
      <c r="R22" s="7">
        <f>BEN!Z66</f>
        <v>0</v>
      </c>
      <c r="S22" s="7">
        <f>BEN!AA66</f>
        <v>0</v>
      </c>
      <c r="T22" s="7">
        <f>BEN!AB66</f>
        <v>0</v>
      </c>
      <c r="U22" s="7">
        <f>BEN!AC66</f>
        <v>0</v>
      </c>
      <c r="V22" s="7">
        <f>BEN!AD66</f>
        <v>0</v>
      </c>
      <c r="W22" s="7">
        <f>BEN!AE66</f>
        <v>0</v>
      </c>
      <c r="X22" s="7">
        <f>BEN!AF66</f>
        <v>0</v>
      </c>
      <c r="Y22" s="7">
        <f>BEN!AG66</f>
        <v>0</v>
      </c>
      <c r="Z22" s="7">
        <f>BEN!AH66</f>
        <v>0</v>
      </c>
      <c r="AA22" s="7">
        <f>BEN!AI66</f>
        <v>0</v>
      </c>
      <c r="AB22" s="7">
        <f>BEN!AJ66</f>
        <v>0</v>
      </c>
      <c r="AC22" s="7">
        <f>BEN!AK66</f>
        <v>0</v>
      </c>
      <c r="AD22" s="7">
        <f>BEN!AL66</f>
        <v>0</v>
      </c>
      <c r="AE22" s="7">
        <f>BEN!AM66</f>
        <v>0</v>
      </c>
      <c r="AF22" s="7">
        <f>BEN!AN66</f>
        <v>0</v>
      </c>
      <c r="AG22" s="7">
        <f>BEN!AO66</f>
        <v>0</v>
      </c>
      <c r="AH22" s="7">
        <f>BEN!AP66</f>
        <v>0</v>
      </c>
      <c r="AI22" s="7">
        <f>BEN!AQ66</f>
        <v>0</v>
      </c>
      <c r="AJ22" s="7">
        <f>BEN!AR66</f>
        <v>0</v>
      </c>
      <c r="AK22" s="7">
        <f>BEN!AS66</f>
        <v>0</v>
      </c>
      <c r="AL22" s="7">
        <f>BEN!AT66</f>
        <v>0</v>
      </c>
      <c r="AM22" s="7">
        <f>BEN!AU66</f>
        <v>0</v>
      </c>
      <c r="AN22" s="7">
        <f>BEN!AV66</f>
        <v>0</v>
      </c>
      <c r="AO22" s="7">
        <f>BEN!AW66</f>
        <v>0</v>
      </c>
      <c r="AP22" s="7">
        <f>BEN!AX66</f>
        <v>0</v>
      </c>
      <c r="AQ22" s="7">
        <f>BEN!AY66</f>
        <v>0</v>
      </c>
      <c r="AR22" s="7">
        <f>BEN!AZ66</f>
        <v>0</v>
      </c>
      <c r="AS22" s="7">
        <f>BEN!BA66</f>
        <v>0</v>
      </c>
      <c r="AT22" s="7">
        <f>BEN!BB66</f>
        <v>0</v>
      </c>
      <c r="AU22" s="7">
        <f>BEN!BC66</f>
        <v>0</v>
      </c>
      <c r="AV22" s="7">
        <f>BEN!BD66</f>
        <v>0</v>
      </c>
      <c r="AW22" s="7">
        <f>BEN!BE66</f>
        <v>0</v>
      </c>
      <c r="AX22" s="7">
        <f>BEN!BF66</f>
        <v>0</v>
      </c>
      <c r="AY22" s="7">
        <f>BEN!BG66</f>
        <v>0</v>
      </c>
      <c r="AZ22" s="7">
        <f>BEN!BH66</f>
        <v>0</v>
      </c>
      <c r="BA22" s="7">
        <f>BEN!BI66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PDE-O&amp;G</vt:lpstr>
      <vt:lpstr>PDE Bio</vt:lpstr>
      <vt:lpstr>BEN</vt:lpstr>
      <vt:lpstr>BFPIaE-production</vt:lpstr>
      <vt:lpstr>BFPIaE-imports</vt:lpstr>
      <vt:lpstr>BFPIaE-exports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Joshua Cohen</cp:lastModifiedBy>
  <cp:revision/>
  <dcterms:created xsi:type="dcterms:W3CDTF">2019-07-26T21:45:06Z</dcterms:created>
  <dcterms:modified xsi:type="dcterms:W3CDTF">2025-01-27T03:06:26Z</dcterms:modified>
  <cp:category/>
  <cp:contentStatus/>
</cp:coreProperties>
</file>